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23.xml"/>
  <Override ContentType="application/vnd.openxmlformats-officedocument.spreadsheetml.worksheet+xml" PartName="/xl/worksheets/sheet10.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20.xml"/>
  <Override ContentType="application/vnd.openxmlformats-officedocument.spreadsheetml.worksheet+xml" PartName="/xl/worksheets/sheet1.xml"/>
  <Override ContentType="application/vnd.openxmlformats-officedocument.spreadsheetml.worksheet+xml" PartName="/xl/worksheets/sheet24.xml"/>
  <Override ContentType="application/vnd.openxmlformats-officedocument.spreadsheetml.worksheet+xml" PartName="/xl/worksheets/sheet9.xml"/>
  <Override ContentType="application/vnd.openxmlformats-officedocument.spreadsheetml.worksheet+xml" PartName="/xl/worksheets/sheet4.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25.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8.xml"/>
  <Override ContentType="application/vnd.openxmlformats-officedocument.spreadsheetml.worksheet+xml" PartName="/xl/worksheets/sheet26.xml"/>
  <Override ContentType="application/vnd.openxmlformats-officedocument.spreadsheetml.worksheet+xml" PartName="/xl/worksheets/sheet3.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26.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5.xml"/>
  <Override ContentType="application/vnd.openxmlformats-officedocument.drawing+xml" PartName="/xl/drawings/drawing21.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22.xml"/>
  <Override ContentType="application/vnd.openxmlformats-officedocument.drawing+xml" PartName="/xl/drawings/drawing10.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23.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5.xml"/>
  <Override ContentType="application/vnd.openxmlformats-officedocument.drawing+xml" PartName="/xl/drawings/drawing24.xml"/>
  <Override ContentType="application/vnd.openxmlformats-officedocument.drawing+xml" PartName="/xl/drawings/drawing11.xml"/>
  <Override ContentType="application/vnd.openxmlformats-officedocument.drawing+xml" PartName="/xl/drawings/drawing20.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me" sheetId="1" r:id="rId4"/>
    <sheet state="hidden" name="Resumen publicado" sheetId="2" r:id="rId5"/>
    <sheet state="hidden" name="Alertas" sheetId="3" r:id="rId6"/>
    <sheet state="hidden" name="Consolidado" sheetId="4" r:id="rId7"/>
    <sheet state="visible" name="Administrativa" sheetId="5" r:id="rId8"/>
    <sheet state="visible" name="A_Ciudadano" sheetId="6" r:id="rId9"/>
    <sheet state="visible" name="Comunicaciones" sheetId="7" r:id="rId10"/>
    <sheet state="visible" name="Contratos" sheetId="8" r:id="rId11"/>
    <sheet state="visible" name="C_Interno" sheetId="9" r:id="rId12"/>
    <sheet state="visible" name="CI_Disciplinario" sheetId="10" r:id="rId13"/>
    <sheet state="visible" name="DTAF" sheetId="11" r:id="rId14"/>
    <sheet state="visible" name="DTIV" sheetId="12" r:id="rId15"/>
    <sheet state="visible" name="G_Documental" sheetId="13" r:id="rId16"/>
    <sheet state="visible" name="Financiera" sheetId="14" r:id="rId17"/>
    <sheet state="visible" name="OA_Juridica" sheetId="15" r:id="rId18"/>
    <sheet state="visible" name="OGCI" sheetId="16" r:id="rId19"/>
    <sheet state="visible" name="Planeación" sheetId="17" r:id="rId20"/>
    <sheet state="visible" name="Sistemas" sheetId="18" r:id="rId21"/>
    <sheet state="visible" name="T_Humano" sheetId="19" r:id="rId22"/>
    <sheet state="visible" name="R_Barranquilla" sheetId="20" r:id="rId23"/>
    <sheet state="visible" name="R_Bogota" sheetId="21" r:id="rId24"/>
    <sheet state="visible" name="R_Cali" sheetId="22" r:id="rId25"/>
    <sheet state="visible" name="R_Magangue" sheetId="23" r:id="rId26"/>
    <sheet state="visible" name="R_Medellin" sheetId="24" r:id="rId27"/>
    <sheet state="visible" name="R_Villavicencio" sheetId="25" r:id="rId28"/>
    <sheet state="visible" name="R_Barrancabermeja" sheetId="26" r:id="rId29"/>
  </sheets>
  <definedNames>
    <definedName hidden="1" localSheetId="3" name="_xlnm._FilterDatabase">Consolidado!$A$2:$BL$158</definedName>
    <definedName hidden="1" localSheetId="4" name="_xlnm._FilterDatabase">Administrativa!$A$3:$AP$6</definedName>
    <definedName hidden="1" localSheetId="5" name="_xlnm._FilterDatabase">A_Ciudadano!$A$3:$AP$6</definedName>
    <definedName hidden="1" localSheetId="6" name="_xlnm._FilterDatabase">Comunicaciones!$A$3:$AP$11</definedName>
    <definedName hidden="1" localSheetId="7" name="_xlnm._FilterDatabase">Contratos!$A$3:$AP$10</definedName>
    <definedName hidden="1" localSheetId="8" name="_xlnm._FilterDatabase">C_Interno!$A$3:$AP$6</definedName>
    <definedName hidden="1" localSheetId="9" name="_xlnm._FilterDatabase">CI_Disciplinario!$A$3:$AP$6</definedName>
    <definedName hidden="1" localSheetId="10" name="_xlnm._FilterDatabase">DTAF!$A$3:$AP$16</definedName>
    <definedName hidden="1" localSheetId="11" name="_xlnm._FilterDatabase">DTIV!$A$3:$AP$10</definedName>
    <definedName hidden="1" localSheetId="12" name="_xlnm._FilterDatabase">G_Documental!$A$3:$AP$6</definedName>
    <definedName hidden="1" localSheetId="13" name="_xlnm._FilterDatabase">Financiera!$A$3:$AP$6</definedName>
    <definedName hidden="1" localSheetId="14" name="_xlnm._FilterDatabase">OA_Juridica!$A$3:$AP$8</definedName>
    <definedName hidden="1" localSheetId="15" name="_xlnm._FilterDatabase">OGCI!$A$3:$AP$15</definedName>
    <definedName hidden="1" localSheetId="16" name="_xlnm._FilterDatabase">'Planeación'!$A$3:$AP$16</definedName>
    <definedName hidden="1" localSheetId="17" name="_xlnm._FilterDatabase">Sistemas!$A$3:$AP$8</definedName>
    <definedName hidden="1" localSheetId="18" name="_xlnm._FilterDatabase">T_Humano!$A$3:$AP$7</definedName>
    <definedName hidden="1" localSheetId="19" name="_xlnm._FilterDatabase">R_Barranquilla!$A$3:$AP$20</definedName>
    <definedName hidden="1" localSheetId="20" name="_xlnm._FilterDatabase">R_Bogota!$A$3:$AP$13</definedName>
    <definedName hidden="1" localSheetId="21" name="_xlnm._FilterDatabase">R_Cali!$A$3:$AP$15</definedName>
    <definedName hidden="1" localSheetId="22" name="_xlnm._FilterDatabase">R_Magangue!$A$3:$AP$16</definedName>
    <definedName hidden="1" localSheetId="23" name="_xlnm._FilterDatabase">R_Medellin!$A$3:$AP$13</definedName>
    <definedName hidden="1" localSheetId="24" name="_xlnm._FilterDatabase">R_Villavicencio!$A$3:$AP$11</definedName>
    <definedName hidden="1" localSheetId="25" name="_xlnm._FilterDatabase">R_Barrancabermeja!$A$3:$AP$11</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BA43">
      <text>
        <t xml:space="preserve">======
ID#AAAALXFhJQs
Financiera    (2021-02-08 19:22:28)
https://www.aunap.gov.co/index.php/secretraria-general/financiera#estados-financieros
https://www.aunap.gov.co/index.php/secretraria-general/financiera#ejecucion-presupuesto-2019</t>
      </text>
    </comment>
    <comment authorId="0" ref="BH43">
      <text>
        <t xml:space="preserve">======
ID#AAAALXFhJQg
Financiera    (2021-02-08 19:22:28)
https://www.aunap.gov.co/index.php/secretraria-general/financiera#estados-financieros
https://www.aunap.gov.co/index.php/secretraria-general/financiera#ejecucion-presupuesto-2019</t>
      </text>
    </comment>
  </commentList>
</comments>
</file>

<file path=xl/sharedStrings.xml><?xml version="1.0" encoding="utf-8"?>
<sst xmlns="http://schemas.openxmlformats.org/spreadsheetml/2006/main" count="5191" uniqueCount="970">
  <si>
    <t>x</t>
  </si>
  <si>
    <t>Administrativa</t>
  </si>
  <si>
    <t>Financiera</t>
  </si>
  <si>
    <t>R_Barrancabermeja</t>
  </si>
  <si>
    <t>A_Ciudadano</t>
  </si>
  <si>
    <t>G_Documental</t>
  </si>
  <si>
    <t>R_Barranquilla</t>
  </si>
  <si>
    <t>Comunicaciones</t>
  </si>
  <si>
    <t>OA_Juridica</t>
  </si>
  <si>
    <t>R_Bogota</t>
  </si>
  <si>
    <t>Contratos</t>
  </si>
  <si>
    <t>OGCI</t>
  </si>
  <si>
    <t>R_Cali</t>
  </si>
  <si>
    <t>C_Interno</t>
  </si>
  <si>
    <t>Planeación</t>
  </si>
  <si>
    <t>R_Magangue</t>
  </si>
  <si>
    <t>CI_Disciplinario</t>
  </si>
  <si>
    <t>Sistemas</t>
  </si>
  <si>
    <t>R_Medellin</t>
  </si>
  <si>
    <t>DTAF</t>
  </si>
  <si>
    <t>T_Humano</t>
  </si>
  <si>
    <t>R_Villavicencio</t>
  </si>
  <si>
    <t>DTIV</t>
  </si>
  <si>
    <t>Consolidado</t>
  </si>
  <si>
    <t>MONITOREO PLAN DE ACCIÓN 2020 IV TRIMESTRE</t>
  </si>
  <si>
    <t>AREA</t>
  </si>
  <si>
    <t>ACTIVIDADES DE VIGENCIA</t>
  </si>
  <si>
    <t>ACTIVIDADES DE TRIMESTRE</t>
  </si>
  <si>
    <t>REPORTE TRIMESTRAL REALIZADO</t>
  </si>
  <si>
    <t>PORCENTAJE  DE CUMPLIMIENTO</t>
  </si>
  <si>
    <t>ESTADO DE CUMPLIMIENTO</t>
  </si>
  <si>
    <t xml:space="preserve">La ejecución de la meta registrada se encuentra por debajo de la meta programada en la formulación del plan de acción para el segundo trimestre, su porcentaje de cumplimiento es </t>
  </si>
  <si>
    <t>, lo cual indica un incumplimiento que puede ser entendido por los entes de control como falencias en el proceso de planeación y gestión de la dependencia. se recomienda realizar acciones para garantizar el cumplimiento de la meta durante lo que resta de vigencia</t>
  </si>
  <si>
    <t>La ejecución de la meta registrada se encuentra acorde a la meta programada en la formulación del plan de acción para el segundo trimestre</t>
  </si>
  <si>
    <t xml:space="preserve">La ejecución de la meta registrada se encuentra por encima de la meta programada en la formulación del plan de acción para el segundo trimestre, su porcentaje de cumplimiento es </t>
  </si>
  <si>
    <t>, lo cual indica una sobre ejecución que puede ser entendido por los entes de control como falencias en el proceso de planeación y gestión de la dependencia. se recomienda tomar este antecedente como insumo para limitar el avance de la meta durante lo que resta de vigencia</t>
  </si>
  <si>
    <t>TRIMESTRE III</t>
  </si>
  <si>
    <t>TRIMESTRE II</t>
  </si>
  <si>
    <t>TRIMESTRE IV</t>
  </si>
  <si>
    <t>-</t>
  </si>
  <si>
    <t>No.</t>
  </si>
  <si>
    <t>PROCESO ASOCIADO</t>
  </si>
  <si>
    <t>ÁREA LÍDER</t>
  </si>
  <si>
    <t>NOMBRE DEL PROYECTO</t>
  </si>
  <si>
    <t>CÓDIGO BPIN</t>
  </si>
  <si>
    <t>NOMBRE CORTO</t>
  </si>
  <si>
    <t>OBJETIVO ESPECÍFICO</t>
  </si>
  <si>
    <t>PRODUCTO</t>
  </si>
  <si>
    <t>ACTIVIDAD</t>
  </si>
  <si>
    <t>TIPO INDICADOR</t>
  </si>
  <si>
    <t>CATEGORÍA</t>
  </si>
  <si>
    <t>UNIDAD DE MEDIDA</t>
  </si>
  <si>
    <t>INDICADOR PRINCIPAL</t>
  </si>
  <si>
    <t>META RESTANTE</t>
  </si>
  <si>
    <t>META VIGENCIA</t>
  </si>
  <si>
    <t>ACCIÓN/ACTIVIDAD</t>
  </si>
  <si>
    <t>PERIODICIDAD</t>
  </si>
  <si>
    <t>I TRIMESTRE</t>
  </si>
  <si>
    <t>II TRIMESTRE</t>
  </si>
  <si>
    <t>III TRIMESTRE</t>
  </si>
  <si>
    <t>IV TRIMESTRE</t>
  </si>
  <si>
    <t>ÁREA RESPONSABLE</t>
  </si>
  <si>
    <t>NOMBRE RESPONSABLE</t>
  </si>
  <si>
    <t>CARGO RESPONSABLE</t>
  </si>
  <si>
    <t>CORREO RESPONSABLE</t>
  </si>
  <si>
    <t>RECURSOS REQUERIDOS</t>
  </si>
  <si>
    <t>CLASIFICADOR POR PLAN</t>
  </si>
  <si>
    <t>OBJETIVO INSTITUCIONAL</t>
  </si>
  <si>
    <t>DIMENSIONES DEL MIPG</t>
  </si>
  <si>
    <t>POLÍTICAS DE GESTIÓN Y DESEMPEÑO INSTITUCIONAL</t>
  </si>
  <si>
    <t>OBJETIVO DE DESARROLLO SOSTENIBLE</t>
  </si>
  <si>
    <t>EJECUCIÓN DEL TRIMESTRE</t>
  </si>
  <si>
    <t>JUSTIFICACIÓN DEL AVANCE</t>
  </si>
  <si>
    <t>EVIDENCIA (INCLUIR EL LINK DEL REGISTRO)</t>
  </si>
  <si>
    <t>FECHA LIMITE PARA EL REPORTE</t>
  </si>
  <si>
    <t>CUMPLIMIENTO DE META %</t>
  </si>
  <si>
    <t>OBSERVACIONES DE PLANEACIÓN</t>
  </si>
  <si>
    <t>ENLACE DE PLANEACIÓN</t>
  </si>
  <si>
    <t>EJECUCIÓN DEL SEMESTRE</t>
  </si>
  <si>
    <t xml:space="preserve">DIAS ANTES DEL VENCIMIENTO </t>
  </si>
  <si>
    <t>PORCENTAJE  DE REPORTE</t>
  </si>
  <si>
    <t>ESTADO DE REPORTE</t>
  </si>
  <si>
    <t>META NO PROGRAMADA</t>
  </si>
  <si>
    <t>BAJA EJECUCIÓN</t>
  </si>
  <si>
    <t>META EJECUTADA AL 100%</t>
  </si>
  <si>
    <t>SOBRE EJECUCIÓN</t>
  </si>
  <si>
    <t>ADMINISTRATIVA</t>
  </si>
  <si>
    <t>COMUNICACIONES</t>
  </si>
  <si>
    <t>ATENCIÓN AL CIUDADANO</t>
  </si>
  <si>
    <t>CONTRATOS</t>
  </si>
  <si>
    <t>CONTROL INTERNO</t>
  </si>
  <si>
    <t>DIRECCIÓN TÉCNICA DE ADMINISTRACIÓN Y FOMENTO</t>
  </si>
  <si>
    <t>CONTROL INTERNO DISCIPLINARIO</t>
  </si>
  <si>
    <t>DIRECCIÓN TÉCNICA DE INSPECCIÓN Y VIGILANCIA</t>
  </si>
  <si>
    <t>FINANCIERA</t>
  </si>
  <si>
    <t>GESTIÓN DOCUMENTAL</t>
  </si>
  <si>
    <t>OFICINA ASESOR JURÍDICA</t>
  </si>
  <si>
    <t>OFICINA DE GENERACIÓN DEL CONOCIMIENTO Y LA INFORMACIÓN</t>
  </si>
  <si>
    <t>PLANEACIÓN</t>
  </si>
  <si>
    <t>SISTEMAS</t>
  </si>
  <si>
    <t>TALENTO HUMANO</t>
  </si>
  <si>
    <t>REGIONAL BARRANCABERMEJA</t>
  </si>
  <si>
    <t>REGIONAL BARRANQUILLA</t>
  </si>
  <si>
    <t>REGIONAL BOGOTÁ</t>
  </si>
  <si>
    <t>REGIONAL CALI</t>
  </si>
  <si>
    <t>REGIONAL MAGANGUÉ</t>
  </si>
  <si>
    <t>REGIONAL MEDELLÍN</t>
  </si>
  <si>
    <t>REGIONAL VILLAVICENCIO</t>
  </si>
  <si>
    <t>Home</t>
  </si>
  <si>
    <t>Avance de la vigencia</t>
  </si>
  <si>
    <t>Fecha inicial</t>
  </si>
  <si>
    <t>TRIMESTRE</t>
  </si>
  <si>
    <t>AÑO 2021</t>
  </si>
  <si>
    <t>INFORMACIÓN DE MONITOREO</t>
  </si>
  <si>
    <t>EJECUCIÓN DEL AÑO</t>
  </si>
  <si>
    <t>JUSTIFICACIÓN DE EJECUCIÓN</t>
  </si>
  <si>
    <t>DIAS ANTES DEL VENCIMIENTO</t>
  </si>
  <si>
    <t>RECOMENDACIONES CONTROL INTERNO</t>
  </si>
  <si>
    <t>Gestión administrativa</t>
  </si>
  <si>
    <t>Fortalecimiento de la capacidad de gestión de la autoridad nacional de acuicultura y pesca - aunap nacional</t>
  </si>
  <si>
    <t>Fortalecimiento</t>
  </si>
  <si>
    <t>Mejorar las condiciones en la infraestructura física de las sedes de la AUNAP</t>
  </si>
  <si>
    <t>Sedes adecuadas</t>
  </si>
  <si>
    <t>Adecuar locativamente las sedes de la AUNAP, para ofrecer mejores condiciones a los servidores públicos y brindar una adecuada prestación del servicios</t>
  </si>
  <si>
    <t>Producto</t>
  </si>
  <si>
    <t>Eficacia</t>
  </si>
  <si>
    <t>Número</t>
  </si>
  <si>
    <t>Hacer una intervencion de Adecuación a un bien inmueble de la AUNAP</t>
  </si>
  <si>
    <t>Anual</t>
  </si>
  <si>
    <t>Coordinación Administrativa</t>
  </si>
  <si>
    <t>Gustavo Polo</t>
  </si>
  <si>
    <t>Coordinador Administrativa</t>
  </si>
  <si>
    <t>gustavo.polo@aunap.gov.co</t>
  </si>
  <si>
    <t>Humanos, fisicos, financieros</t>
  </si>
  <si>
    <t>Plan Anual de Adquisiciones - PAA</t>
  </si>
  <si>
    <t>Llegar con actividades de pesca y acuicultura a todas las regiones</t>
  </si>
  <si>
    <t>Direccionamiento Estratégico</t>
  </si>
  <si>
    <t>Gestión Presupuestal y Eficiencia del Gasto Público</t>
  </si>
  <si>
    <t>16. Paz, justicia e instituciones sólidas</t>
  </si>
  <si>
    <t>Sedes mantenidas</t>
  </si>
  <si>
    <t>Realizar mantenimiento preventivo y correctivo a las sedes de AUNAP, para brindar una mejor prestación del servicios de atención a la ciudadanía</t>
  </si>
  <si>
    <t>Realizar un mantenimiento a un bien inmueble de la AUNAP</t>
  </si>
  <si>
    <t>Se realizo cerco de alambre de puas calibre 14 de 6 lineas, retenidas con grapas soportadas en 340 estanillos en la cerca costado norte de la estacion de Bahia Malaga</t>
  </si>
  <si>
    <t>https://drive.google.com/file/d/1yypSO3Zcg2H6XdprQrbajYUQCIWj_9Qo/view?usp=sharing</t>
  </si>
  <si>
    <t>Fortalecer los sistemas de gestión de la Entidad</t>
  </si>
  <si>
    <t>Servicio de Implementación Sistemas de Gestión</t>
  </si>
  <si>
    <t>Optimizar la gestión administrativa, operativa, de planeación, seguimiento y control de la Entidad, para mejorar el desempeño institucional y la prestación del servicio a nivel nacional</t>
  </si>
  <si>
    <t>Gestión del área</t>
  </si>
  <si>
    <t>Porcentaje</t>
  </si>
  <si>
    <t>Inventarios nivel central realizados / Total de inventarios nivel central programados</t>
  </si>
  <si>
    <t>Hacer inventario de los bienes muebles a las oficinas Buenaventura, Magangue y Villavicencio</t>
  </si>
  <si>
    <t>Se realizo la toma de inventario al 100% en región, nivel central y estaciones piscícolas</t>
  </si>
  <si>
    <t>https://drive.google.com/file/d/1ArVsmjkBXlRuATeSSRyQ9XXWfuo4NJEt/view?usp=sharing</t>
  </si>
  <si>
    <t>Atención al ciudadano</t>
  </si>
  <si>
    <t>Implementar y mantener el Modelo Integrado de Planeación y Gestión V2, con sus siete (7) dimensiones operativas</t>
  </si>
  <si>
    <t>Número de actividades de la estrategia de Servicio al Ciudadano ejecutadas/Número de actividades de la estrategia de Servicio al Ciudadano * 100</t>
  </si>
  <si>
    <t>Ejecutar las actividades de la estrategia de  Servicio al Ciudadano.</t>
  </si>
  <si>
    <t>Semestral</t>
  </si>
  <si>
    <t>Coordinador Administrativo</t>
  </si>
  <si>
    <t>Humanos, Físicos, Financieros, Tecnológicos</t>
  </si>
  <si>
    <t>Plan Anticorrupción y de Atención al Ciudadano - PAAC</t>
  </si>
  <si>
    <t>Gestión con valores para resultados</t>
  </si>
  <si>
    <t>Servicio al Ciudadano</t>
  </si>
  <si>
    <t>Se cumplio desde el trimestre pasado el cumplimiento de dicha estrategia.</t>
  </si>
  <si>
    <t>Cantidad de PQRD´s con seguimiento atendidas en los terminos establecidos/cantidad total de PQRDs recibidas</t>
  </si>
  <si>
    <t>Hacer Seguimiento a las diferentes areas de la entidad con el fin de dar respuesta oportuna a las PQRD’s</t>
  </si>
  <si>
    <t>Se realizo un control de las pqrsd el cual se llevado a los comites de gestión y desempeño, por parte del Secretario General y El Coordinador Administrativo</t>
  </si>
  <si>
    <t>https://drive.google.com/drive/u/0/folders/1NeeVokVL0UOA8AnRGCwDs7ACoNQXV_EP</t>
  </si>
  <si>
    <t>Numero de actividades que realice la entidad donde se interactue con los ciudadanos apoyadas</t>
  </si>
  <si>
    <t>Apoyar en las diferentes actividades que haga la entidad donde se interactue conforme al plan de Participacion ciudadana</t>
  </si>
  <si>
    <t>Trimestral</t>
  </si>
  <si>
    <t>Plan de Participación Ciudadana</t>
  </si>
  <si>
    <t>Ya se cumplio a cabalidad con dicha actividad, para lo cual este trimestre no se debia reportar</t>
  </si>
  <si>
    <t>Comunicación estratégica</t>
  </si>
  <si>
    <t>Publicaciones de contenido institucional divulgado en alguno de los canales dispuestos por la entidad</t>
  </si>
  <si>
    <t>Editar, adaptar y divulgar contenido institucional de la gestión realizada por la entidad para su posicionamiento externo ante los diferentes grupos de interés</t>
  </si>
  <si>
    <t>Mensual</t>
  </si>
  <si>
    <t>Leidy Hidalgo</t>
  </si>
  <si>
    <t>Profesional Especializado</t>
  </si>
  <si>
    <t>leidy.hidalgo@aunap.gov.co</t>
  </si>
  <si>
    <t>No asociado</t>
  </si>
  <si>
    <t>Información y comunicación</t>
  </si>
  <si>
    <t>Transparencia, acceso a la información pública y lucha contra la corrupción</t>
  </si>
  <si>
    <t>12. Producción y consumo responsable</t>
  </si>
  <si>
    <t xml:space="preserve">
Durante el IV trimestre se Editó, adaptó y divulgó (6) contenido institucional de la gestión realizada por la entidad para su posicionamiento externo ante los diferentes grupos de interés.
</t>
  </si>
  <si>
    <t>https://docs.google.com/document/d/1tDp6Pi_wZabxQUC3WokBzbbtKyQC_SrD/edit?usp=sharing&amp;ouid=116882571820126477784&amp;rtpof=true&amp;sd=true</t>
  </si>
  <si>
    <t>Durante el 2021 se dio cumplimiento a la meta, editando adaptando y divulgando contenidos con base a los insumos enviados por las áreas.</t>
  </si>
  <si>
    <t>Número de piezas de comunicación interna diseñadas y divulgadas/Número de piezas de comunicación interna solicitadas</t>
  </si>
  <si>
    <t>Diseñar y divulgar piezas de comunicación internas con base a la información allegada por las diferentes dependencias de la entidad</t>
  </si>
  <si>
    <t xml:space="preserve">Durante este periodo se diseñaron y divulgaron piezas de comunicación internas con base a la información allegada por las diferentes dependencias de la entidad., a traves del aplicativo dispuesto por el equipo de comunicaciones se allegaron las solicitudes, las cuales se respondieron en un 100%. </t>
  </si>
  <si>
    <t>https://drive.google.com/drive/u/0/folders/10aWV64qMA5fJwSdEBPREtH-AvRche6xV</t>
  </si>
  <si>
    <t xml:space="preserve">Durante este año se diseñaron y divulgaron piezas de comunicación internas con base a la información allegada por las diferentes dependencias de la entidad., a traves del aplicativo dispuesto por el equipo de comunicaciones se allegaron las solicitudes, las cuales se respondieron en un 100%. </t>
  </si>
  <si>
    <t>eficacia</t>
  </si>
  <si>
    <t>Productos comunicativos (revistas, newletter, infografias, etc)</t>
  </si>
  <si>
    <t>Crear y divulgar productos comunicativos internos y externos que permitan ampliar la difusión de la informacion institucional a través de los diferentes canales de comunicación.</t>
  </si>
  <si>
    <t>Durante el IV trimestre el proceso de comunicaciones creó y divulgó productos comunicativos internos y externos que permitan ampliar la difusión de la información institucional a través de los diferentes canales de comunicación.</t>
  </si>
  <si>
    <t>https://docs.google.com/document/d/1H8lz5t6Ul4Eu4a4j3V-6ZDjJJ9wQUfFI/edit?usp=sharing&amp;ouid=116882571820126477784&amp;rtpof=true&amp;sd=true</t>
  </si>
  <si>
    <t>Durante el 2021 el proceso de comunicaciones creó y divulgó productos comunicativos internos y externos que permitan ampliar la difusión de la información institucional a través de los diferentes canales de comunicación.</t>
  </si>
  <si>
    <t>Publicaciones en medios Free Press información de gestión institucional para los diferentes grupos de interés</t>
  </si>
  <si>
    <t>Publicar en medios Free Press información de gestión institucional para los diferentes grupos de interés</t>
  </si>
  <si>
    <t>Durante el IV trimestre el proceso de comunicaciones publicó en medios Free Press información de gestión institucional para los diferentes grupos de interés</t>
  </si>
  <si>
    <t>https://docs.google.com/document/d/1XaC0eGGZjsseBtyHEAK-zt1rRjAY645S/edit?usp=sharing&amp;ouid=116882571820126477784&amp;rtpof=true&amp;sd=true</t>
  </si>
  <si>
    <t>Durante el 2021  el proceso de comunicaciones publicó 70 notas  en medios Free Press información de gestión institucional para los diferentes grupos de interés</t>
  </si>
  <si>
    <t>Acciones de comunicaciones en alianza con cooperantes, aliados y entiades adscritas</t>
  </si>
  <si>
    <t>Desarrolar acciones de comunicacion en alianza con cooperantes, aliados, entidades del sector para dar un mayor alcance de la gestion institucional</t>
  </si>
  <si>
    <t>Planeación Institucional</t>
  </si>
  <si>
    <t>Durante el IV trimestre el proceso de comunicaciones desarrolló (6) acciones de comunicación en alianza con cooperantes, aliados, entidades del sector para dar un mayor alcance de la gestión institucional:</t>
  </si>
  <si>
    <t>https://docs.google.com/document/d/1Ry_DcvtnyiqM3Ls9d9H_KyVs19yld0rW/edit?usp=sharing&amp;ouid=116882571820126477784&amp;rtpof=true&amp;sd=true</t>
  </si>
  <si>
    <t>Durante 2021 el proceso de comunicaciones desarrolló 15 acciones de comunicación en alianza con cooperantes, aliados, entidades del sector para dar un mayor alcance de la gestión institucional:</t>
  </si>
  <si>
    <t>Espacios de comunicaciòn desarrollados</t>
  </si>
  <si>
    <t>Realizar espacios de comunicacion que faciliten la interlocucion de la entidad con los diferentes usuarios para mejorar la gestión pública</t>
  </si>
  <si>
    <t>Durante el IV trimestre se realizaron 4 espacios de comunicacion que faciliten la interlocucion de la entidad con los diferentes usuarios para mejorar la gestión pública</t>
  </si>
  <si>
    <r>
      <rPr>
        <rFont val="Arial"/>
        <sz val="10.0"/>
      </rPr>
      <t xml:space="preserve">Espacio tramites en linea (refuerzo al tema): </t>
    </r>
    <r>
      <rPr>
        <rFont val="Arial"/>
        <color rgb="FF1155CC"/>
        <sz val="10.0"/>
        <u/>
      </rPr>
      <t xml:space="preserve">https://www.instagram.com/tv/CU-eTWzpfZ4/?utm_medium=copy_link
Maricultura , con la conferencia:El estado de la maricultura en Colombia: avances y retos.
https://www.youtube.com/watch?v=RiDgSc8VK-Q
Panel  La pesca como actividad socioeconómica sostenible: (foro)
https://docs.google.com/document/d/1WDXSz5KnLIfI0qDA1-QgX5RcepF1NaHa/edit?usp=sharing&amp;ouid=116882571820126477784&amp;rtpof=true&amp;sd=true
</t>
    </r>
    <r>
      <rPr>
        <rFont val="Arial"/>
        <sz val="10.0"/>
      </rPr>
      <t xml:space="preserve">
#ElCampoInnova - Innovación para la producción piscícola de alto rendimiento
</t>
    </r>
    <r>
      <rPr>
        <rFont val="Arial"/>
        <color rgb="FF1155CC"/>
        <sz val="10.0"/>
        <u/>
      </rPr>
      <t>https://www.youtube.com/watch?v=AbPkVhaEcqg</t>
    </r>
  </si>
  <si>
    <t>Durante el 2021 se realizaron 15 espacios de comunicacion que facilitaron la interlocucion de la entidad con los diferentes usuarios para mejorar la gestión pública</t>
  </si>
  <si>
    <t>Documento con el componente de comunicaciones para la estrategia de rendición de cuentas.</t>
  </si>
  <si>
    <t>Elaborar el componente de comunicaciones para la estrategia de rendición de cuentas adoptada por la entidad.</t>
  </si>
  <si>
    <t>Porcentaje de ejecuciòn del Desarrollo de las activividades contempladas en el componente de comunicaciones para la estrategia de rendición de cuentas.</t>
  </si>
  <si>
    <t>Implementar el componente de comunicaciones para la estrategia de rendición de cuentas adoptada por la entidad.</t>
  </si>
  <si>
    <t xml:space="preserve">Durante el presente periodo de dio cumplimiento al total 50% para completar la totalidad de las acividades programadas dentro del componente de Comunicaciones de la Estrategia de Rendicion de Cuentas 2021.  Lo relacionado con la convocatoria, la divulgacion de los resultados, de los detalles del desarrollo, del informe de memorias y demas relacionadas con la fase final del proceso. </t>
  </si>
  <si>
    <t>https://www.aunap.gov.co/documentos/informes/RendicionCuentas/informe-de-memorias-rendicion-de-cuentas-2021.pdf</t>
  </si>
  <si>
    <t xml:space="preserve">Durante el 2021 se dio cumplimiento al 100% de las actividades planteadas dentro de la estrategia de rendicion de cuentas, lo anterior se evidencia en el informe de memorias aportado como evidencia. </t>
  </si>
  <si>
    <t>Gestión de contratación</t>
  </si>
  <si>
    <t>Eficiencia</t>
  </si>
  <si>
    <t>N° documentos revisados/N° documentos recibidos que cumplan con la totalidad los requisitos</t>
  </si>
  <si>
    <t>Revisar los estudios y documentos previos que elaboran las áreas ejecutoras, de tal forma que se ajusten a la normativa vigente</t>
  </si>
  <si>
    <t>Milton Cuervo</t>
  </si>
  <si>
    <t>Asesor</t>
  </si>
  <si>
    <t>milton.cuervo@aunap.gov.co</t>
  </si>
  <si>
    <t>Talento Humano</t>
  </si>
  <si>
    <t>De 49 documentos de estudios previos radicados y revisados, 49 documentos cumplían con la totalidad de requisitos para iniciar el trámite.</t>
  </si>
  <si>
    <t>https://drive.google.com/drive/folders/1nE89tuiq54uygP4vd6BKiShcSbk3CaXh?usp=sharing</t>
  </si>
  <si>
    <r>
      <rPr>
        <rFont val="Arial"/>
        <color rgb="FF000000"/>
        <sz val="10.0"/>
      </rPr>
      <t xml:space="preserve">De acuerdo a lo reportado en los respectivos trimestre </t>
    </r>
    <r>
      <rPr>
        <rFont val="Arial"/>
        <color rgb="FF1155CC"/>
        <sz val="10.0"/>
        <u/>
      </rPr>
      <t>https://drive.google.com/drive/folders/1kHuiQaQQm1dJnLVAe4TtxStWpJrxjVi-?usp=sharing</t>
    </r>
  </si>
  <si>
    <t>N° de procesos publicados / N° de procesos radicados que cumplan con la totalidad los requisitos.</t>
  </si>
  <si>
    <t>Desarrollar los procesos públicos de selección de acuerdo con las modalidades de selección establecidas en la ley.</t>
  </si>
  <si>
    <t>De 9 solicitudes de procesos públicos de selección radicadas que cumplían con la totalidad de requisitos, se desarrollaron 9 procesos públicos de selección en SECOP.</t>
  </si>
  <si>
    <r>
      <rPr>
        <rFont val="Arial"/>
        <color rgb="FF000000"/>
        <sz val="10.0"/>
      </rPr>
      <t xml:space="preserve">De acuerdo a lo reportado en los respectivos trimestre </t>
    </r>
    <r>
      <rPr>
        <rFont val="Arial"/>
        <color rgb="FF1155CC"/>
        <sz val="10.0"/>
        <u/>
      </rPr>
      <t>https://drive.google.com/drive/folders/1kHuiQaQQm1dJnLVAe4TtxStWpJrxjVi-?usp=sharing</t>
    </r>
  </si>
  <si>
    <t>N° contratos suscritos/N° contratos adjudicados.</t>
  </si>
  <si>
    <t>Elaborar y/o estructurar los contratos con todas las condiciones para su formalización</t>
  </si>
  <si>
    <t>se suscribieron y estructuraron 48 contratos de 48 que cumplían con todas las condiciones para su formalización.</t>
  </si>
  <si>
    <r>
      <rPr>
        <rFont val="Arial"/>
        <color rgb="FF000000"/>
        <sz val="10.0"/>
      </rPr>
      <t xml:space="preserve">De acuerdo a lo reportado en los respectivos trimestre </t>
    </r>
    <r>
      <rPr>
        <rFont val="Arial"/>
        <color rgb="FF1155CC"/>
        <sz val="10.0"/>
        <u/>
      </rPr>
      <t>https://drive.google.com/drive/folders/1kHuiQaQQm1dJnLVAe4TtxStWpJrxjVi-?usp=sharing</t>
    </r>
  </si>
  <si>
    <t>N° de contratos y/o convenios liquidados/N°contratos y/o convenios con solicitud de liquidación con la totalidad los requisitos..</t>
  </si>
  <si>
    <t>Revisar y aprobar actas de liquidación de contratos y convenios</t>
  </si>
  <si>
    <t>En el cuarto trimestre 2021,se liquidaron 11 contratos y convenios, de los 11 solicitudes radicadas que cumplían con la totalidad de requisitos.</t>
  </si>
  <si>
    <r>
      <rPr>
        <rFont val="Arial"/>
        <color rgb="FF000000"/>
        <sz val="10.0"/>
      </rPr>
      <t xml:space="preserve">De acuerdo a lo reportado en los respectivos trimestre </t>
    </r>
    <r>
      <rPr>
        <rFont val="Arial"/>
        <color rgb="FF1155CC"/>
        <sz val="10.0"/>
        <u/>
      </rPr>
      <t>https://drive.google.com/drive/folders/1kHuiQaQQm1dJnLVAe4TtxStWpJrxjVi-?usp=sharing</t>
    </r>
  </si>
  <si>
    <t>N° de procesos publicados / N° de procesos desarrollados</t>
  </si>
  <si>
    <t>Publicar los procesos de contratación con la documentación derivada del mismo en el sistema electrónico de contratación pública</t>
  </si>
  <si>
    <t>En el Cuarto trimestre 2021, se publicaron 49 procesos junto con la documentación derivada del mismo, de los 49 procesos que se estaban desarrollando, esto incluyendo los procesos públicos de selección y los de contratación directa.</t>
  </si>
  <si>
    <r>
      <rPr>
        <rFont val="Arial"/>
        <color rgb="FF000000"/>
        <sz val="10.0"/>
      </rPr>
      <t xml:space="preserve">De acuerdo a lo reportado en los respectivos trimestre </t>
    </r>
    <r>
      <rPr>
        <rFont val="Arial"/>
        <color rgb="FF1155CC"/>
        <sz val="10.0"/>
        <u/>
      </rPr>
      <t>https://drive.google.com/drive/folders/1kHuiQaQQm1dJnLVAe4TtxStWpJrxjVi-?usp=sharing</t>
    </r>
  </si>
  <si>
    <t>N° de trámites adelantados /N° de solicitudes de incumplimiento</t>
  </si>
  <si>
    <t>Adelantar los trámites de incumplimientos de acuerdo con la normatividad vigente</t>
  </si>
  <si>
    <t>Se adelantaron dos (2) trámites de incumplimiento de dos (2) solicitudes radicadas.</t>
  </si>
  <si>
    <r>
      <rPr>
        <rFont val="Arial"/>
        <color rgb="FF000000"/>
        <sz val="10.0"/>
      </rPr>
      <t xml:space="preserve">De acuerdo a lo reportado en los respectivos trimestre </t>
    </r>
    <r>
      <rPr>
        <rFont val="Arial"/>
        <color rgb="FF1155CC"/>
        <sz val="10.0"/>
        <u/>
      </rPr>
      <t>https://drive.google.com/drive/folders/1kHuiQaQQm1dJnLVAe4TtxStWpJrxjVi-?usp=sharing</t>
    </r>
  </si>
  <si>
    <t>N° de certificaciones expedidas / N° de certificaciones solicitadas</t>
  </si>
  <si>
    <t>Expedir certificaciones de los contratos</t>
  </si>
  <si>
    <t>De 221 solicitudes recibidas al grupo de gestión contractual en el cuarto trimestre ( donde se requerían la expedición de 206 certificados contractuales) se dio respuesta a 77 solicitudes en las que se certificaban 86 contratos al 31 de diciembre de 2021
 Nota 1: Hay peticiones donde a veces piden la certificación de más de 1 contrato. 
 Nota 2: Las peticiones restantes sin contestar al 31 de diciembre de 2021, se continuaron contestando excediendo la vigencia 2021, sin violar los términos de ley para responder una petición</t>
  </si>
  <si>
    <r>
      <rPr>
        <rFont val="Arial"/>
        <color rgb="FF000000"/>
        <sz val="10.0"/>
      </rPr>
      <t xml:space="preserve">De acuerdo a lo reportado en los respectivos trimestre </t>
    </r>
    <r>
      <rPr>
        <rFont val="Arial"/>
        <color rgb="FF1155CC"/>
        <sz val="10.0"/>
        <u/>
      </rPr>
      <t>https://drive.google.com/drive/folders/1kHuiQaQQm1dJnLVAe4TtxStWpJrxjVi-?usp=sharing</t>
    </r>
  </si>
  <si>
    <t>Evaluación Seguimiento y Control</t>
  </si>
  <si>
    <t>Control Interno</t>
  </si>
  <si>
    <t>Implementar y mantener el Sistema de Gestión de la Calidad (SGC) y Modelo Estándar de Control Interno (MECI)</t>
  </si>
  <si>
    <t>Eficiente</t>
  </si>
  <si>
    <t>Número de Acciones del plan anual de auditorias ejecutadas/Número de Acciones del plan anual de auditorias programadas</t>
  </si>
  <si>
    <t>Ejecución del plan Anual de Auditorias</t>
  </si>
  <si>
    <t>Control interno</t>
  </si>
  <si>
    <t>Euripides Gonzalez</t>
  </si>
  <si>
    <t>Asesor de control interno</t>
  </si>
  <si>
    <t>Euripides.gonzalez@aunap.gov.co</t>
  </si>
  <si>
    <t>humanos, Físicos, Financieros, Tecnológicos</t>
  </si>
  <si>
    <t>Se cumplió con el 100% de las actividades estipuladas en Plan Anual de Auditoria 2021</t>
  </si>
  <si>
    <t>https://drive.google.com/file/d/15dv-wwsI3PbZM9E_OMgC2H0bU__H6RMr/view?usp=sharing</t>
  </si>
  <si>
    <t>Gestión de control interno disciplinario</t>
  </si>
  <si>
    <t>Control Interno Disciplinario</t>
  </si>
  <si>
    <t>Número de informe sobre el estado de los procesos disciplinarios vigencia 2020 realizados/Número de informe sobre el estado de los procesos disciplinarios vigencia 2020 programados</t>
  </si>
  <si>
    <t>Elaboracion de un informe sobre el estado de los procesos disciplinarios vigencia 2020</t>
  </si>
  <si>
    <t>Secretaria General</t>
  </si>
  <si>
    <t>Daniel Ariza Heredia</t>
  </si>
  <si>
    <t>Secretario General</t>
  </si>
  <si>
    <t>daniel.ariza@aunap.gov.co</t>
  </si>
  <si>
    <t>Se presentó a la Secretaría General el informe anual del desarrollo de los procesos disciplinarios en la vigencia 2021</t>
  </si>
  <si>
    <t>https://drive.google.com/file/d/1GEXu8PP3O5K5aZp5ozROrEFHNEoyFBvc/view?usp=sharing</t>
  </si>
  <si>
    <t>En el informe se puede apreciar la evolucion delos procesos en la vigencia 2021</t>
  </si>
  <si>
    <t>Relación de la Ley 734 de 2002 y las normas que lo complementan en el 100% de las actuaciones generadas por CID.</t>
  </si>
  <si>
    <t>Aplicación de la Ley 734 de 2002 y las normas que lo complementan</t>
  </si>
  <si>
    <t>En el ultimo trimestre se emitieron 15 Autos en las investigaciones disciplinarias adelantadas por la Secretaría General de la AUNAP</t>
  </si>
  <si>
    <t>https://docs.google.com/spreadsheets/d/1at4h8_HmpQ-OoOvddwCIVvJwMo_01v_J/edit?usp=sharing&amp;ouid=107668153786589467991&amp;rtpof=true&amp;sd=true</t>
  </si>
  <si>
    <t xml:space="preserve">Durantela vigencia 2021 se impulsó la totalidad de procesos </t>
  </si>
  <si>
    <t>Número de actividades de divulgación sobre derecho disciplinario realizadas/Número de actividades de divulgación sobre derecho disciplinario programadas</t>
  </si>
  <si>
    <t>Realizar actividades de divulgación sobre derecho disciplinario</t>
  </si>
  <si>
    <t xml:space="preserve">Durante el cuarto trimestre de 2021 se elaboraron 2* tips disciplinarios y se partició en una actividad de reinducción en la cual se capacitó sobre Derechos, deberes, inhabilidades e incompatibilidades de los servidores públicos. 
* La publicación del segundo tip disciplinario se realizo el día 11 de enero de 2022, debido a demora en la dependencia de comunicaciones, ajena a CID. </t>
  </si>
  <si>
    <t>https://drive.google.com/file/d/1E-GBGzVrRWmj0TfQdGoI6yjOovmG67qX/view?usp=sharing</t>
  </si>
  <si>
    <t xml:space="preserve">En la vigencia 2021 se realizaron las actividades de divulgación previstas. </t>
  </si>
  <si>
    <t>Gestión de la administración y fomento</t>
  </si>
  <si>
    <t>Dirección Técnica de Administración y Fomento</t>
  </si>
  <si>
    <t>Fortalecimiento de la sostenibilidad del sector pesquero y de la acuicultura en el territorio nacional</t>
  </si>
  <si>
    <t>Sostenibilidad</t>
  </si>
  <si>
    <t>Mejorar la explotación de los recursos pesqueros y de la acuicultura.</t>
  </si>
  <si>
    <t>Servicios de administración de los recurso pesqueros y de la acuicultura</t>
  </si>
  <si>
    <t>Regular el manejo y el ejercicio de la actividad pesquera y de la acuicultura.</t>
  </si>
  <si>
    <t>Tramites atendidos</t>
  </si>
  <si>
    <t>Atender Tramites</t>
  </si>
  <si>
    <t>Jhon Jairo Restrepo</t>
  </si>
  <si>
    <t>Director Jhon Jairo Restrepo</t>
  </si>
  <si>
    <t>jhon.restrepo@aunap.gov.co</t>
  </si>
  <si>
    <t>Humano, físico, financiero, tecnológico</t>
  </si>
  <si>
    <t>Propiciar la formalización de la pesca y la acuicultura</t>
  </si>
  <si>
    <t>Fortalecimiento Organizacional y Simplificación de Procesos</t>
  </si>
  <si>
    <t xml:space="preserve">Se realizarón para el segundo semestre de 2021 9.999 tramites </t>
  </si>
  <si>
    <t>https://drive.google.com/drive/folders/1BRXckC8rqYQ95sJQ8CN3-rZdf2uHPFJO</t>
  </si>
  <si>
    <t xml:space="preserve">Se realizarón para el 2021 total de 19.999 tramites </t>
  </si>
  <si>
    <t>Servicio de ordenación pesquera y de la acuicultura</t>
  </si>
  <si>
    <t>Generar acuerdos de ordenación de la actividad pesquera y de la acuicultura.</t>
  </si>
  <si>
    <t>Acuerdos de ordenacion atendidos</t>
  </si>
  <si>
    <t>Se generaron 3 acuerdos de ordenación de la actividad pesquera y de la acuicultura.</t>
  </si>
  <si>
    <t>https://drive.google.com/drive/folders/1PStr2um-m1jzamDv_NjyLBhgiQLZPv1r</t>
  </si>
  <si>
    <t>Se generarón 4 acuerdos de ordenación de la actividad pesquera y de la acuicultura.</t>
  </si>
  <si>
    <t>Mejorar las prácticas de pesca y de acuicultura.</t>
  </si>
  <si>
    <t>Servicios de apoyo al fomento de la pesca y la acuicultura</t>
  </si>
  <si>
    <t>Generar acciones de fomento para la pesca, la acuicultura y sus actividades conexas.</t>
  </si>
  <si>
    <t>Organizaciones atendidas</t>
  </si>
  <si>
    <t>Apoyar a asociaciones con acciones de fomento de la pesca y la acuicultura en el territorio nacional</t>
  </si>
  <si>
    <t>https://drive.google.com/drive/folders/1NNNX-YQbHWOmeJbBv7hvIDPS-GOU2BEH</t>
  </si>
  <si>
    <t>1-Servicios de apoyo a las estaciones de acuicultura</t>
  </si>
  <si>
    <t>Producir alevinos para el sector productivo y/o con fines de repoblamiento.</t>
  </si>
  <si>
    <t>Estaciones de acuicultura apoyadas</t>
  </si>
  <si>
    <t xml:space="preserve">Apoyar a tres estaciones de acuicultura
</t>
  </si>
  <si>
    <t xml:space="preserve">Se apoyaron a las tres estaciones </t>
  </si>
  <si>
    <t>https://drive.google.com/drive/folders/1eduQ0x8rjQ3A2_hiMgMfkxbEq-PIMtO8</t>
  </si>
  <si>
    <t>Desarrollar acciones de extensión rural a través de las estaciones de acuicultura</t>
  </si>
  <si>
    <t>Gestión</t>
  </si>
  <si>
    <t>Efectividad</t>
  </si>
  <si>
    <t>Realizar eventos informativas y divulgativos de acuicultura a traves de las estaciones</t>
  </si>
  <si>
    <t>Desarrollar campañas informativas y divulgadas de acciones de acuicultura a traves de las estaciones</t>
  </si>
  <si>
    <t xml:space="preserve">Se desarrollaron las 15 actividades para las tres estaciones </t>
  </si>
  <si>
    <t>https://drive.google.com/drive/folders/1GrHdPOV5I-4bb_jA9qzES29QALaccIhJ</t>
  </si>
  <si>
    <t>Realizar seguimiento a los acuerdos de ordenación</t>
  </si>
  <si>
    <t>Seguimiento a los acuerdos de ordenación pesquera</t>
  </si>
  <si>
    <t>Realizar seguimiento a los acuerdos de ordenación pesquera</t>
  </si>
  <si>
    <t xml:space="preserve">Se realizaron 6 seguimientos a las ordenaciones </t>
  </si>
  <si>
    <t>https://drive.google.com/drive/folders/1jv5ehh4oKIGuqXqB6--d9fEAP8ZtCx0m</t>
  </si>
  <si>
    <t xml:space="preserve">Se realizaron 11 seguimientos a las ordenaciones </t>
  </si>
  <si>
    <t>Generar estrategias de comercialización y consumo responsable de los productos de la pesca y la acuicultura</t>
  </si>
  <si>
    <t>Número de productores con acuerdos comerciales suscritos beneficiados/Número de productores con acuerdos comerciales suscritos programados para beneficiar</t>
  </si>
  <si>
    <t>Beneficiar a productores con estrategias de inclusión productiva</t>
  </si>
  <si>
    <t>Se beneficiaron 18.512 a productores con estrategias de inclusión productiva</t>
  </si>
  <si>
    <t>https://drive.google.com/drive/folders/1laeL_yxYCEPsqQaTNEHUuZrydUiJoZ0T</t>
  </si>
  <si>
    <t>Se beneficiaron 34.010 a productores con estrategias de inclusión productiva</t>
  </si>
  <si>
    <t>Número de reportes realizados/Número de reporte programado</t>
  </si>
  <si>
    <t>Reportar información relacionada con las acciones de administración, ordenación y fomento de la pesca</t>
  </si>
  <si>
    <t xml:space="preserve">Se reportaron 2 información + relacionadas con las acciones de administración, ordenación y fomento de la pesca del IV trimestre </t>
  </si>
  <si>
    <t>https://drive.google.com/drive/folders/1I3ZzXSyi2ZUGDVflj7ickW9XVPJSq6X9</t>
  </si>
  <si>
    <t xml:space="preserve">Se reportaron 6 informacines relacionadas con las acciones de administración, ordenación y fomento de la pesca del IV trimestre </t>
  </si>
  <si>
    <t>Realizar acciones de divulgación y formalización de la actividad pesquera y de la acuicultura.</t>
  </si>
  <si>
    <t>Número de congresos de pescadores realizados/Número de congresos de pescadores programados</t>
  </si>
  <si>
    <t>Realizar el Congreso de pescadores</t>
  </si>
  <si>
    <t xml:space="preserve">Se realizó 1 Congreso de pescadores artesanales </t>
  </si>
  <si>
    <t>https://drive.google.com/drive/folders/1s808CwNSY6OS9vCbor7XdLhVMN7LNKmq</t>
  </si>
  <si>
    <t>Número de estrategia de informacion realizadas</t>
  </si>
  <si>
    <t>Generar estrategia de informacion en los diferentes medios de comunicación, tradicionales, alternativos y digitales, que propendan por el fortalecimiento y la sostenibilidad de los recursos pesqueros y acuicolas en el territorio nacional</t>
  </si>
  <si>
    <t>Se realizó la estrategia de informacion en los diferentes medios de comunicación, tradicionales, alternativos y digitales, que propendan por el fortalecimiento y la sostenibilidad de los recursos pesqueros y acuicolas en el territorio nacional</t>
  </si>
  <si>
    <t>https://drive.google.com/drive/folders/11wW1qQECbo9YuUTDUyrTOncebXMdUYMY</t>
  </si>
  <si>
    <t>Número de Documentos técnico realizados/Número de documentos técnicos programados</t>
  </si>
  <si>
    <t>Caracterizar a pescadores artesanales</t>
  </si>
  <si>
    <t>Se realiza la Caracterización de pescadores artesanales</t>
  </si>
  <si>
    <t>https://drive.google.com/drive/folders/1_-WWEj9S6P-i0s9CA1KyDGbKCb5fNAGV</t>
  </si>
  <si>
    <t>Actos Administrativos de caracter general publicados y comunicados</t>
  </si>
  <si>
    <t>Expedir actos administrativos de caracter general publicados y comunicados</t>
  </si>
  <si>
    <t>Se expedieron 5 actos administrativos de caracter general publicados y comunicados</t>
  </si>
  <si>
    <t>https://drive.google.com/drive/folders/1NWuC5FmMiVvi2YtOSmxeub_uSNPMhIgg</t>
  </si>
  <si>
    <t>Se expedieron 12 actos administrativos de caracter general publicados y comunicados</t>
  </si>
  <si>
    <t>Número de carnés de pescadores artesanales expedidos /Número de carnés de pescadores artesanales programados</t>
  </si>
  <si>
    <t>Formalizar pescadores artesanales.</t>
  </si>
  <si>
    <t>Se realizaron 23.839 formalización pescadores artesanales.</t>
  </si>
  <si>
    <t>https://drive.google.com/drive/folders/1kZR6J8ELgvIZ4CmzNPhxZ27vxW_RLiPA</t>
  </si>
  <si>
    <t>Gestión de la inspección y vigilancia</t>
  </si>
  <si>
    <t>Dirección Técnica de Inspección y Vigilancia</t>
  </si>
  <si>
    <t>Desarrollo de las actividades de inspección y vigilancia para el mejoramiento del ejercicio de la actividad pesquera y la acuicultura a nivel nacional</t>
  </si>
  <si>
    <t>Inspección</t>
  </si>
  <si>
    <t>Aumentar el conocimiento de la normatividad pesquera y de la acuicultura por parte de la comunidad.</t>
  </si>
  <si>
    <t>Servicio de divulgación y socialización</t>
  </si>
  <si>
    <t>Implementar las estrategias de socialización y Divulgación a la comunidad</t>
  </si>
  <si>
    <t>Eventos realizados</t>
  </si>
  <si>
    <t>Realizar eventos de socialización y divulgación dirigidos a grupos de interés para disminuir las malas prácticas de pesca y de la acuicultura a nivel nacional.</t>
  </si>
  <si>
    <t>Nelcy Villa</t>
  </si>
  <si>
    <t>Directora técnica de inspección y vigilancia</t>
  </si>
  <si>
    <t>nelcy.villa@aunap.gov.co</t>
  </si>
  <si>
    <t>Hacer ordenación de la actividad pesquera a nivel nacional fomentando la legalidad de la actividad pesquera y acuícola</t>
  </si>
  <si>
    <t>Se dío cumplimiento de la actividad 100%</t>
  </si>
  <si>
    <t>https://drive.google.com/drive/folders/1pGfwLUzldDSjCwqHdWdRIRWgOVXHsKOF?usp=sharing</t>
  </si>
  <si>
    <t>Cumplido</t>
  </si>
  <si>
    <t>Fortalecer los mecanismos de seguimiento y control de la actividad pesquera y de la acuicultura.</t>
  </si>
  <si>
    <t>Servicio de inspección, vigilancia y control de la pesca y la acuicultura</t>
  </si>
  <si>
    <t>Realizar los operativos de inspección, vigilancia y control.</t>
  </si>
  <si>
    <t>Operativos de inspección, vigilancia y control realizados</t>
  </si>
  <si>
    <t>Realizar los operativos de inspección, vigilancia y control realizados por la DTIV a nivel nacional</t>
  </si>
  <si>
    <t>Teniendo en cuenta el ingraso de la nueva Contratista a aopoyar el tema de operativos, se aumento la actividad.</t>
  </si>
  <si>
    <t>https://drive.google.com/drive/folders/1pocybs9uS02d7fcFywingDBySKgSwIAG?usp=sharing</t>
  </si>
  <si>
    <t>Realizar seguimiento a los procesos y procedimientos del área.</t>
  </si>
  <si>
    <t>Informes de seguimiento realizados sobre la implementación de los procesos de la DTIV para el control de la pesca y de la acuicultura a nivel nacional</t>
  </si>
  <si>
    <t>Realizar informe de seguimiento a la implementación de los procesos de la DTIV para el control de la pesca y de la acuicultura a nivel nacional</t>
  </si>
  <si>
    <t>https://drive.google.com/drive/folders/1Pcab42Xifb71zhcwfTmfo95M_NIPwI-Q?usp=sharing</t>
  </si>
  <si>
    <t>Para el cumplimiento de esta activida, se implemento la Estrategia de la nueva Directora Tecnica.</t>
  </si>
  <si>
    <t>Participar en la elaboración de las medidas de ordenación y control.</t>
  </si>
  <si>
    <t>Documento propuesta de las cuotas globales de pesca realizados</t>
  </si>
  <si>
    <t>Elaborar documento propuesta de las cuotas globales de pesca como insumo para la emisión del acto administrativo.</t>
  </si>
  <si>
    <t>N/A</t>
  </si>
  <si>
    <t>Realizar seguimiento y actualización al registro general de pesca.</t>
  </si>
  <si>
    <t xml:space="preserve">Actualizaciones realizadas a la base de datos del Registro General de Pesca.
</t>
  </si>
  <si>
    <t>Actualizar las bases de datos para el seguimiento de los permisionarios en el registro general de pesca - RGP</t>
  </si>
  <si>
    <t>Se dio cumplimiento a esta actividad 100%</t>
  </si>
  <si>
    <t>https://drive.google.com/drive/folders/1UkEn016ZnnggLD-nTydbstwYZEWzKHmz?usp=sharing</t>
  </si>
  <si>
    <t>Se cumplio la meta</t>
  </si>
  <si>
    <t>Fortalecimiento del servicio estadístico pesquero colombiano a nivel nacional</t>
  </si>
  <si>
    <t>Sepec</t>
  </si>
  <si>
    <t>Fortalecer los mecanismos de recolección y análisis de la información estadística de la actividad pesquera y de la acuicultura.</t>
  </si>
  <si>
    <t>_Servicio de análisis de Información para la planificación pesquera y de la acuicultura</t>
  </si>
  <si>
    <t>Analizar la información estadística de la pesca y la acuicultura.</t>
  </si>
  <si>
    <t>Análisis generados</t>
  </si>
  <si>
    <t>Realizar el seguimiento de la actualización a las bases de datos, análisis generados de los componentes del Servicio Estadístico Pesquero Colombiano - SEPEC</t>
  </si>
  <si>
    <t>Bimestral</t>
  </si>
  <si>
    <t>Se dio el cumplimiento el 100%</t>
  </si>
  <si>
    <t>https://drive.google.com/drive/folders/1ZFbNnWmHfqzwADyeZ3h6dTVw0YPvl_yZ?usp=sharing</t>
  </si>
  <si>
    <t>Informes reportados a la oficina de comunicaciones sobre los operativos de inspección, vigilancia y control realizados.</t>
  </si>
  <si>
    <t>Reportar la información de los operativos de inspección, vigilancia y control realizados para su divulgacion.</t>
  </si>
  <si>
    <t>se dio cumplimiento a la actividad.</t>
  </si>
  <si>
    <t>https://drive.google.com/drive/folders/1_H1edwoqztlDFf4TLB8j_KgzdrpKE_3u?usp=sharing</t>
  </si>
  <si>
    <t>Gestión documental</t>
  </si>
  <si>
    <t>Gestión Documental</t>
  </si>
  <si>
    <t>Servicio de Gestión Documental</t>
  </si>
  <si>
    <t>Actualizar y mantener el Sistema de Gestión Documental</t>
  </si>
  <si>
    <t>Numero de intervenciones realizadas/Numero de intervenciones programadas</t>
  </si>
  <si>
    <t>Realizar los inventarios de Archivo de Nivel Central</t>
  </si>
  <si>
    <t>Funcionario</t>
  </si>
  <si>
    <t>Talento humano</t>
  </si>
  <si>
    <t>Plan Institucional de Archivos de la Entidad -PINAR</t>
  </si>
  <si>
    <t xml:space="preserve">Se realizaron los inventarios de las areas del nivel central </t>
  </si>
  <si>
    <t>https://drive.google.com/drive/folders/1PIxzsmn4zSL4I5ldCZAWVURrsoqD08p-?usp=sharing</t>
  </si>
  <si>
    <t xml:space="preserve">Se cumplió con las actividades planeadas en el Plan Institucional </t>
  </si>
  <si>
    <t>Realizar la organizacion de los archivos de Gestion</t>
  </si>
  <si>
    <t>Se realizó la organización de los expedientes de acuerdo a las series y subseries documentales de las areas de nivel central</t>
  </si>
  <si>
    <r>
      <rPr>
        <rFont val="Arial"/>
        <color rgb="FF1155CC"/>
        <sz val="10.0"/>
        <u/>
      </rPr>
      <t>https://drive.google.com/drive/folders/1PIxzsmn4zSL4I5ldCZAWVURrsoqD08p-?usp=sharing</t>
    </r>
    <r>
      <rPr>
        <rFont val="Arial"/>
        <sz val="10.0"/>
      </rPr>
      <t>g</t>
    </r>
  </si>
  <si>
    <t>Sensibilizacion a las areas de la AUNAP</t>
  </si>
  <si>
    <t xml:space="preserve">Se realizaron las sensibilizaciones a las areas </t>
  </si>
  <si>
    <t>Gestión financiera</t>
  </si>
  <si>
    <t>Número de estados financieros elaborados, presentados, transmitidos y publicados/Número de Estados financieros programados para elaboración, presentación, transmición y publicación</t>
  </si>
  <si>
    <t>Elaboración, presentación, transmisión y publicación de estados financieros con la periodicidad requerida, de conformidad con el nuevo Marco Normativo y Conceptual para Entidades de Gobierno, entes de control o terceros que lo requieran. Será publicado en pagina web. (Publicaciones)</t>
  </si>
  <si>
    <t>Sharol Natalia Mora</t>
  </si>
  <si>
    <t>Coordinador Financiero</t>
  </si>
  <si>
    <t>natalia.mora@aunap.gov.co</t>
  </si>
  <si>
    <t>Publicacion en la pagina web los estados financieros. Por actualización y migración de la pagina web, la información se encuentra en sección vieja transparencia.</t>
  </si>
  <si>
    <t>https://www.aunap.gov.co/presupuesto/estados-financieros/</t>
  </si>
  <si>
    <t>SE DIO CUMPLIMIENTO A LOS ESTABLECIDO EN LA META DE LA VIGENCIA 2021</t>
  </si>
  <si>
    <t>Número de publicaciones  de estados financieros realizadas</t>
  </si>
  <si>
    <t>Número de controles de ejecución presupuestal realizados</t>
  </si>
  <si>
    <t>Realizar el  control y registro de las operaciones financieras de acuerdo con los recursos disponibles de la entidad. Integra las actividades relacionadas con la adquisición de bienes y servicios, la gestión de proyectos de inversión  y el registro de la ejecución del presupuesto.(publicaciones )</t>
  </si>
  <si>
    <t>Publicación de ejecucion presupuestal pagina web.Por actualización y migración de la pagina web, la información se encuentra en sección vieja transparencia.</t>
  </si>
  <si>
    <t>https://www.aunap.gov.co/presupuesto/presupuesto-general-asignado/ejecucion-presupuesto-2021/</t>
  </si>
  <si>
    <t>SE DIO CUMPLIMIENTO A LOS ESTABLECIDO EN LA META DE LA VIGENCIA 2021 DE LA EJECUCION PRESUPUESTAL</t>
  </si>
  <si>
    <t>Gestión jurídica</t>
  </si>
  <si>
    <t>Oficina Asesor Jurídica</t>
  </si>
  <si>
    <t>(Número de respuestas atendidas oportunamente a los procesos judiciales, PQRS y actuaciónes judiciales ./Número procesos judicales, PQRS, consultas, actuaciónes judiciales radicadas en la OAJ*100</t>
  </si>
  <si>
    <t>Atender  oportunamente la representación judicial y extrajudicial en los procesos y actuaciones que se instauren en su contra o que esta deba promover  la entidad, las PQRS, consultas, actuaciónes judiciales radicadas en la OAJ.</t>
  </si>
  <si>
    <t>Oficina Asesoria Juridica</t>
  </si>
  <si>
    <t>Miguel Angel Ardila</t>
  </si>
  <si>
    <t>Jefe Oficina Asesora Juridica</t>
  </si>
  <si>
    <t>miguel.ardila@aunap.gov.co</t>
  </si>
  <si>
    <t>Defensa Jurídica</t>
  </si>
  <si>
    <t xml:space="preserve">La Oficina Asesora Jurídica ha adelantado oportunamente la representación judicial y extrajudicial en los procesos y actuaciones que se instauren en su contra, así como las PQRS y consultas requeridas. </t>
  </si>
  <si>
    <t>https://drive.google.com/drive/folders/1i3VQQms5w8zYUPp90L1xKnV7cZqVvV_-</t>
  </si>
  <si>
    <t xml:space="preserve">Se han atendido oportunamente, las PQRS, consultas y procesos judiciales en los cuales la entidad es parte. </t>
  </si>
  <si>
    <t>Número de cobro persuasivo y/o coactivo atendidos/Número de procesos allegados a la OAJ por ente coactivo *100</t>
  </si>
  <si>
    <t>Coordinar el proceso de cobro persuasivo y/o coactivo de conformidad a la Resolucion 1708 del 5 de octubre de 2016 "Reglamento Interno de Cartera y Manual de Cobro Coactivo" suscrito por la Oficina Asesora Jurídica.</t>
  </si>
  <si>
    <t xml:space="preserve">La Oficina Asesora Jurídica ha adelantado el proceso de cobro coactivo y persuasivo de conformidad a la Resolucion 1708 del 5 de octubre de 2016 "Reglamento Interno de Cartera y Manual de Cobro Coactivo" </t>
  </si>
  <si>
    <t>https://drive.google.com/drive/folders/1u8YbH26Y-46Z6v3Uw602siWIb9lT8h6h</t>
  </si>
  <si>
    <t>Actualmente la Oficina tiene 28 procesos de cobro coactivo, los cuales han sido atendidos de forma oportuna, y por ello se evidencia su ejecución.</t>
  </si>
  <si>
    <t>Número de actos administrativos  revisados y Proyectados/ Número de solicitudes de revisión y proyección de actos administrativos por parte de la Dirección General y  demas areas AUNAP*100</t>
  </si>
  <si>
    <t>Proyectar y revisar los actos administrativos segun solicitud de la Dirección General, igualmente apoyo y acompañamiento juridico a las demas àreas de la entidad.</t>
  </si>
  <si>
    <t>La Oficina Asesora Jurídica, ha revisado y proyectado los actos administrativos requeridos por la Dirección General.</t>
  </si>
  <si>
    <t>https://docs.google.com/spreadsheets/d/1DGzArBUHGy02sFBrVHTiPflUyFWjtMtT/edit#gid=281554361</t>
  </si>
  <si>
    <t xml:space="preserve">Dentro del cuatrimistre se requió la revisión de 45 resoluciones, las cuales fueron atendidos de manera oportuna. </t>
  </si>
  <si>
    <t>Número de proyectos de ley, conceptos o materias legales/Número revision y elaboracion de proyectos de ley , coceptos o materias legales * 100</t>
  </si>
  <si>
    <t>Acompañamiento juridico en la elaboraciòn de los proyectos de ley, conceptos o materias legales y asesorar juridicamente al Director General y demàs istancias de la entidad</t>
  </si>
  <si>
    <t>La Oficina Asesora Jurídica, ha participado de manera activa en la construcción de los proyectos de ley y ha atendido los requerimientos del Director General.</t>
  </si>
  <si>
    <t>https://drive.google.com/drive/folders/1aA0PrU4No-ZJgotdOnPMDO5u5Y_fBaO4</t>
  </si>
  <si>
    <t xml:space="preserve">Dentro del cuatrimistre se han atendido los requerimientos del Director General y se ha participado en la construcción de los proyectos de ley . </t>
  </si>
  <si>
    <t>Porcentaje del Sistema Unico de Gestión e Información de Actividad Litigiosa del Estado - eKOGUI actualizado con las piezas procesales.</t>
  </si>
  <si>
    <t>Seguimiento y actualizacion de las piezas procesales, provisiones y riesgos de cada uno de los procesos en la plataforma Sistema Unico de Gestión e Información de Actividad Litigiosa del Estado - eKOGUI. Asi mismo, participacion y toma de decisiones en el Comite de Conciliacion de la entidad.</t>
  </si>
  <si>
    <t>La Oficina Asesora Jurídica, ha realizado la respectiva actualización de las fichas procesales, así como la provisión del  riesgo de cada uno de los procesos en la plataforma Sistema Unico de Gestión e Información de Actividad Litigiosa del Estado (eKOGUI).</t>
  </si>
  <si>
    <t>https://drive.google.com/drive/folders/1g0_J6GkOcAihiro6pN1TCwb8yl9pwY9R</t>
  </si>
  <si>
    <t>Se ha actualizado las fichas procesales de la plataforma eKOGUI, así como su provisión contable.</t>
  </si>
  <si>
    <t>Gestión de la información y generación del conocimiento</t>
  </si>
  <si>
    <t>Oficina de Generación del Conocimiento y la Información</t>
  </si>
  <si>
    <t>Desarrollo de actividades de investigación para la generación de conocimiento científico, técnico, social y económico de la pesca y la acuicultura a nivel nacional</t>
  </si>
  <si>
    <t>Investigación</t>
  </si>
  <si>
    <t>Incrementar el conocimiento científico y técnico del estado de los recursos pesqueros y de la actividad pesquera</t>
  </si>
  <si>
    <t>Documentos de investigación</t>
  </si>
  <si>
    <t>Realizar cruceros de prospección, ubicación y potencialidad de recursos pesqueros marinos pelágicos y demersales en el pacífico y mar caribe</t>
  </si>
  <si>
    <t>Documentos de investigación elaborados</t>
  </si>
  <si>
    <t>Construcción de documentos de investigacion con el fin de generar conocimiento sobre la evaluacion del recurso pesquero y de la actividad pesquera, realizadas desde la OGCI</t>
  </si>
  <si>
    <t>Maria Angarita Peñaranda</t>
  </si>
  <si>
    <t>Jefe Oficina</t>
  </si>
  <si>
    <t>maria.angarita@aunap.gov.co</t>
  </si>
  <si>
    <t>Humanos, fisicos, financieros y tecnologicos</t>
  </si>
  <si>
    <t>Gestión del conocimiento</t>
  </si>
  <si>
    <t>Gestión del Conocimiento y la Innovación</t>
  </si>
  <si>
    <t>Se adjuntan tres (3) documentos de investigacion con el fin de generar conocimiento sobre la evaluacion del recurso pesquero y de la actividad pesquera</t>
  </si>
  <si>
    <t>https://drive.google.com/drive/folders/1YnnHgo5Luy54h-sApi0gLnJ6yUtp4Lpm?usp=sharing</t>
  </si>
  <si>
    <t>Se cumplio con la meta contemplada para esta accion</t>
  </si>
  <si>
    <t>Evaluar el estado de aprovechamiento de los recursos pesqueros marinos, continentales y ornamentales en las cuencas hidrográficas del país</t>
  </si>
  <si>
    <t>https://drive.google.com/drive/folders/1j6VZ5R5DALYisVMB7gJE-Sf6Cxij0xPM?usp=sharing</t>
  </si>
  <si>
    <t>Conceptos técnicos atendidos/Conceptos tecnicos solicitados</t>
  </si>
  <si>
    <t>Emitir conceptos técnicos relacionados con la pesca, atendidos de acuerdo con las solicitudes recibidas.</t>
  </si>
  <si>
    <t xml:space="preserve">Para este trimestre se solicitaron 7 conceptos tecnicos y se atendieron todos estos 7 conceptos
</t>
  </si>
  <si>
    <t>https://drive.google.com/drive/folders/1xHnsvHtPuuLwGhsvLQWVaKDCk9kk8w9V?usp=sharing</t>
  </si>
  <si>
    <t>En todo el año se atendio el 100% de los conceptos solicitados</t>
  </si>
  <si>
    <t>Aumentar el desarrollo de la acuicultura asociado a la optimización de los procesos productivos.</t>
  </si>
  <si>
    <t>Documentos de lineamientos técnicos</t>
  </si>
  <si>
    <t>Determinar las condiciones de bioecología, aclimatación, nutrición y alimentación, reproducción, larvicultura, alevinaje, engorde, patología, etc. en especies nativas y domesticadas de consumo y ornamentales, marinas y continentales</t>
  </si>
  <si>
    <t>Documentos de lineamientos técnicos elaborados</t>
  </si>
  <si>
    <t>Construcción de documentos de lineamientos técnicos generados de las investigaciones en acuicultura realizadas desde la OGCCI</t>
  </si>
  <si>
    <t xml:space="preserve">Se adjuntan cuatro (4) documentos de lineamientos técnicos construidos, generados de las investigaciones en acuicultura realizadas desde la OGCCI meta propuesta para este trimestre para esta actividad, </t>
  </si>
  <si>
    <t>https://drive.google.com/drive/folders/1Oyd481cD5uVNDyRAzGiiBZSogR2yflRk?usp=sharing</t>
  </si>
  <si>
    <t>Evaluar sistemas de producción y nuevas tecnologías en la acuicultura de especies nativas de consumo y ornamentales marinas y continentales</t>
  </si>
  <si>
    <t>https://drive.google.com/drive/folders/1EssJmOrjbzxa4w-7OEYwh4LGpexjexS7?usp=sharing</t>
  </si>
  <si>
    <t>Emitir conceptos técnicos relacionados con la acuicultura, atendidos de acuerdo con las solicitudes recibidas.</t>
  </si>
  <si>
    <t>https://drive.google.com/drive/folders/100jB3zMjYmwOwI8M24_-eN0rWTSOqTUu?usp=sharing</t>
  </si>
  <si>
    <t>Especies animales y vegetales mejoradas</t>
  </si>
  <si>
    <t>Obtener información para el mejoramiento genético de especies nativas con fines de cultivo y repoblamiento y especies exóticas domesticadas con fines de cultivo</t>
  </si>
  <si>
    <t>Especies trabajadas a nivel genético</t>
  </si>
  <si>
    <t>Ejecutar investigaciones en especies acuícolas para trabajos a nivel genético desarrollados desde la OGCI</t>
  </si>
  <si>
    <t xml:space="preserve">Se adjunta documento de investigacion en especie acuícola para trabajos a nivel genético </t>
  </si>
  <si>
    <t>https://drive.google.com/file/d/1Kx4G10V7AV8ut-3rioeQ5t3N0_uyOO2Z/view?usp=sharing</t>
  </si>
  <si>
    <t>Fortalecer la generación de insumos de planificación pesquera y de la acuicultura</t>
  </si>
  <si>
    <t>Servicio de análisis de Información para la planificación pesquera y de la acuicultura</t>
  </si>
  <si>
    <t>Realizar la caracterización socioeconómica de pescadores artesanales, acuicultores continentales y marinos y otros eslabones de la cadena productiva con inclusión de género</t>
  </si>
  <si>
    <t>Elaborar análisis con el uso de herramienta tecnológica ó cartografia, para la recolección, caracterización, almacenamiento, o interpretación de datos e información de recursos pesqueros y  acuicolas, que contribuya a procesos de planificación de estas actividades.</t>
  </si>
  <si>
    <t>Se adjuntan dos (2) análisis con el uso de herramienta tecnológica ó cartografia, para la recolección, caracterización, almacenamiento, o interpretación de datos e información de recursos pesqueros y  acuicolas, que contribuya a procesos de planificación de estas actividades.</t>
  </si>
  <si>
    <t>https://drive.google.com/drive/folders/1AIj78pHLgQ7gMmZbcSg3-NpNICNp4NWc?usp=sharing</t>
  </si>
  <si>
    <t>Recolectar información de la cadena productiva, relacionada con los procesos de comercialización y mercadeo</t>
  </si>
  <si>
    <t>https://drive.google.com/drive/folders/1-zhOXKNuDw6dseUI9V2HCSPtmnrbyVfE?usp=sharing</t>
  </si>
  <si>
    <t>Analizar y procesar la información geográfica de la pesca y de la acuicultura</t>
  </si>
  <si>
    <t>https://drive.google.com/drive/folders/1FQLfQmG5HjPFYcarz8_A0BpgjIICE8So?usp=sharing</t>
  </si>
  <si>
    <t>Eventos de divulgación de resultados</t>
  </si>
  <si>
    <t>Realización de conferencias o conversatorios para la divulgacion de resultados de investigaciones en pesca,  para personal interno de la AUNAP ó para publico externo de la AUNAP</t>
  </si>
  <si>
    <r>
      <rPr>
        <rFont val="Arial"/>
        <color theme="1"/>
      </rPr>
      <t xml:space="preserve">Se realizo conferencia para la divulgación y socialización del Convenio especial de cooperación para el desarrollo de actividades científicas y tecnologías No. 210 del 2021 AUNAP – Fundacion SQUALUS, que tenia como como objetivo </t>
    </r>
    <r>
      <rPr>
        <rFont val="Arial"/>
        <i/>
        <color theme="1"/>
      </rPr>
      <t>"Evaluar diferentes aspectos de los tiburones y rayas en la pesca artesanal del océano pacifico colombiano"</t>
    </r>
  </si>
  <si>
    <t>https://drive.google.com/file/d/1jwQOod65IghpVlgwnImGog-fD8HgC4Se/view?usp=sharing</t>
  </si>
  <si>
    <t>Se cumplio con la meta propuesta para esta accion</t>
  </si>
  <si>
    <t>Realización de conferencias o conversatorios para la divulgacion de resultados de investigaciones en acuicultura,  para personal interno de la AUNAP ó para publico externo de la AUNAP</t>
  </si>
  <si>
    <r>
      <rPr>
        <rFont val="Arial"/>
        <color theme="1"/>
      </rPr>
      <t xml:space="preserve">Se realizo conferencia para la divulgación de  resultados de los ensayos de reproducción y manejo de animales, 
dirigidas al sector productivo, sector público y academia, en marco al Convenio 288 de 2021, cuyo objeto principal era </t>
    </r>
    <r>
      <rPr>
        <rFont val="Arial"/>
        <i/>
        <color theme="1"/>
      </rPr>
      <t>"Fortalecimiento de la investigación en el cultivo de peces marinos en el Caribe colombiano mediante la implementación de nuevas técnicas de reproducción, levante y engorde de mero guasa Epinephelus itajara y seguimiento del estado de madurez sexual del pámpano Trachinotus sp, del pargo rojo Lutjanus sp y para el Pacífico colombiano mejorar la técnica de cultivo del pargo lunarejo Lutjanus guttatus y seguimiento de la madurez sexual del mero guasa del Pacifico Epinephelus quinquefasciatus"</t>
    </r>
    <r>
      <rPr>
        <rFont val="Arial"/>
        <color theme="1"/>
      </rPr>
      <t xml:space="preserve">. </t>
    </r>
  </si>
  <si>
    <t>https://drive.google.com/file/d/1WKcqtEUpJAMWtt9ik-fzI1HFIbtwBVcV/view?usp=sharing</t>
  </si>
  <si>
    <t>Direccionamiento estratégico</t>
  </si>
  <si>
    <t>Número de planes de acción elaborado y publicado/Número de planes de acción programados para elaboración y publicación.</t>
  </si>
  <si>
    <t>Elaborar conjuntamente con la áreas y publicar el Plan de Acción de la AUNAP</t>
  </si>
  <si>
    <t>Elsa Malo Lecompte</t>
  </si>
  <si>
    <t>Profesional Especializado con Funciones de Planeación</t>
  </si>
  <si>
    <t>elsa.malo@aunap.gov.co</t>
  </si>
  <si>
    <t>No se tiene proyectado el cumplimiento de meta para este trimestre</t>
  </si>
  <si>
    <t>N.A.</t>
  </si>
  <si>
    <t>Se realizo el cumplimiento de las acciones propuestas para la vigencia 2021</t>
  </si>
  <si>
    <t>Número de Plan de Acción del Plan Anticorrupción y Atención a la Ciudadanía - PAAC  elaborados y publicados/Número de planes de Plan de Acción del Plan Anticorrupción y Atención a la Ciudadanía - PAAC programados para elaboración y publicación.</t>
  </si>
  <si>
    <t>Elaborar conjuntamente con las áreas y publicar el Plan de Acción del Plan Anticorrupción y Atención a la Ciudadanía - PAAC</t>
  </si>
  <si>
    <t>Número de informes realizados y publicados/Número de informes programados.</t>
  </si>
  <si>
    <t>Realizar  y publicar cuatro (4) análisis de la gestión de: Plan de Acción, Plan Anticorrupción y Atención a la Ciudadanía - PAAC y Gestión de riesgos dirigido a los líderes de procesos.</t>
  </si>
  <si>
    <t>Evaluación de Resultados</t>
  </si>
  <si>
    <t>Seguimiento y evaluación del desempeño institucional</t>
  </si>
  <si>
    <t>Se realizó y publicar cuatro un análisis de la gestión de: Plan de Acción, Plan Anticorrupción y Atención a la Ciudadanía - PAAC y Gestión de riesgos dirigido a los líderes de procesos conforme lo establecido para el periodo de seguimiento</t>
  </si>
  <si>
    <t>https://docs.google.com/spreadsheets/d/1_Cy2-r7M--EQiSegWCtKzGlzhP_h8dBRQWImPW47UWU/edit#gid=1942166271
https://docs.google.com/spreadsheets/d/1Ctn1sIhs1L6Eay2Fim_m_gP4yqgu5YtIgT-GvPZbZrE/edit#gid=135765430
https://docs.google.com/spreadsheets/d/1_1jR5Jz8aOdFv2YMncYQX5L07j5OqAbHOUG8CvtFSkk/edit#gid=1734115068</t>
  </si>
  <si>
    <t>Número de solicitudes atendidas/número de solicitudes recibidas.</t>
  </si>
  <si>
    <t>Dar respuesta al 100% de las solicitudes de creación, modificación o eliminacion de documentos SIG que llegan al Profesional Especializado con Funciones de planeación en horario y dias laborales.</t>
  </si>
  <si>
    <t>Se dio respuesta al 92% de las solicitudes de creación, modificación o eliminacion de documentos SIG que llegan al Profesional Especializado con Funciones de planeación en horario y dias laborales.</t>
  </si>
  <si>
    <t>https://docs.google.com/spreadsheets/d/1qf8AkR2OXr1jni3gzeUJDz29bMKGNfcA_0pOkAu1z1Y/edit#gid=263085841</t>
  </si>
  <si>
    <t>Implementar y mantener el Sistema de Gestión Ambiental de la Entidad, acorde a la normatividad vigente</t>
  </si>
  <si>
    <t>Número de Diagnósticos ambientales realizados/Número de diagnósticos programados</t>
  </si>
  <si>
    <t>Realizar el Diagnóstico Ambiental de las tres (3) estaciones pesqueras de la AUNAP.</t>
  </si>
  <si>
    <t>Realizar el Diagnóstico Ambiental de la estación pesquera de Bahía Malaga y Alto Magdalena</t>
  </si>
  <si>
    <t>https://drive.google.com/drive/u/1/folders/1fdsn-NyYX0wWnU9eXIVwdDC_EYBJ9jRo</t>
  </si>
  <si>
    <t>Número de informes de gestión realizados/Número de informes de gestión programados</t>
  </si>
  <si>
    <t>Elaborar un informe de gestion de la entidad.</t>
  </si>
  <si>
    <t>Se realizo el informe de gestion de la entidad para la vigencia 2021.</t>
  </si>
  <si>
    <t>https://www.aunap.gov.co/rendicion-de-cuentas/</t>
  </si>
  <si>
    <t>Número de talleres realizados en regionales/Número de talleres programados en regionales</t>
  </si>
  <si>
    <t>Realizar siete (7) talleres de manera presencial o virtual en temas de Planeación dirigido a las Direcciones Regionales.</t>
  </si>
  <si>
    <t>Se realizaron cuatro (4) talleres de manera presencial o virtual en temas de Planeación dirigido a las Direcciones Regionales.</t>
  </si>
  <si>
    <t>https://drive.google.com/drive/folders/19XGt-n_00v6piPjgBFn0Y3GwOmTj7D6K?usp=sharing</t>
  </si>
  <si>
    <t>Número de talleres realizados en nivel central/Número de talleres programados en nivel central</t>
  </si>
  <si>
    <t>Realizar cuatro (4) talleres de manera presencial o virtual, dirigidos a funcionarios y contratistas en temas de Planeación de Nivel Central</t>
  </si>
  <si>
    <t>Se realizaron dos (2) talleres de manera presencial o virtual en temas de Planeación dirigido al nivel central.</t>
  </si>
  <si>
    <t>https://drive.google.com/drive/folders/1stQ7abrVMkRv1Xn4XCk_B6By_TFRvzv_?usp=sharing</t>
  </si>
  <si>
    <t>Fortalecer la Infraestructura Tecnológica de la entidad</t>
  </si>
  <si>
    <t>Servicios tecnológicos</t>
  </si>
  <si>
    <t>Implementar y gestionar los procesos de soporte y mantenimiento de los servicios Tecnológicos de la Entidad.</t>
  </si>
  <si>
    <t>Lista de activos tangibles e intangibles operando</t>
  </si>
  <si>
    <t>Mantener actualizado el inventario de activos de las TICs que facilite el plan de mantenimiento.</t>
  </si>
  <si>
    <t>Jefe de Oficina</t>
  </si>
  <si>
    <t>Plan Estratégico de Tecnologías de la Información y las Comunicaciones -PETIT</t>
  </si>
  <si>
    <t>Seguridad Digital</t>
  </si>
  <si>
    <t>9. Industria, innovación e infraestructura</t>
  </si>
  <si>
    <t>Se adjunta lista de activos tangibles e intangibles, los cuales se encuentran operando</t>
  </si>
  <si>
    <t>https://drive.google.com/file/d/1smkUL8QxFwqtU9VFphCIYs86sMk50zZO/view?usp=sharing</t>
  </si>
  <si>
    <t>Se cumplio con la meta propuesta para el año</t>
  </si>
  <si>
    <t>Actualizar la infraestructura (hardware y software) de servicios, para soportar la gestión de los procesos de entidad</t>
  </si>
  <si>
    <t>Lista de equipos adquiridos que fortalecen la operación de la AUNAP</t>
  </si>
  <si>
    <t>Continuar con el fortalecemiento de la infraestructura de TICs para atender los requerimientos tecnológicos de las diferentes dependencias y oficinas de la AUNAP a nivel central y regional y su DATACENTER</t>
  </si>
  <si>
    <t>Se adjunta lista de equipos adquiridos que fortalecen la operación de la AUNAP</t>
  </si>
  <si>
    <t>https://drive.google.com/file/d/1P1PGVlWqmjAw-ubR8LqXbA0wuBTejmKK/view?usp=sharing</t>
  </si>
  <si>
    <t>Documentos técnicos fortalecidos</t>
  </si>
  <si>
    <t>Fortalecer la formulación del manual del sistema de gestión de seguridad de la información-SGSI y del Plan Estrategico de Tecnologias de la Informacion-PETI</t>
  </si>
  <si>
    <t>Documentos técnicos actualizados</t>
  </si>
  <si>
    <t>Conforme a los resultados de la socializacion y retroalimentacion de los planes de tecnologias de la AUNAP, se actualizara el plan estratégicos de seguridad de la información - PESI  y el plan de tratamiento de riesgos de seguridad y privacidad de la Información</t>
  </si>
  <si>
    <t>Se actualizo el plan estratégicos de seguridad de la información - PESI, el cual fue cargado en la plataforma de sistema integrado de gestion de la AUNAP</t>
  </si>
  <si>
    <t>https://drive.google.com/file/d/1BsgwzxT-9ZQxDkYW-UycedXUUzrgG_LX/view?usp=sharing</t>
  </si>
  <si>
    <t>Se cumplio con las acciones propuestas</t>
  </si>
  <si>
    <t>Formatos</t>
  </si>
  <si>
    <t>Fortalecer el compromiso de confidencialidad para ser diligenciado por los contratistas, y crear formato de paz y salvo para contratistas y formato de entrega activos de tecnologia e informacion para los funcionarios, con la finalidad de entregar la documentación trabajada durante el vínculo con la entidad, y solicitar a la coordinación de gestión contractual, incluir esto como obligación general en los estudios previos de los contratistas, con el fin de dar cumplimiento con lo estipulado en el Plan Estratégico de Seguridad de la Información.</t>
  </si>
  <si>
    <t>Gestión del talento humano</t>
  </si>
  <si>
    <t>Numero de actividades desarrolladas Vs Numero de actividades propuestas en el plan de Bienestar e incentivos</t>
  </si>
  <si>
    <t>Ejecutar las actividades propuestas en el plan de Bienestar e incentivos</t>
  </si>
  <si>
    <t>Helmuth Bettin</t>
  </si>
  <si>
    <t>Coordinador del Area</t>
  </si>
  <si>
    <t>helmuth.bettin@aunap.gov.co</t>
  </si>
  <si>
    <t>Plan de Incentivos Institucionales</t>
  </si>
  <si>
    <t>Durante el periodo en mención se ejecutaron al 100% conforme lo programado</t>
  </si>
  <si>
    <t>https://drive.google.com/drive/folders/1X-PytDYwzX5q3cTPleWEiXlWkA2yL4Nj</t>
  </si>
  <si>
    <t>Numero de actividades realizadas Vs Numero de actividades establecidas en el Plan de Seguridad y Salud en el Trabajo PTASST</t>
  </si>
  <si>
    <t>Ejecutar las actividades establecidas el Plan de Seguridad y Salud en el Trabajo PTASST</t>
  </si>
  <si>
    <t>Plan de Trabajo Anual en Seguridad y Salud en el Trabajo PTASST</t>
  </si>
  <si>
    <t>https://drive.google.com/drive/folders/19mxk8-0iDAd51c3bUKgKANGWliLfwUJr
https://drive.google.com/drive/folders/1s3FB80LqvI8SPwr9S_0BieGYn5TwHs9q</t>
  </si>
  <si>
    <t>Servicio de Educación Informal para la Gestión Administrativa</t>
  </si>
  <si>
    <t>Capacitar a los servidores públicos, en los procesos de gestión institucional de la entidad</t>
  </si>
  <si>
    <t>Numero de capacitaciones realizadas Vs Numero de capacitaciones programadas en el PNFC</t>
  </si>
  <si>
    <t>Ejecutar las capacitaciones programadas en el Plan Nacional de Formación Capacitación</t>
  </si>
  <si>
    <t>Plan Institucional de Capacitación</t>
  </si>
  <si>
    <t>https://drive.google.com/drive/folders/1OkrotXBtdN045YALAQIHM3WghgmOe8KH</t>
  </si>
  <si>
    <t>Numero de actividades  realizadas Vs Numero de actividades programadas</t>
  </si>
  <si>
    <t>Cumplir con el 100% de las actividades propuestas en el Procedimiento de Vinculacion de Vacantes en cada uno de los nombramientos.</t>
  </si>
  <si>
    <t>Plan Anual de Vacantes</t>
  </si>
  <si>
    <t>https://drive.google.com/drive/folders/1QgtKoKaJ98AShUnji_IZm1vNbXCbqXT2
https://drive.google.com/drive/folders/1UxCUmPm4TrTc_w4BgUcPTcfBctfb4xkz</t>
  </si>
  <si>
    <t>Regional Barranquilla</t>
  </si>
  <si>
    <t>Trámites atendidos</t>
  </si>
  <si>
    <t>Gestionar las solicitudes de los tramites de permisos de para el ejercicio de la pesca y la acuicultura</t>
  </si>
  <si>
    <t>Jorge Roa</t>
  </si>
  <si>
    <t>Director Regional</t>
  </si>
  <si>
    <t>jorge.roa@aunap.gov.co</t>
  </si>
  <si>
    <t xml:space="preserve">61 Tramites entre conceptos para permisos comercialización y otras actividdes de   y 270 correspondeintes a pequemos comerciantes </t>
  </si>
  <si>
    <t>https://drive.google.com/drive/folders/1tG-ZKz2IBoA-zobdwyon7Rgg3w9et4qb</t>
  </si>
  <si>
    <t>se dio cumplimiento a la meta anual cun un minimo porcentaje por encima de la meta planteada. esto dado a las solicitudes recibidas</t>
  </si>
  <si>
    <t>Número de alevines rescatados y trasladados a areas de guarderias/Número de alevines programados para  rescate y traslado a areas de guarderia</t>
  </si>
  <si>
    <t>Rescate y traslado de alevines de las especies migratorias y nativas en temporada de subienda a areas cenagosas dentro de la DRBQ</t>
  </si>
  <si>
    <t>No hay meta para este trimestre</t>
  </si>
  <si>
    <t xml:space="preserve">Se logro cumplir la meta anual superando lo planeado dada la  cantidad de animales que se presentaron en la ola migratoria </t>
  </si>
  <si>
    <t>3-Servicios de apoyo a las estaciones de acuicultura</t>
  </si>
  <si>
    <t>Campañas divulgativas</t>
  </si>
  <si>
    <t>Apoyar en el desarrollo de campañas informativas y divulgadas de acciones de acuicultura a través de las estaciones </t>
  </si>
  <si>
    <t xml:space="preserve">Se realizaron las capañas de divulgacion por parte de la EPBM dentro de acciones de  campañas informativas a las comunidades </t>
  </si>
  <si>
    <t>https://drive.google.com/drive/folders/1_qAH7FziR1swwZ96FBUQ-z42vZOzI5Xs</t>
  </si>
  <si>
    <t>Se desarrollaron 6 campañas de divulgacion desde la EPBM</t>
  </si>
  <si>
    <t>Numero de censo realizados / No municipios visitados</t>
  </si>
  <si>
    <t>Realizar censo de embarcaciones y motonaves en algunas comunidades de pescadores de la DRBQ</t>
  </si>
  <si>
    <t xml:space="preserve">Se realizaron 41 censo de embarcaciones en igual numero de puertos en 23 municipios y corregimientos de la DRBQ </t>
  </si>
  <si>
    <t>https://drive.google.com/drive/folders/1werH06yBmHnsgVuJStG94TJ7dVgZ4RuO</t>
  </si>
  <si>
    <t>Se dio cumplimiento total a  la meta de registro de censo  de embarciones en puertos superando lo planeado para el año</t>
  </si>
  <si>
    <t>realizar censo de cultivos en algunos municipios de los departamentos de la region Caribe</t>
  </si>
  <si>
    <t>Se logro realizar 21 censo de cultivos en diferentes municipios y corregimientos cumpliendo la meta establecida</t>
  </si>
  <si>
    <t>https://docs.google.com/spreadsheets/d/1CsljpP6Q6Hw-DVUObgzKEsxG1GcaEzjY/edit?usp=sharing&amp;ouid=108762493780518575046&amp;rtpof=true&amp;sd=true</t>
  </si>
  <si>
    <t>Se dio cumplimiento a la meta , superando  lo programado para la vigencia del año</t>
  </si>
  <si>
    <t>Número de acuerdos pesqueros gestionados/Número de acuerdos pesqueros programados para ser gestionados</t>
  </si>
  <si>
    <t>Impulsar la construccion y/o actuaizar e implementar los acuerdo pesqueros en algunos sistemas hidricos de</t>
  </si>
  <si>
    <t>Se realizo acciones para impulsar  la ordenacion pesquera de algunas zonas del la region del Caribe</t>
  </si>
  <si>
    <t>https://drive.google.com/drive/folders/1CnNZ344YtqQG73OUhAfmgHxCXxebakTg</t>
  </si>
  <si>
    <t xml:space="preserve">Se cumplio con la meta programada </t>
  </si>
  <si>
    <t>Número de vallas informativas en relación a normatividad de pesca y acuicultura en puertos, muelles de desembarques marinas y áreas de pesca implementadas/Número de vallas programadas para informativar en relación a normatividad de pesca y acuicultura en puertos, muelles de desembarques marinas y áreas de pesca implementadas.</t>
  </si>
  <si>
    <t>Implementar vayas informativas en relacion a normatividad de pesca y acuicultra en puertos, mulles de desembarques marinas y areas de pesca</t>
  </si>
  <si>
    <t>Se cumpplio la meta al primer trimestre del año</t>
  </si>
  <si>
    <t>Registro de desembarcos</t>
  </si>
  <si>
    <t>Realizar el registro de desembarco de algunas de las asociaciones pesquera que estan dentro de la jurisdiccion de la Regional Barranquilla</t>
  </si>
  <si>
    <t>se realizaron los registros de desembarcos estipulados</t>
  </si>
  <si>
    <t>https://drive.google.com/drive/folders/1TkrPJzuEBSS01ZeFlFxjwVSmrTsn7-HC</t>
  </si>
  <si>
    <t xml:space="preserve">se dio cumplimiento al 100% de las desembarcos revisados </t>
  </si>
  <si>
    <t>Entrega de elemento e insumos a las asociaciones</t>
  </si>
  <si>
    <t>Apoyar en la entregas de insumos y elementos a asociones de pescadores y acuicultores</t>
  </si>
  <si>
    <t>Se logro beneficiar con insumos y equipos dentro de programa de fomento a la pesca y acuicultura a 907 asoacoiaciones en las diferentes programas de la DTAF de la AUNAP en fortalecimiento actividades conexas y fortalecimeinto por parte del MADR</t>
  </si>
  <si>
    <t>https://drive.google.com/drive/folders/1IeYQUvQjr347Cvc5HDmVqFChPm_wu-Pz</t>
  </si>
  <si>
    <t xml:space="preserve">Se dio cumplimiento a la meta establecida y se supero gracias a los apoyos de las diferentes acciones entregados por MADR </t>
  </si>
  <si>
    <t>Numero pescadores artesanales formalizados/ No de pescadores</t>
  </si>
  <si>
    <t>Expedir carnets, para el ejercicio de la actividad pesquera</t>
  </si>
  <si>
    <t>Se realizo menos de los proyectado porque la meta anual se habia cumplido en el 3 trimestre, esto  obedecio al numero de solicitudes presentadas por las acciones de caracterizacion de PNUD</t>
  </si>
  <si>
    <t>https://docs.google.com/spreadsheets/d/1kELDHN5BkFMBNgQ2n4MDGqW4SiOZI2VN/edit#gid=1329489843</t>
  </si>
  <si>
    <t xml:space="preserve">Se dio por superada la meta anual al lfinal del 3 trimestre no obstante se dio cintinuar con la actividad dado que la misma obedece a nuestra misionalidad </t>
  </si>
  <si>
    <t>Numero de operativos de control a la actividad pesquera y acuicola realizados</t>
  </si>
  <si>
    <t>Realizar acciones de sensibilizacion (operativos) para el ejercio de las actividades de pesca y acuicultura dentro de la normatividad</t>
  </si>
  <si>
    <t xml:space="preserve">Se realizaron menos operativos de los planeados para el cuatro trimestre por que la meta de operativos se habia cumplido con anteriridad </t>
  </si>
  <si>
    <t>https://docs.google.com/spreadsheets/d/1h8u-B3-GkpAZVXQuhQhUTtHCkeRM1RNM/edit#gid=1017707799</t>
  </si>
  <si>
    <t>2-Servicios de apoyo a las estaciones de acuicultura</t>
  </si>
  <si>
    <t>Alevinos producidos</t>
  </si>
  <si>
    <t>Producir alevinos en las estaciones Piscicolas a nivel nacional  en las estaciones y centros de la AUNAP con fines de repoblamiento y fomento de la actividad pesquera y acuicola</t>
  </si>
  <si>
    <t>La produccion anual ya se habia cumplido a ifinales del 2 mes del ultimo trimestre, ademas la epoca de reproduccion de los bocachicos habia terminado y sumado a esto los insumos para la viegencia ya  se habian agotado al final del año. No obstatante a todo esto la meta de produccion anual se habia cumplido cabalmente al punto que se compenso con la produccion de la EPBM las carencias de la las produccion de gigante y B. Malaga</t>
  </si>
  <si>
    <t>https://docs.google.com/spreadsheets/d/1ehmjoA1mWAfszBO8r87ji-ex1MaxvkHU/edit#gid=1888431094</t>
  </si>
  <si>
    <t xml:space="preserve">Se cumplio el total de la produccion mas aun se asumio la produccion de otras estaciones </t>
  </si>
  <si>
    <t>Asociaciones instruidas en  buenas practicas pesqueras y acuicolas para el ejercicio de la pesca y la acuicultura y asociatividad</t>
  </si>
  <si>
    <t>Instruir a las comunidades en asociatividad, buenas practicas pesqueras y acuicolas para  el ejercicio de la pesca y la acuicultura</t>
  </si>
  <si>
    <t>Se dio cumplimiento al la meta trimestral en el 99,9%: No onstante no se cumplio en un 100% por temas de emergencia sanitaria no obstante la meta anual ya habia sido cumplida antes de finalizar el ultimo mes deel trimetres</t>
  </si>
  <si>
    <t>https://drive.google.com/drive/folders/1ttjVozOi0gul2YNcz65oDDzg1GKqvXiC</t>
  </si>
  <si>
    <t xml:space="preserve">Se cumplio la establecida anual siendo esta superada en un minimo porcentaje </t>
  </si>
  <si>
    <t>Grupos de interes instruidos en  buenas practicas pesqueras y acuicolas para el ejercicio de la pesca y la acuicultura y asociatividad</t>
  </si>
  <si>
    <t>Instruir a grupos de interes en buenas practicas pesqueras y acuicolas para  el ejercicio de la pesca y la acuicultura</t>
  </si>
  <si>
    <t xml:space="preserve">Se logro dar cumplimiento a la meta trimstral propuesta </t>
  </si>
  <si>
    <t>https://drive.google.com/drive/folders/1Aqk0FfwwWHQ7bQnGzssCYeBFeCgP6gaB</t>
  </si>
  <si>
    <t xml:space="preserve">Se dio cumplimiento al total d ela meta planteada para el año </t>
  </si>
  <si>
    <t>No seguimientos a entrega de elementos</t>
  </si>
  <si>
    <t>Realizar acciones para verificacion del buen uso de los elementos, equipos e insumos entregados a las asociaciones</t>
  </si>
  <si>
    <t>Aunque no se cumplio la meta planteada para el trimestre al cual faltasrton dos acciones dentro d elo programado, la meta establecida  para el año fue superada para este indicador</t>
  </si>
  <si>
    <t>https://drive.google.com/drive/folders/1oycY07LEePDBvgaHERIBBlS1ahyA5pdS</t>
  </si>
  <si>
    <t xml:space="preserve">Se dio cumplimiento a la meta propuesta en el año, sobrepasando la misma en una minima porcentaje </t>
  </si>
  <si>
    <t>Asociaciones instruidas en implementacion de normatividad pesqueras y acuicola</t>
  </si>
  <si>
    <t>Instruir a las asociaciones en el conocimiento y aplicación de la normatividad pesquera y acuicola del pais para el ejercicio de la pesca y la acuicultura</t>
  </si>
  <si>
    <t xml:space="preserve">Se cumplio con el numero de divulgaciones propuestas durante la vigencia </t>
  </si>
  <si>
    <t>https://drive.google.com/drive/folders/1T0-jdbsFO47P1u4wfycaEKbe41pydYLd</t>
  </si>
  <si>
    <t xml:space="preserve">Se dio cumplimiento a la meta planteada en el año </t>
  </si>
  <si>
    <t>Grupo de interes instruidas en implementacion de normatividad pesqueras y acuicola</t>
  </si>
  <si>
    <t>Instruir a los grupos de interes en el conocimiento y aplicación de la normatividad pesquera y acuicola del pais para el ejercicio de la pesca y la acuicultura</t>
  </si>
  <si>
    <t xml:space="preserve">Se dio cumplimiento a lo programado para la vigencia del </t>
  </si>
  <si>
    <t>https://drive.google.com/drive/folders/1FFlCbSKi2stxptHRjhENm9F6Y7F6bJ8a</t>
  </si>
  <si>
    <t>Regional Bogotá</t>
  </si>
  <si>
    <t>Apoyo a estaciones de acuicultura (Gigante-Huila)</t>
  </si>
  <si>
    <t>Regional Bogota</t>
  </si>
  <si>
    <t>Carlos Augusto Borda Rodriguez</t>
  </si>
  <si>
    <t>Director Regional Bogotá</t>
  </si>
  <si>
    <t>carlos.borda@aunap.gov.co</t>
  </si>
  <si>
    <t>Durante esta vigencia se adelanto el convenio con la entrega de insumos para el sostenimiento de las instalaciones y los peces con que cuenta la estación, mas se presentaron inconvenientes con el suministro constante de alimento balanceado. La evidencia reposa en la DTAF quien es el área que lidera esta acción.</t>
  </si>
  <si>
    <t>https://drive.google.com/drive/folders/1PM-1JLen1zpPc8VRGRo2H8p_6t6HvItK</t>
  </si>
  <si>
    <t>Se realizo un convenio para el suministro de insumos con</t>
  </si>
  <si>
    <t>Atender los Trámites</t>
  </si>
  <si>
    <t>Se realizaron el tramite de los permisos que fueron allegando sobre demanda para la obtención de los prespectivos actos administrativos</t>
  </si>
  <si>
    <t>Se adicionaron los 120 carne de pesca deportiva, 3 de pequeño comerciante  y 6 arel, de acuerdo con lo hablado con control interno, ya que estos tramites no se estaban teniendo en cuenta a lo largo del año.</t>
  </si>
  <si>
    <t>Producir Alevinos</t>
  </si>
  <si>
    <t>Se repunto en la produción de alevinos una vez se contaron con los insumos, contratistas y el alimento balanceado, se produjeron 303600 alevinos adicionales pendientes de entrega</t>
  </si>
  <si>
    <t>Debido a la deficiencia de suministro de alimento balanceado, se logro dar inicio a la producción a partir del segundo semestre del año</t>
  </si>
  <si>
    <t>Realizar Eventos de Extención Rural</t>
  </si>
  <si>
    <t>Se adelantaron varias capacitaciones una vez se facilitaron las normas para realizar las reuniones en recintos</t>
  </si>
  <si>
    <t>Se lograron adelantar capacitaciones una vez se flexibilizaron las normas de bioseguridad por parte del gobierno nacional</t>
  </si>
  <si>
    <t>Número de capacitaciones realizadas/Número de capacitaciones programadas</t>
  </si>
  <si>
    <t>Realizar capacitaciones a los grupos de interés en asociatividad y normatividad para el ejercicio de la acuicultura, pesca y actividades conexas</t>
  </si>
  <si>
    <t>Debido a problemas de orden público las reuniones que se realizan en especial con las fuerzas militares se reducieron</t>
  </si>
  <si>
    <t>Debido a que se presento un error en las cantidades de eventos a grupos de interes y de asociaciones que se invirtieron, y luego no se pudo bajar el numero de eventos, lo que afecto la ejecución de la meta, mas los problemas de orden publico</t>
  </si>
  <si>
    <t>Número de asociaciones capacitadas/Número de asociaciones programadas para capacitar.</t>
  </si>
  <si>
    <t>Realizar capacitaciones a las asociaciones en temas de pesca y acuicultura</t>
  </si>
  <si>
    <t>Se trabajo en socializar la normatividad de la entidad a las asociaciones</t>
  </si>
  <si>
    <t>Se supero la meta debido a la socialización de la normaltividad y a la promocion de los proyectos de fomento</t>
  </si>
  <si>
    <t>Pescadores artesanales formalizados/pescadores artesanales programados para formalizar</t>
  </si>
  <si>
    <t>Realizar la formalización de Pescadores Artesanales</t>
  </si>
  <si>
    <t>Racionalización de Trámites</t>
  </si>
  <si>
    <t>Se suspendio la impresion de carne, por el convenio con Penut</t>
  </si>
  <si>
    <t>Se adelanto la gestion para la formalización de los pescadores, el ultimo trimestre se redujo la impresión de carné, hasta que se adelante el convenio con Penut  para el Rio Magalena, los mismos se inprimiran una vez se tenga el enlace con el software de  ellos</t>
  </si>
  <si>
    <t>Realizar Operativos de Control</t>
  </si>
  <si>
    <t>SE reforzo el traabajo en las oficinas adscritas realizando actividades en las diferentes zonas de influencia de la regional. Se realizo presencia mas fecuente en la población de Honda con la contratista asignada en esa población</t>
  </si>
  <si>
    <t>https://drive.google.com/drive/u/0/folders/1UKK-6DzfkSjRxrSlJ4mRP-z1drRQaXNY</t>
  </si>
  <si>
    <t>se logro superar la meta y se adicionaron algunos operativos que no estaban en los reportes mensuales, pues se realizaron el dia del corte del informe,</t>
  </si>
  <si>
    <t>Numero de Repoblamientos realizados sobre Numero de Repoblamientos programados</t>
  </si>
  <si>
    <t>Generar los Repoblamientos Misionales - Bocachico</t>
  </si>
  <si>
    <t xml:space="preserve">Se realizaron varios repoblamientos como parte de los memorandos de entendimiento adelantados con la gobernacion de Cundinamarca, la alcaldia de Gigante y varias alcaldias que apoyaron en este proceso a la AUNAP </t>
  </si>
  <si>
    <t>https://drive.google.com/drive/u/0/folders/17KYuAGxBYbtcoUaV_eNzRjEs5WG4k2cg</t>
  </si>
  <si>
    <t>Se logro realizar buenas entergas con el apoto de los memorandos de entendimiento y de l apoyo de varias alcaldias</t>
  </si>
  <si>
    <t>Numero de Especies Nativas realizadas sobre Numero de Especies Nativas Programadas</t>
  </si>
  <si>
    <t>Generar el Repoblamiento de otras especies nativas</t>
  </si>
  <si>
    <t>A partir de la directriz de realizar siembras multiespecie y de la promoción realizada sobre los avances en reproducción y producción en especies activas emblamaticas como la doncella y el capaz, lo que aumento la demanda de estas. Se adjuntan las presentaciones realizadas en agroexpo 2021. Se mejoro el sistema productivo de las especies y se dio inicio a la producción del pez dorada</t>
  </si>
  <si>
    <t>https://drive.google.com/drive/u/0/folders/1GHr_u4alEmglt_3bgS2FijLbQUAVmAL1</t>
  </si>
  <si>
    <t>La oferta de otras especies nativas tuvo una excelente aceptación por parte de la comunidad, lo que aumento su demanda</t>
  </si>
  <si>
    <t>Regional Cali</t>
  </si>
  <si>
    <t>Atención de trámites</t>
  </si>
  <si>
    <t>Sandra Amgulo</t>
  </si>
  <si>
    <t>sandra.angulo@aunap.gov.co</t>
  </si>
  <si>
    <t xml:space="preserve">Meta superada en un 74% - Cabe resaltar que los trámites dependen en gran parte de las solicitudes realizadas por los usuarios de la actividad pesquera y acuicola </t>
  </si>
  <si>
    <t>https://drive.google.com/drive/folders/15izoFYpAbXdMqDjs4sFQBhL-JvWaaRZD?usp=sharing</t>
  </si>
  <si>
    <t xml:space="preserve">La Dirección regional Cali  atendió el 100% de los tramites solicitados  </t>
  </si>
  <si>
    <t>Desarrollar campañas informativas y Divulgadas de acciones de acuicultura a través de las estaciones</t>
  </si>
  <si>
    <t xml:space="preserve">Meta cumplida un 100% </t>
  </si>
  <si>
    <t>https://drive.google.com/file/d/1zCNAnva4rAxnWVbWTS0AluiZXKFtp1-W/view?usp=sharing</t>
  </si>
  <si>
    <t>Se dío cumplimiento al 100% de la meta estableciado para la vigencia 2021</t>
  </si>
  <si>
    <t>Numero de capacitaciones realizadasNumero de capacitaciones programadas</t>
  </si>
  <si>
    <t>Capacitación a los grupos de interés en asociatividad y normatividad para el ejercicio de la acuicultura, pesca y actividades conexas</t>
  </si>
  <si>
    <t xml:space="preserve">Esta meta fue superada, por encima de la meta establecida, estas actividades en un gran porcentahje corresoponden a solicitudes de personas, entidades, colegios, consejos comunitarios, interesados en ejercer actividad de pesca y acuicultura </t>
  </si>
  <si>
    <t>https://drive.google.com/file/d/1_SqqcA0Y5-t9XTAeyEkZqc93r6bGcscS/view?usp=sharing</t>
  </si>
  <si>
    <t>Esta acividad además de ser programada obedece a las solicitudes de los interesados</t>
  </si>
  <si>
    <t>Número de asociaciones capacitadas/Número de asociaciones programadas</t>
  </si>
  <si>
    <t>Asociaciones capacitadas en temas de pesca y acuicultura</t>
  </si>
  <si>
    <t>https://drive.google.com/file/d/1N4CORN5Yo9grctHWjG7kUBIA-PwNPXSn/view?usp=sharing</t>
  </si>
  <si>
    <t>Esta acividad  es complemento para las asociaciones beneficiarias de los proyectos de fomento</t>
  </si>
  <si>
    <t>Número de pescadores artesanales formalizados/Número de pescadores artesanales programados para formalizar</t>
  </si>
  <si>
    <t>Formalizar Pescadores artesanales</t>
  </si>
  <si>
    <t>Meta superada mas del 100%, se realizó la expedición de 34 carnet por encima de la meta establecia ya que esta actividad depende de las dolicitudes de los pescadores artesanales</t>
  </si>
  <si>
    <t>https://drive.google.com/drive/folders/162IXpR_AL7k9_71PrL0OMhh4VUAMAd2E?usp=sharing</t>
  </si>
  <si>
    <t xml:space="preserve">La Meta Total fue superada ampliamente ya que se dio cumplimiento  al compromiso de la ecpdición de carnet, producto de la caracterización realizada por el PNUD </t>
  </si>
  <si>
    <t>Número de eventos realizados/Número de eventos programados</t>
  </si>
  <si>
    <t>Eventos de divulgación y socialización apoyados a nivel nacional en pro de disminuir las malas prácticas, en el ejercicio del control y vigilancia preventiva de la actividad pesquera y acuícola.</t>
  </si>
  <si>
    <t>Se superó la meta en un 5%, ya que se realizarón actividades de divulgación de la veda del camarón en el Pacífico colombiano con el objetivo de sensibilizar al subsector pesquero y a todos los involucrados  en la captura, proceso, comercialización y transporte del recurso camarón sobre el cumplimiento de esta  importante medida de ordenamiento pesquero</t>
  </si>
  <si>
    <t>https://drive.google.com/file/d/1mifKAQokfQgQDBUxoOlZe0qfiMd4cuFJ/view?usp=sharing</t>
  </si>
  <si>
    <t>La meta Total fue superada, ya que estas actividades estuvieron enfocada a las actividades de sensibilización para el cumoplimiento de la veda del camarón</t>
  </si>
  <si>
    <t>Reportes de monitoreo que aportan a documentos de investigación</t>
  </si>
  <si>
    <t xml:space="preserve">Realizar salidas de campo realizadas para la recopilación de información biológica pesquera en la Laguna de Sonso
</t>
  </si>
  <si>
    <t>Se cumplio con la meta establecida</t>
  </si>
  <si>
    <t>https://drive.google.com/file/d/1-bEt2zvtgkU7CJ5YEOKElkEgISSN80FN/view?usp=sharing</t>
  </si>
  <si>
    <t xml:space="preserve">Se dío cuplimiento al 100% de esta actividad </t>
  </si>
  <si>
    <t>producción de alevinos</t>
  </si>
  <si>
    <t>Se cumplio con la meta establecida; sin embargo cabe resaltar que  ante algunas dificultades operativas se realizó gran esfuerzo por parte de la estación marina de Bahía Málaga</t>
  </si>
  <si>
    <t xml:space="preserve">Se dío cuplimiento al 59% de esta actividad  NO DEJO CARGAR (SE MUESTRA ERROR COLOCAR PORCENTAJE) EL LINK POR TANTO ESTA EVIDENCIA SE ENVIA A CONTROL INTERNO  </t>
  </si>
  <si>
    <t>Realizar operativos de control y vigilancia de la actividad pesquera y de la acuicultura y verificar el cumplimiento de  la normatividad pesquera y acuícola en:(Centros de acopio, Puntos de venta, Plazas principales, Muelles de desembarque, Aeropuertos, Vías terrestres y fluviales (incluidos cuerpos de agua) de la regional.</t>
  </si>
  <si>
    <t>Se superó  la meta establecida, se realizarón 44 operativos por encima de lo establecido ya que se busca realizar un control efectivo de la verificación del cumplimiento de la normativida pesquera y acuicola</t>
  </si>
  <si>
    <t>https://drive.google.com/drive/folders/1QJb1W0hc69OkUcXeiQl6xqe5vkD8Cl0F?usp=sharing</t>
  </si>
  <si>
    <t>La meta Total fue superada, ya que se busca realizar el control  y vigilancia del cumplimiento de l normatividad pesquera y acuicola</t>
  </si>
  <si>
    <t xml:space="preserve">Realizar Realizar salidas de campo  para la recopilación de información biológico pesquera del camarón blanco (L. penaeus spp) en caladeros de pesca
</t>
  </si>
  <si>
    <t xml:space="preserve">No se dio cumplimiento al 100% de ejcución de esta meta </t>
  </si>
  <si>
    <t>https://drive.google.com/file/d/16gJbXyM9jLD3s4lq58wn16mSMvuGBEP0/view?usp=sharing</t>
  </si>
  <si>
    <t xml:space="preserve">Realizar visitas a plantas de proceso  para la recopilación de información  de Talla y Peso  del recurso Camarón blanco (L. penaeus spp )proveniente de  la pesca artesanal
</t>
  </si>
  <si>
    <t>Se cumplio la meta establecida en un 100%</t>
  </si>
  <si>
    <t>https://drive.google.com/file/d/1-J04XdmGsBP9_5e4AKsdHKasc0AdenKc/view?usp=sharing</t>
  </si>
  <si>
    <t>Se dio cumplimiento al 100% de la meta establecida</t>
  </si>
  <si>
    <t xml:space="preserve">Realizar salidas de campo  para la recopilación de información biológica pesquera.sel recurso piangua (anadara)
</t>
  </si>
  <si>
    <t>Regional Magangué</t>
  </si>
  <si>
    <t>Realizar operativos de control</t>
  </si>
  <si>
    <t>Regional Magangue</t>
  </si>
  <si>
    <t>Javier Ovalle</t>
  </si>
  <si>
    <t>Director regional Magangue</t>
  </si>
  <si>
    <t>javier.Ovalle@aunap.gov.co</t>
  </si>
  <si>
    <t>8. Trabajo decente y crecimiento económico</t>
  </si>
  <si>
    <t>En el trimestre se realizo un total de 78 Operativos distribuidos asi:  OCTUBRE  34 Operativos Decomisos 3 embarcaciones20 y comerciantes 11.  Mes de NOVIEMBRE 38 OPERATIVOS ASI: a embarcaciones 18 y a Comerciantes 20.  Mes de DICIEMBRE  6 Operativos a Comerciantes 4 y a embarcaciones 2.    En este trimestre hicimos mas de lo programado por la demanda en el  año  de 2021</t>
  </si>
  <si>
    <t>https://drive.google.com/drive/folders/1ZE4JC4fzH88rL4y8tRiYs7wix7malqCP?usp=sharing</t>
  </si>
  <si>
    <t>En el año se hizo 22 operativos de mas por las demandas en las solicitudes y apoyo de la Armada</t>
  </si>
  <si>
    <t>Numero de eventos de divulgacion y socializacion nivel nacional en pro de disminuir las malas practicas,en el ejercicio del control y vigilancia preventiva de la actividad pesquera y acuicula</t>
  </si>
  <si>
    <t>trimestral</t>
  </si>
  <si>
    <t>Durante el cuarto  trimestre se hizo un total de 7 eventos de divulgación y socialización a los pescadores en la zona distribuidos así: Mes de OCTUBRE un total de 5 y en el Mes de NOVIEMBRE 2, nos hemos pasamos debido a que se divulgó la Veda del Bagre Rayado</t>
  </si>
  <si>
    <t>https://drive.google.com/drive/folders/1j7s9am9Aa76K6BtTu_p-qoIxzY_0B6i7?usp=sharing</t>
  </si>
  <si>
    <t>Durante el año se hizo un total de 78 eventos de divulgación a las asociaciones y pescadores en General , tambien huvo bastante solicitudes a las que se tuvo que atender y por eso nos pasamos de la meta programada del año</t>
  </si>
  <si>
    <t>Numero de pescadores formalizados</t>
  </si>
  <si>
    <t>En el Cuarto trimestre de Octubre a Diciembre se formalizo un total de 496 pescadores, distribuidos asi: Mes de Octubre un total de 360 carnet en los municipios de Magangue, Mompox y Tiquisio; Mes de NOVIEMBRE un total de 42 pescadores formalizados en municipios Mompox, Pinillos , Tiquisio, Majagual , Sucre Sucre y Guaranda y en el Mes de DICIEMBREun total de 94 pescadores formalizados en el municipio de Montecristo</t>
  </si>
  <si>
    <t>https://docs.google.com/spreadsheets/d/1Ts2LWmi9eTJ5g1HOK1jhYxYZ_KadeEHP/edit?usp=sharing&amp;ouid=105831338524648060683&amp;rtpof=true&amp;sd=true</t>
  </si>
  <si>
    <t>Cada año se actualizan los carnet en la Regional, a parte de  otras solicitudes de nuevas asociaciones de pescadores en la zona que solicitan los carnet, es asi que por esto nos pasamos en la meta anual del 2021</t>
  </si>
  <si>
    <t>Capacitacion a los grupos de interes en asociatividad y normatividad para el ejercicio de la acuicultura, pesca y actividades conexas</t>
  </si>
  <si>
    <t>John Jairo Restrepo</t>
  </si>
  <si>
    <t>Director tecnico de Administracion y Fomento</t>
  </si>
  <si>
    <t xml:space="preserve">Durante el trimestre se hizo un total de 39 capacitaciones a grupos de interes en Asociatividad  y normatividad para el ejercicio de la Acuicultura , Pesca y Actividades Conexas a las Asociaciones  de la zona distribuidos así: Mes de OCTUBRE un total de 14 charlas a las Asociaciones  PROSPERAR, AVETURPLA, ASOPESMON, ASOC. DE PESCADORES Y AGRICULTORES DE LOS CAÑITOS, ASOC. MANO DE DIOS, ASORECAMJA, ASOAPESPISMAG, ASPAPINTO, ,AGROSAPE, ASAPATAV, ASOAPROES, ASOPECAMPA, ASOMUPROCAUCA, ASOC. DE PESCADORES ARTESANALES LA GOLOSINA, APUYATI, ASOAGROPEDESCOL, ASOPERIN, AGROLOMA.   Mes de NOVIEMBRE 14 charlas  a las asociaciones : ASOAGROSENFUCER AGROYABOL, ASPROPINTO, ASORECAMJA, ASOPESCA, ASAPEVEMA, ASOC. AGROPECUARIA LOS CAÑITOS , ASOVIMUA, ASOPESANBUEN, ASOPISTRAN, ASOC. EL LUCERO.   Mes de DICIEMBRE 10 charlas  a las  asociaciones ASOCUIVA, CABILDO MONTEGRANDE,  UNIPES, ASOCOLMAS, AMPAPUL, ASOCEBERINO, ASOPAPROVIC, ASOPESAN, ASOAGRIPESVICAN, AGRIPEC, ASIPROBAL ASOCAMCA, ASOJEGUA, LEBAMAR, ASOCAMPESINA, PASO CARATE, ASOCAMPODEG
</t>
  </si>
  <si>
    <t>En el año se hizo un total de 151 capacitaciones a los grupos de interes en Asociatividad  y normatividad para el ejercicio de la Acuicultura , Pesca y Actividades Conexas a las Asociaciones  de la zona  a 52 asociaciones y pescadores en General , tambien huvo bastante solicitudes a las que se tuvo que atender y por eso nos pasamos de la meta programada del año</t>
  </si>
  <si>
    <t>Tramites Atendidos</t>
  </si>
  <si>
    <t>Regular el manejo y el ejercicio de la actividad pesquera y de la acuicultura</t>
  </si>
  <si>
    <t>Los trámites a permisos se dan acorde a las demandas o solicitudes presentadas en la Regional la cual fue un Total de 9 trámites de Permisos: 5 a pequeños Comerciantes, 3 de pesca Artesanal 1 de Cultivo, a estos se les hace los diferentes conceptos técnicos e inspecciones Oculares dependiendo el permiso</t>
  </si>
  <si>
    <t>https://drive.google.com/drive/folders/15LCZM5AdVv1oTBszMKpnhsVJ5dyIRpDw?usp=sharing</t>
  </si>
  <si>
    <t>Los trámites a permisos se dan acorde a las demandas o solicitudes presentadas en la Regional , es por esto que nos pasamos de la meta anual en año 2021</t>
  </si>
  <si>
    <t>Número de personas capacitadas / número de personas programadas</t>
  </si>
  <si>
    <t>Numero de personas Capacitadas en Pesca y Acuícultura</t>
  </si>
  <si>
    <t>Durante el Cuarto trimestre se logro capacitar a 644 personas en Pesca y Acuicultura, en MES DE OCTUBRE se capacito a 263 personas de la zona; MES DE NOVIEMBRE 254 personas y mes de DICIEMBRE 127 .</t>
  </si>
  <si>
    <t>https://docs.google.com/spreadsheets/d/1p4E8WNp_cbqPeqiHcYP7aiWFzlRju7Gf/edit?usp=sharing&amp;ouid=105831338524648060683&amp;rtpof=true&amp;sd=true</t>
  </si>
  <si>
    <t>Se cumplio con la meta anual, nos pasamos debido a que se presentan muchas demandas de capacitaciones en la Regional y hay que surtirlas</t>
  </si>
  <si>
    <t>Regional Medellín</t>
  </si>
  <si>
    <t>Operativos de control a la actividad pesquera realizados</t>
  </si>
  <si>
    <t>Realizar eventos de divulgación y socialización apoyados en pro de disminuir las malas prácticas , en el ejercicio del control y vigilancia preventiva de la actividad pesquera y acuícola.</t>
  </si>
  <si>
    <t>Regional Medellin</t>
  </si>
  <si>
    <t>CARLOS MARIO ZAPATA MORALES</t>
  </si>
  <si>
    <t>DIRECTOR REGIONAL MEDILLIN</t>
  </si>
  <si>
    <t>CARLOS.ZAPATA@AUNAP.GOV.CO</t>
  </si>
  <si>
    <t>ACTIVIDADES ENFOCADAS A  DIVULGACION VEDA DE CAMARON Y  NORMATIVIDAD</t>
  </si>
  <si>
    <t>EVENTOS DIVULGACION</t>
  </si>
  <si>
    <t>SE CUMPLE LA META DE DIVULGACION PREVENTIVA DE MEDIDAS REGULATORIA HACIA LA PESCA</t>
  </si>
  <si>
    <t>Atender trámites</t>
  </si>
  <si>
    <t>TRAMITES REALIZADOS POR DEMANANDA DE LOS USUARIOS.SE CUMPLIO LA META</t>
  </si>
  <si>
    <t>TRAMITES IV TRIESTRE REG MEDELLIN</t>
  </si>
  <si>
    <t xml:space="preserve">EL ANALISIS DE LOS PERMISOS DE LA REGIONAL MEDELLIN INDICAN UNA APROXIMACION A ESTE VALOR DE USUARIOS QUE ANUALMENTE RENUEVAN EL PERMISO </t>
  </si>
  <si>
    <t>Número de asociaciones capacitadas/número de capacitacio a asociaciones programadas.</t>
  </si>
  <si>
    <t>Capacitadar asociaciones en temas de pesca y acuicultura</t>
  </si>
  <si>
    <t>CAPACITACIONES A ORGANIZACIONES DE URABA, BAJO CAUCA, BAHIA SOLANO Y BAJO BAUDO</t>
  </si>
  <si>
    <t>CAPACITACIONES A ASOCIACIONES EN TEMAS DE PESCA Y ACUICULTURA</t>
  </si>
  <si>
    <t>CAPACITACION A ORGANIZACIONES DEL BAJO CAUCA, URABA, CHOCO Y EL EJE CAFETERO, SE ATENDIO EL INDICADOR  PROGRAMADO</t>
  </si>
  <si>
    <t>Número de capacitaciones realizadas/número de capacitaciones programadas.</t>
  </si>
  <si>
    <t>Capacitar a los grupos de interés en asociatividad y normatividad para el ejercicio de la acuicultura y pesca y actividades conexas</t>
  </si>
  <si>
    <t>CUMPLIMIENTO DE LA META CON ENFASIS EN URABA, LITORAL PACIFICO CHOCOANO</t>
  </si>
  <si>
    <t>CAPACITAR A GRUPOS DE INTERES</t>
  </si>
  <si>
    <t>META CUMPLIDA POR MAYOR AISTENCIA DE USUARIOS,. SE APROXIMA EN LO PROGRAMADO</t>
  </si>
  <si>
    <t>Número de personas capacitadas/número de personas programadas</t>
  </si>
  <si>
    <t>Capacitar a Personas en normatividad y procedimientos para el ejercicio de la acuicultura</t>
  </si>
  <si>
    <t>ACTIVIDADES CONCENTRADAS EN EL URABA, BAJO CAUCA Y EJE CAFETERO</t>
  </si>
  <si>
    <t>CAPACITAR A PERSONAS  PARA EL EJERCICIO</t>
  </si>
  <si>
    <t>Número de personas capacitadas en BPM/Número de personas programadas.</t>
  </si>
  <si>
    <t>Capacitar a Personas en buenas practicas pesqueras (BPP) y buenas practicas de manufactura (BPM)</t>
  </si>
  <si>
    <t>CAPACITACIONES EN EL MUNICIPIO DE BAJO BAUDO Y BAHIA SOLANO, ADEMAS DEL URABA Y BAJO CAUCA ANTIOQUEÑO,</t>
  </si>
  <si>
    <t>CAPACITACION EN BPP Y BPM</t>
  </si>
  <si>
    <t xml:space="preserve">LA POBLACION OBJETO SE FOCALIZO EN LOS PROCEOSO DE ORDENACION Y BPP EN EL LITORAL PACIFICO CHOCOANO, ADEMAS DEL URABA Y BAJO CAUCA </t>
  </si>
  <si>
    <t>Número de capacitaciones realizadas/Número de capacitaciones programadas.</t>
  </si>
  <si>
    <t>Realizar capacitaciones en normatividad y medidas de inspección y vigilancia de la actividad pesquera y acuícola</t>
  </si>
  <si>
    <t>CAPACITACIONES A LAS AUTORIDADES EN EJE CAFETERO, URABA,  MUNICIPIOS DE CHOCO CON GRAN ACTIVIDAD COMERCAIL Y DE PRODUCCION</t>
  </si>
  <si>
    <t>CAPACITACION EN NORMATIVIDAD PESQUERA</t>
  </si>
  <si>
    <t>CAPACITACIONES ENFOCADAS EN AUTORIDADES  LOCALES, CON MAYOR FRECUENCIA EN SITIOS DE MAYOR PRODUCCION PESQUERA COMO LITORAL PACIFICO. BAJO CAUCA, EJE CAFETERO.</t>
  </si>
  <si>
    <t>Número de campañas de divulgaciones y promoción realizadas/Número de campañas de divulgación y promoción programadas</t>
  </si>
  <si>
    <t>Realizar campañas de divulgación y promoción a nivel nacional, sobre normatividad de pesca y acuicultura</t>
  </si>
  <si>
    <t>EVENTOS DE DIVULGACION RADIAL Y REUNIONES REALIZDAS EN TEMAS DIVULGATIVOS Y NORMATIVOS DE PESCA Y ACUICULTURA</t>
  </si>
  <si>
    <t>CAMPAÑAS DE DIVULGACION</t>
  </si>
  <si>
    <t>ACTIVIDADES DE DIVULGACION ENFOCADAS EN  VEDAS DE RECURSO PESQUERO,  Y TEMAS NORMATIVOS, EN EL BAJO CAUCA, Y DIFERENTEA REAS DEL CHOCO. SE CUMPLIO LA META INDICADA</t>
  </si>
  <si>
    <t>Número de pescadores artesanales formalizados/Número de pescadores artesanales programados</t>
  </si>
  <si>
    <t xml:space="preserve">SE ESPERA RESULTADOS Y BASES DE DATOS DEL PNUD PARA EXPEDICION DE CARNET </t>
  </si>
  <si>
    <t xml:space="preserve">CARNET ARTESANAL </t>
  </si>
  <si>
    <t>SE REALIZA LA CARNETIZACION EN COMPLEMENTO AL CONVENIO AUNAP - PNUD, ESTAMOS A LA ESPERA DE LA INFORMACION PARA EXPEDIR DOCUEMNTOS PARA EL MEDIO CAUCA ANTIOQUEÑO Y ATRATO</t>
  </si>
  <si>
    <t>ACTIVIDADES CONCENTRADAS EN BAHIA SOLANO, EJE CAFETERO, BAJO BAUDO, NUQUI Y BAJO CAUCA ANTIOQUEÑO</t>
  </si>
  <si>
    <t>OPERATIVOS IV TRIMESTRE</t>
  </si>
  <si>
    <t>ACTIVIDADES CONCENTRADAS EN PUERTOS Y ESTABLECIMIENTOS EN CENTROS DE PRODUCCION Y COMERCIALIZACION COMO BAHIA SOLANO, BAJO BAUDO, QUIBDO Y BAJO CAUCA ANTIOQUEÑO, ADEMAS EN LUGAES DE COMERCIALIZACION.</t>
  </si>
  <si>
    <t>Regional Villavicencio</t>
  </si>
  <si>
    <t>Maritza Casallas Delgado</t>
  </si>
  <si>
    <t>maritza.casallas@aunap.gov.co</t>
  </si>
  <si>
    <t>La atencion de tramites se hacen por demanda y es necesario y nuestra obligacion atenderlos todos de manera oportuna</t>
  </si>
  <si>
    <t xml:space="preserve">https://drive.google.com/drive/folders/1Jx8kpoIPAkngj95t4Dmwz5wUQR0kVIBD?usp=sharing
</t>
  </si>
  <si>
    <t>Incluye conceptos tecnicos elaborados en la DRV, carnets de pequeños comerciantes expedidos y expedicion de carne de AREL; La atencion de tramites se hacen por demanda y es necesario y nuestra obligacion atenderlos todos de manera oportuna</t>
  </si>
  <si>
    <t xml:space="preserve">Se cumplio a cabalidad la meta establecida </t>
  </si>
  <si>
    <t>https://drive.google.com/drive/folders/1cwonZ-_uEAiuzGoZo_3bmszKR9lG8Kt_?usp=sharing</t>
  </si>
  <si>
    <t>Las Capacitaciones a las asociaciones se realizan  por demanda y por esa razon hay siete por encima de la meta establecida durante el año</t>
  </si>
  <si>
    <t>Capacitación a los grupos de interés</t>
  </si>
  <si>
    <t>Las Capacitaciones a grupos de interes se realizan tambien por demanda y por esa razon hay una por encima de la meta establecida</t>
  </si>
  <si>
    <t>https://drive.google.com/drive/folders/1-7k41m6SzWE3W-GXw1oi9hvz1JgvrfhK?usp=sharing</t>
  </si>
  <si>
    <t>Las capacitaciones a los grupo de interes se realizan tambien por demanda y por esa razon hay ocho por encima de la meta establecida, toda vez que ademas de las programadas atendemos otras solicitudes</t>
  </si>
  <si>
    <t>Desarrollar actividades orientadas a sensibilizar a la población dedicada a la actividad pesquera y la acuicultura, en normatividad y medidas de ordenación de la pesca y acuicultura en Colombia.</t>
  </si>
  <si>
    <t>LA META ES CERO</t>
  </si>
  <si>
    <t>NO APLICA</t>
  </si>
  <si>
    <t>Las actividades realizadas durante la vigencia 2021, fueron según lo programado, sin embargo hay 6 actividades que se encuentran por encima toda vez que en el segundo trimestre se elevo por las actividades de veda</t>
  </si>
  <si>
    <t xml:space="preserve">Realizar operativos de control y vigilancia de la actividad pesquera y de la acuicultura y verificar el cumplimiento de  la normatividad pesquera y acuícola en:(Centros de acopio, Puntos de venta, Plazas principales, Muelles de desembarque, Aeropuertos, Vías terrestres y fluviales (incluidos cuerpos de agua) de la regional.
</t>
  </si>
  <si>
    <t>Se hicieron los operativos previstos y tambien se atendieron solicitudes extras para realizar operativos de control e inspeccion</t>
  </si>
  <si>
    <t>https://drive.google.com/drive/folders/1cyt_mG7INBQIdV0_2ijzTxhSJvN0qGe-?usp=sharing</t>
  </si>
  <si>
    <t>Se hicieron los operativos previstos y tambien se atendieron solicitudes extras para realizar operativos de control e inspeccion por tal razon hay 49 por encima de la meta establecida</t>
  </si>
  <si>
    <t>Pescadores formalizadas</t>
  </si>
  <si>
    <t>LA DEMANDA DE CARNÉS DE PESCA ARTESANAL CON CUMPLIMIENTO DE REQUISITOS SE ATENDIÓ OPORTUNAMENTE</t>
  </si>
  <si>
    <t>https://drive.google.com/drive/folders/1XXuXhv3NtqMvl0nx1x1mjRpC45oSHorc?usp=sharing</t>
  </si>
  <si>
    <t xml:space="preserve">Los carnes de pesca artesanal se expiden por demanda y se atienden a los de pescadores que se les vence tanto como a los pescadores que lo solicitan por primera vez </t>
  </si>
  <si>
    <t>No de percadores formalizados</t>
  </si>
  <si>
    <t>Promover la formalización de pescadores mediante la entrega del carnet de pesca deportiva</t>
  </si>
  <si>
    <t>LA DEMANDA DE CARNÉS DE PESCA DEPORTIVA CON CUMPLIMIENTO DE REQUISITOS SE ATENDIÓ OPORTUNAMENTE</t>
  </si>
  <si>
    <t>https://drive.google.com/drive/folders/14OxH9L31EYzYaCK9SgNSbgzyN5LqILqZ?usp=sharing</t>
  </si>
  <si>
    <t>La demanda de carnes de pesca deportiva es principalmente en el periodo de aguas abajo, sin embargo, la demanda de estos  en la vigencia del  primer y cuarto trimestre  se entendieron al cumplir con los requisitos para los mismos</t>
  </si>
  <si>
    <t>No. depersonas  con beneficio de inclusion productiva</t>
  </si>
  <si>
    <t>Beneficiarios con estrategias de inclusión productiva</t>
  </si>
  <si>
    <t>La meta es Cero</t>
  </si>
  <si>
    <t>Los beneficiarios de la estrategia de Agricultura por contrato incluyeron a pescadores de un par de Resguardos Indigenas que beneficia a miles de ellos y por esta razon se supero por mucho la meta prevista. Tamben por el animo de coadyuvar a la entidad en su compromiso nacional de esta actividad</t>
  </si>
  <si>
    <t>Regional Barrancabermeja</t>
  </si>
  <si>
    <t>Realizar operativos de control y sensibilización</t>
  </si>
  <si>
    <t>JAVIER JESUS OVALLE MARTINEZ</t>
  </si>
  <si>
    <t>DIRECTOR REGIONAL</t>
  </si>
  <si>
    <t>javier.ovalle@aunap.gov.co</t>
  </si>
  <si>
    <t>Personal, viaticos, transporte</t>
  </si>
  <si>
    <t xml:space="preserve">
Durante el cuarto Trimestre del año 2021, se realizó un total de setenta y siete (77) Operativos, distribuidos de la siguiente manera: 
(4) operativos Acuícolas: Se inspeccionaron los establecimientos y/o proyectos piscícolas del Carmen de chucuri: Piscícola Aguapeces SAS, Rio Negro: Grupo Pesquero del Oriente, Playón: Piscícola El Prado SAS, y Piscícola Los Andes.
(52) operativos a Establecimientos comerciales:  Se inspeccionaron los establecimientos comerciales y/o puntos de venta de:  Barrancabermeja: Sector El Muelle, Torcoroma y La Rampa. Bucaramanga: Centro de abastos; Cimitarra, Puerto Wilches, San Pablo, Puerto Triunfo, Lebrija, Puerto Berrio, Cúcuta, Puerto Boyacá: Barrio El Centro, Plazo de Mercado, Aguachica, Piedecuesta, Floridablanca y San Gil en Centros de abastos, Plazas de Mercado, Puntos de Venta. 
(21) Operativo de Pesca Artesanal:  Se inspeccionaron a los pescadores artesanales al igual que sus equipos y aparejos de pesca reglamentarios en el Embalse Topocoro, Puertos y/o Muelles  de desembarcos de Simiti, Barrancabermeja, San Pablo, Simiti, Puerto Boyacá, Yondó, Puerto Wilches. 
Se efectuaron recorridos en las Ciénaga de Barbacoas (Yondó), Ciénaga de Chucuri (Barrancabermeja). 
Es importante resaltar que de los setenta y siete (77) operativos realizados durante el cuarto trimestre, se efectuaron treinta y dos (32) informes técnicos de decomiso.
</t>
  </si>
  <si>
    <t>https://drive.google.com/drive/folders/1KjwvpbKi1AE1hNrESrulKY1RHFbTvkpZ?usp=sharing</t>
  </si>
  <si>
    <t xml:space="preserve">La Dirección Regional Barrancabermeja, cumplió con la meta asignada en el Plan de Acción 2021, sin embargo hubo un aumento en su gestión debido al incremento de la atención de solicitudes y denuncias por parte de la comunidad pesquera y fuerza pública. </t>
  </si>
  <si>
    <t>Número de eventos realizados/número de eventos desarrollados.</t>
  </si>
  <si>
    <t>Realizar eventos de divulgación y socialización a nivel nacional en pro de disminuir las malas prácticas, en el ejercicio del control y vigilancia preventiva de la actividad pesquera y acuícola.</t>
  </si>
  <si>
    <t xml:space="preserve">
Durante el cuarto trimestre, se realizaron ocho (08) eventos de divulgación en pro de disminuir las malas prácticas pesqueras dirigidas a: 
* Gremio de Comercializadores de Productos Pesqueros de Bucaramanga
* Integrantes de la Policía Nacional, Carabineros y Ejercito Nacional de los municipios de Puerto Boyacá (Boyacá); Bucaramanga, Floridablanca,Piedecuesta (Santander) y Santa Rosa del Sur (Bolívar).
*Entidades como la Secretaria de Agricultura de Betulia.
*Integrantes de la Armada Nacional de Infantería de Marina de Puerto Boyacá. Se atendieron sesenta y tres (63) personas.
</t>
  </si>
  <si>
    <t>https://drive.google.com/drive/folders/16xuPGygP5LtQ8BVotVnS4Vd_bNBwKuEf?usp=sharing</t>
  </si>
  <si>
    <t xml:space="preserve">La Dirección Regional Barrancabermeja, dió cumplimiento en la meta, no obstante se atendieron solicitudes de la comunidad pesquera, y se contó con el apoyo del personal frente a la gestión y/o presencia  de la AUNAP en el territorio.  </t>
  </si>
  <si>
    <t>Atender Trámites</t>
  </si>
  <si>
    <t xml:space="preserve">Durante el cuarto trimestre, la Dirección Regional Barrancabermeja atendió y gestionó: 
(8) Prórrogas de Permisos de Comercialización: 
Antioquia: Puerto Berrio: PTB- 004. Edgar José Peña Florez
Cesar: SIM 005- Maritza Ótalora
Santander: Socorro: BUC 084-Richard Acuña; BUC 093- Pesquera Davimar y Rios, Barrancabermeja: BAR 022- Pesquera el Dorado E&amp;F S.A.S; Bucaramanga: BUC 110- Casalins SA.
Norte de Santander: Cúcuta: CUC 040- Compra y venta de pescado y queso los compadres; CUC 041- Salipez Cúcuta S.A.S.
(1) Prórroga de Permiso de Cultivo
Santander: Pinchote: BUC 099- Pesquera La Granja El Cúcharo
(10) Inclusión o Modificación de Permiso de Comercialización sea por proveedor, productos y/o toneladas:
Santander: Bucaramanga: BUC 077- Distribuidora Pastor Julio Delgado S.A; BUC 079- Compañía Pesquera Del Mar. Girón: BUC 083- Pesquera Del Mar; BUC 085, BUC 086, BUC 087,  BUC 088 y BUC 089- Compañía Pesquera del Mar S.A.S; BUC 092 y BUC 097: Pesquera del Mar.
(1) Inclusión o Modificación de Permisos de Cultivo.
Santander: Carmen de Chucuri: BAR 021- Aguapeces SAS
(4) Otorgamiento de Permisos de Comercialización
Santander: Bucaramanga: BUC 082- Ricardo Rueda Gutiérrez, BUC 100- ANPAMAR SAS, BUC 103- PEZCADERIA S.A.S, San Gil: BUC 108- Super Fama El Cebu
(4) Otorgamiento de Permisos de Cultivo
Santander: Simacota: BAR020- Pesca Fresca Nicaragua, Floridablanca: BUC 096-DISCUS ROA FISH, Rio Negro: BUC 098- El Prado S.A.S, Pinchote: BUC 107-Tilagua (TECNI-PISCICOLA LIMPIA)
(2) Cancelación: Bucaramanga: BUC 080-Luis Fernando Merchán Ávila, BUC 094- DISCUS ROA FISH
*Se diligenciaron diez (10) permisos Arel del municipio de Morales consecutivos Nos. 2910, 2911,2912, 2913, 2914, 2915, 2916, 2917, 2918,2919.
*Se diligenciaron cuatro (4) Permisos de Pequeños Comerciantes: Uno (1) del municipio de Betulia con consecutivo No. DRBJ017; y tres (3) del municipio de Puerto Wilches con consecutivos Nos. DRBJ018, DRBJ019, DRBJ20, DRBJ21.
Cabe anotar que la cancelación de los permisos no se cuenta. Por consiguiente, se dio trámite a 42 solicitudes, reflejando a su vez, un aumento en la meta programada.
</t>
  </si>
  <si>
    <t>https://drive.google.com/drive/folders/1KMugiVNh_pW8feDhcC3o7aj9hVcgm919?usp=sharing</t>
  </si>
  <si>
    <t xml:space="preserve">La Dirección Regional Barrancabermeja, cumplió con la meta asignada en el Plan de Acción 2021; debido a la gestión realizada y al interes de los comerciantes y piscicultores se vincularon nuevos permisionarios, también se incrementó la inclusión de proveedores en el territorio. </t>
  </si>
  <si>
    <t>Número de Asociones capacitadas/Número de asociaciones programadas para capacitar</t>
  </si>
  <si>
    <t>Capacitar asociaciones en temas de pesca y acuicutura</t>
  </si>
  <si>
    <t xml:space="preserve">Durante el cuarto trimestre, se realizaron ocho (8) capacitaciones en temas de pesca y acuicultura dirigidas a :     
* Gremio de pescadores artesanales y acuicultores como: ASODESBA (B/bermeja), ASOPESAGRO (Aguachica). GEO VON LENGUERKE (Girón), AGROEMCA (Yondó) y Pescadores Independientes de Cimitarra y Puerto Nare. 
*Comerciante dirigida a  ASOCOPEZ (Bucaramanga)
*Entidades como CORNARE de Puerto Nare
Se atendieron ochenta y tres (83) personas.
</t>
  </si>
  <si>
    <t>https://drive.google.com/drive/folders/1v8RN5rOIe2Hmc23pb_g65Rn_enq11WV3?usp=sharing</t>
  </si>
  <si>
    <t>La Dirección Regional Barrancabermeja, cumplió con la meta, aunque se aumentó fue debido a la gestión del equipo de trabajo en sus oficinas satelites y con la comunidad pesquera y acuicola al  dar a conocer las funciones de la AUNAP.</t>
  </si>
  <si>
    <t>Formalizar pescadores artesanales</t>
  </si>
  <si>
    <t xml:space="preserve">Durante el Cuarto Trimestre, se realizaron trescientos ochenta y seis (386) formalizaciones de carné pesca artesanal correspondientes a los consecutivos desde el CA2021041181- CA2021041566, las zonas atendidas fueron:
*ANTIOQUIA: Yondó: APAC RIO (16), APESCOY (14), PESCADORES INDEPENDIENTES (2).
*BOLÍVAR: Morales: ASOPEBOC (7); Cantagallo: AFROPEZGALLO (9)
*BOYACÁ: Puerto Boyacá: ECOPALAGUA (11)
*SANTANDER: Barrancabermeja: ACOPESCAR (5), APARS (10), ASODESBA (7), ASOPELLMAG (59), COOPESANSILVESTRE (2), APALL (1), COPEZ (4), APACCO (1), AGREPESOMAG (7), ASOCIACON DE PESCADORES DE LA UNION (17), ASOPEUNION (1), APESTERGAL (1), ASOPESCASAN (1), ASOPETRADEMAG (18),ASOGEAFF (1),  ASOPESAGRIP (17), ASOPESADIBA (4), ASOPESCABA (17), PEZCOMAGDA (37), ASOPENOR (2), Pescadores  Independientes (60); Betulia: ASOAGROPESCABA (1), ASOGAMOSO (7), ASPEST (2); Girón: CORTURPHIALES (16); Puerto Wilches: Pescadores Independientes (28), ASPESWILL (1). 
</t>
  </si>
  <si>
    <t>https://drive.google.com/drive/folders/1Pr6zdTGz8wK_5sxhGxlKOSIwSB4PSi-X?usp=sharing</t>
  </si>
  <si>
    <t xml:space="preserve">La Dirección Regional Barrancabermeja, cumplió con la meta asignada, pero hubo un aumento debido a la recepción y/o participación de comunidad pesquera y acuicola en proyectos de fomento y posteriormente su formalización (expedición de carnes) </t>
  </si>
  <si>
    <t>Capacitar a los grupos de interes en asociatividad y normatividad para el ejercicio de la acuicultura, pesca, y actividades conexas</t>
  </si>
  <si>
    <t xml:space="preserve">Durante el cuarto trimestre del año, se realizaron dieciséis (16) capacitaciones dirigidos a  grupo de interés pertenecientes a la jurisdicción de Barrancabermeja, frente a asociatividad, requisitos de formalización, dirigidos a:  
*Pescadores Artesanales: ASOPAB (Bolívar),  ASOPEVERNU, ASOMORROS, CORPESLAYA , APARSANA – Asociación De Pescadores De Rio Nare, AGROPRAY (Antioquia), AFROPESPRO, AFROLUCHA, ASOVESPES AFROPEFUMAG,ASOPEBE,AGROPEGU (Santander), ASOPESAGRO, ASOPEPAG, AGROPESGAM, BAGRE RAYADO, APECBUL, ASOPESAG, ASOPESNAL, RIO YUMA, ASOC ATARRAYA, COOPAGA,, ASOPAGRAM, AMPESCOP (Cesar), ASOPESAGRO, ASOINPA- PESCADORES INDEPENDIENTES. (Aguachica), ASOARCEPEMOBO, ASOPESCADI, ASOPEBOC, ADAPAC, ASOPASIM, ASMUHITA, ASOPEZCAAGROVI (Morales), entre otras. 
Atendiendo a doscientos cuarenta (240) personas. 
</t>
  </si>
  <si>
    <t>https://drive.google.com/drive/folders/1GlFuWFvQ7YwCJd7w6vKfAiEuMG0N8s2L?usp=sharing</t>
  </si>
  <si>
    <t xml:space="preserve">La Dirección Regional Barrancabermeja, cumplió con la meta asignada, se dió un aumento en las capacitaciones debido al interes de asociatividad de pescadores independientes interesados en participar en los proyectos de fomento, también la vinculación de nuevas asociaciones. </t>
  </si>
  <si>
    <t xml:space="preserve">Para el IV Trimestre no hubo programación de esta actividad. Por tanto no se adjunta evidencia. </t>
  </si>
  <si>
    <t xml:space="preserve">Durante el II y III trimestre, se dió cumplimiento en la meta, y se trabajó de la mano con la comunidad pesquera sobre los dos acuerdos de ordenación que maneja la Dirección Regional Barrancabermeja, que son las Zonas de Reserva (Ciénagas el Clavo, ubicada en el Corregimiento  Bocas de Carare, municipio de Puerto Parra y Aguas Negras ubicadas en el corregimiento San Rafael de  Chucurí, Distrito de Barrancabermeja y zonas de manejo especial (ciénagas Aguas Blancas y la Colorada),  ubicadas municipio de Puerto Parra establecidas  bajo la Resolución No. 2221 del 19 de Octubre del 2017 y el Acuerdo de la veda del Bagre rayado por candeleo por la cual se adopta en la Resolución 002367 de 18 de Octubre de 2019. 
</t>
  </si>
  <si>
    <t>Generar acuerdos de ordenación de la actividad pesquera y de la acuicultura</t>
  </si>
  <si>
    <t xml:space="preserve">
Durante el cuarto trimestre del año, se remitió a la Dirección Técnica de Administración y Fomento todos los insumos recopilados del trabajo y seguimiento realizado durante el año frente al tema de Prohibición de Pesca de la Ciénaga Miramar, esta gestión dio como resultado la expedición de la Resolución No. 3227 del 2021 “Por medio del cual se prohíbe de manera precautoria y por tiempo indefinido la pesca en la Ciénaga Miramar ubicada en el Distrito Especial Portuario, Industrial, Turístico y Biodiverso de Barrancabermeja, Santander”. 
</t>
  </si>
  <si>
    <t>https://drive.google.com/drive/folders/1uiZde6Mm9ukw6dLk81rYUhg8aJ0hXw3W?usp=sharing</t>
  </si>
  <si>
    <t>La Dirección Regional Barrancabermeja, trabajó durante el año 2021 en recopilar los insumos necesarios para declarar la Ciénaga Miramar como zona de Prohibición de Pesca, dando como resultado la Resolución Resolución No. 3227 del 2021</t>
  </si>
</sst>
</file>

<file path=xl/styles.xml><?xml version="1.0" encoding="utf-8"?>
<styleSheet xmlns="http://schemas.openxmlformats.org/spreadsheetml/2006/main" xmlns:x14ac="http://schemas.microsoft.com/office/spreadsheetml/2009/9/ac" xmlns:mc="http://schemas.openxmlformats.org/markup-compatibility/2006">
  <numFmts count="9">
    <numFmt numFmtId="164" formatCode="D/M/YYYY"/>
    <numFmt numFmtId="165" formatCode="dd/mm/yyyy"/>
    <numFmt numFmtId="166" formatCode="###0"/>
    <numFmt numFmtId="167" formatCode="[$ $]#,##0"/>
    <numFmt numFmtId="168" formatCode="d/m/yyyy"/>
    <numFmt numFmtId="169" formatCode="#,##0_);(#,##0)"/>
    <numFmt numFmtId="170" formatCode="d/M/yyyy"/>
    <numFmt numFmtId="171" formatCode="d/m/yyyy\ h:mm:ss"/>
    <numFmt numFmtId="172" formatCode="# &quot;días&quot;"/>
  </numFmts>
  <fonts count="51">
    <font>
      <sz val="11.0"/>
      <color theme="1"/>
      <name val="Arial"/>
      <scheme val="minor"/>
    </font>
    <font>
      <b/>
      <sz val="12.0"/>
      <color rgb="FFFFFFFF"/>
      <name val="Merriweather"/>
    </font>
    <font>
      <b/>
      <sz val="15.0"/>
      <color rgb="FFFFFFFF"/>
      <name val="Calibri"/>
    </font>
    <font>
      <b/>
      <u/>
      <sz val="12.0"/>
      <color rgb="FFFFFFFF"/>
      <name val="Merriweather"/>
    </font>
    <font>
      <color theme="1"/>
      <name val="Arial"/>
    </font>
    <font>
      <b/>
      <color rgb="FFFFFFFF"/>
      <name val="Arial"/>
    </font>
    <font>
      <b/>
      <sz val="10.0"/>
      <color rgb="FFFFFFFF"/>
      <name val="Arial"/>
    </font>
    <font>
      <b/>
      <sz val="9.0"/>
      <color rgb="FFFFFFFF"/>
      <name val="Arial"/>
    </font>
    <font>
      <sz val="10.0"/>
      <color rgb="FF000000"/>
      <name val="Arial"/>
    </font>
    <font>
      <sz val="10.0"/>
      <color theme="1"/>
      <name val="Arial"/>
    </font>
    <font>
      <sz val="10.0"/>
      <color rgb="FF000000"/>
      <name val="Calibri"/>
    </font>
    <font>
      <color theme="1"/>
      <name val="Arial"/>
      <scheme val="minor"/>
    </font>
    <font>
      <b/>
      <sz val="10.0"/>
      <color rgb="FF000000"/>
      <name val="Arial"/>
    </font>
    <font/>
    <font>
      <sz val="11.0"/>
      <color rgb="FF000000"/>
      <name val="Arial"/>
    </font>
    <font>
      <b/>
      <sz val="10.0"/>
      <color rgb="FFFFFFFF"/>
      <name val="Roboto"/>
    </font>
    <font>
      <sz val="11.0"/>
      <color theme="1"/>
      <name val="Arial"/>
    </font>
    <font>
      <color rgb="FF000000"/>
      <name val="Arial"/>
    </font>
    <font>
      <u/>
      <sz val="11.0"/>
      <color rgb="FF0000FF"/>
      <name val="Arial"/>
    </font>
    <font>
      <u/>
      <sz val="11.0"/>
      <color theme="1"/>
      <name val="Arial"/>
    </font>
    <font>
      <b/>
      <u/>
      <sz val="10.0"/>
      <color rgb="FFFFFFFF"/>
      <name val="Merriweather"/>
    </font>
    <font>
      <sz val="10.0"/>
      <color theme="1"/>
      <name val="Arial"/>
      <scheme val="minor"/>
    </font>
    <font>
      <b/>
      <sz val="10.0"/>
      <color theme="1"/>
      <name val="Arial"/>
    </font>
    <font>
      <sz val="10.0"/>
      <color rgb="FFFFFFFF"/>
      <name val="Arial"/>
    </font>
    <font>
      <u/>
      <sz val="10.0"/>
      <color rgb="FF0000FF"/>
      <name val="Arial"/>
    </font>
    <font>
      <color rgb="FF000000"/>
      <name val="Roboto"/>
    </font>
    <font>
      <u/>
      <sz val="10.0"/>
      <color rgb="FF0000FF"/>
      <name val="Arial"/>
    </font>
    <font>
      <u/>
      <sz val="10.0"/>
      <color rgb="FF1155CC"/>
      <name val="Arial"/>
    </font>
    <font>
      <u/>
      <sz val="10.0"/>
      <color rgb="FF1155CC"/>
      <name val="Arial"/>
    </font>
    <font>
      <u/>
      <sz val="10.0"/>
      <color rgb="FF0000FF"/>
      <name val="Arial"/>
    </font>
    <font>
      <sz val="9.0"/>
      <color theme="1"/>
      <name val="&quot;Arial Narrow&quot;"/>
    </font>
    <font>
      <u/>
      <sz val="10.0"/>
      <color rgb="FF0000FF"/>
      <name val="Arial"/>
    </font>
    <font>
      <u/>
      <sz val="10.0"/>
      <color rgb="FF000000"/>
      <name val="Arial"/>
    </font>
    <font>
      <u/>
      <sz val="10.0"/>
      <color rgb="FF0000FF"/>
      <name val="Arial"/>
    </font>
    <font>
      <u/>
      <sz val="10.0"/>
      <color rgb="FF1155CC"/>
      <name val="Arial"/>
    </font>
    <font>
      <u/>
      <sz val="10.0"/>
      <color rgb="FF0000FF"/>
      <name val="Arial"/>
    </font>
    <font>
      <u/>
      <sz val="10.0"/>
      <color rgb="FF1155CC"/>
      <name val="Arial"/>
    </font>
    <font>
      <u/>
      <sz val="10.0"/>
      <color rgb="FF0000FF"/>
      <name val="Arial"/>
    </font>
    <font>
      <u/>
      <sz val="10.0"/>
      <color rgb="FF1155CC"/>
      <name val="Arial"/>
    </font>
    <font>
      <u/>
      <color rgb="FF1155CC"/>
      <name val="Arial"/>
    </font>
    <font>
      <u/>
      <color rgb="FF0000FF"/>
      <name val="Arial"/>
    </font>
    <font>
      <u/>
      <sz val="11.0"/>
      <color rgb="FF0000FF"/>
      <name val="Arial"/>
    </font>
    <font>
      <u/>
      <sz val="11.0"/>
      <color rgb="FF1155CC"/>
      <name val="Arial"/>
    </font>
    <font>
      <u/>
      <sz val="10.0"/>
      <color rgb="FF000000"/>
      <name val="Arial"/>
    </font>
    <font>
      <u/>
      <sz val="10.0"/>
      <color rgb="FF0000FF"/>
      <name val="Arial"/>
    </font>
    <font>
      <sz val="9.0"/>
      <color rgb="FF000000"/>
      <name val="Arial"/>
    </font>
    <font>
      <u/>
      <sz val="10.0"/>
      <color rgb="FF1155CC"/>
      <name val="Arial"/>
    </font>
    <font>
      <u/>
      <sz val="11.0"/>
      <color rgb="FF1155CC"/>
      <name val="Arial"/>
    </font>
    <font>
      <u/>
      <sz val="11.0"/>
      <color rgb="FF1155CC"/>
      <name val="Arial"/>
    </font>
    <font>
      <u/>
      <color rgb="FF1155CC"/>
      <name val="Arial"/>
    </font>
    <font>
      <u/>
      <sz val="11.0"/>
      <color rgb="FF1155CC"/>
      <name val="Arial"/>
    </font>
  </fonts>
  <fills count="9">
    <fill>
      <patternFill patternType="none"/>
    </fill>
    <fill>
      <patternFill patternType="lightGray"/>
    </fill>
    <fill>
      <patternFill patternType="solid">
        <fgColor rgb="FF2888F7"/>
        <bgColor rgb="FF2888F7"/>
      </patternFill>
    </fill>
    <fill>
      <patternFill patternType="solid">
        <fgColor rgb="FF3C78D8"/>
        <bgColor rgb="FF3C78D8"/>
      </patternFill>
    </fill>
    <fill>
      <patternFill patternType="solid">
        <fgColor rgb="FFFFFFFF"/>
        <bgColor rgb="FFFFFFFF"/>
      </patternFill>
    </fill>
    <fill>
      <patternFill patternType="solid">
        <fgColor rgb="FFFFF2CC"/>
        <bgColor rgb="FFFFF2CC"/>
      </patternFill>
    </fill>
    <fill>
      <patternFill patternType="solid">
        <fgColor rgb="FFEFEFEF"/>
        <bgColor rgb="FFEFEFEF"/>
      </patternFill>
    </fill>
    <fill>
      <patternFill patternType="solid">
        <fgColor rgb="FFFFE599"/>
        <bgColor rgb="FFFFE599"/>
      </patternFill>
    </fill>
    <fill>
      <patternFill patternType="solid">
        <fgColor rgb="FFCFE2F3"/>
        <bgColor rgb="FFCFE2F3"/>
      </patternFill>
    </fill>
  </fills>
  <borders count="58">
    <border/>
    <border>
      <top style="thin">
        <color rgb="FFFFFFFF"/>
      </top>
      <bottom style="thin">
        <color rgb="FFFFFFFF"/>
      </bottom>
    </border>
    <border>
      <left style="thin">
        <color rgb="FFFFFFFF"/>
      </left>
      <right style="thin">
        <color rgb="FFFFFFFF"/>
      </right>
      <top style="thin">
        <color rgb="FFFFFFFF"/>
      </top>
      <bottom style="thin">
        <color rgb="FFFFFFFF"/>
      </bottom>
    </border>
    <border>
      <right style="thin">
        <color rgb="FF3C78D8"/>
      </right>
      <bottom style="thin">
        <color rgb="FF3C78D8"/>
      </bottom>
    </border>
    <border>
      <left style="thin">
        <color rgb="FF3C78D8"/>
      </left>
      <right style="thin">
        <color rgb="FF3C78D8"/>
      </right>
      <bottom style="thin">
        <color rgb="FF3C78D8"/>
      </bottom>
    </border>
    <border>
      <right style="thin">
        <color rgb="FF3C78D8"/>
      </right>
      <top style="thin">
        <color rgb="FF3C78D8"/>
      </top>
      <bottom style="thin">
        <color rgb="FF3C78D8"/>
      </bottom>
    </border>
    <border>
      <left style="thin">
        <color rgb="FF3C78D8"/>
      </left>
      <right style="thin">
        <color rgb="FF3C78D8"/>
      </right>
      <top style="thin">
        <color rgb="FF3C78D8"/>
      </top>
      <bottom style="thin">
        <color rgb="FF3C78D8"/>
      </bottom>
    </border>
    <border>
      <left style="thin">
        <color rgb="FF1155CC"/>
      </left>
      <top style="thin">
        <color rgb="FF1155CC"/>
      </top>
      <bottom style="thin">
        <color rgb="FF1155CC"/>
      </bottom>
    </border>
    <border>
      <top style="thin">
        <color rgb="FF1155CC"/>
      </top>
      <bottom style="thin">
        <color rgb="FF1155CC"/>
      </bottom>
    </border>
    <border>
      <right style="thin">
        <color rgb="FF1155CC"/>
      </right>
      <top style="thin">
        <color rgb="FF1155CC"/>
      </top>
      <bottom style="thin">
        <color rgb="FF1155CC"/>
      </bottom>
    </border>
    <border>
      <left style="thin">
        <color rgb="FFFFFFFF"/>
      </left>
      <top style="thin">
        <color rgb="FF2888F7"/>
      </top>
      <bottom style="thin">
        <color rgb="FFFFFFFF"/>
      </bottom>
    </border>
    <border>
      <top style="thin">
        <color rgb="FF2888F7"/>
      </top>
      <bottom style="thin">
        <color rgb="FFFFFFFF"/>
      </bottom>
    </border>
    <border>
      <right style="thin">
        <color rgb="FFFFFFFF"/>
      </right>
      <top style="thin">
        <color rgb="FF2888F7"/>
      </top>
      <bottom style="thin">
        <color rgb="FFFFFFFF"/>
      </bottom>
    </border>
    <border>
      <right style="medium">
        <color rgb="FF2888F7"/>
      </right>
      <top style="thin">
        <color rgb="FF2888F7"/>
      </top>
      <bottom style="thin">
        <color rgb="FFFFFFFF"/>
      </bottom>
    </border>
    <border>
      <left style="thin">
        <color rgb="FF000000"/>
      </left>
      <right style="thin">
        <color rgb="FF000000"/>
      </right>
      <top style="thin">
        <color rgb="FF000000"/>
      </top>
      <bottom style="thin">
        <color rgb="FF000000"/>
      </bottom>
    </border>
    <border>
      <left style="thin">
        <color rgb="FF1155CC"/>
      </left>
      <right style="thin">
        <color rgb="FF1155CC"/>
      </right>
      <top style="thin">
        <color rgb="FF1155CC"/>
      </top>
      <bottom style="thin">
        <color rgb="FF1155CC"/>
      </bottom>
    </border>
    <border>
      <left style="thin">
        <color rgb="FFFFFFFF"/>
      </left>
      <right style="thin">
        <color rgb="FFFFFFFF"/>
      </right>
      <bottom style="thin">
        <color rgb="FFFFFFFF"/>
      </bottom>
    </border>
    <border>
      <left style="thin">
        <color rgb="FFFFFFFF"/>
      </left>
      <bottom style="thin">
        <color rgb="FFFFFFFF"/>
      </bottom>
    </border>
    <border>
      <left style="thin">
        <color rgb="FFFFFFFF"/>
      </left>
      <right style="medium">
        <color rgb="FF2888F7"/>
      </right>
      <top style="thin">
        <color rgb="FFFFFFFF"/>
      </top>
      <bottom style="thin">
        <color rgb="FFFFFFFF"/>
      </bottom>
    </border>
    <border>
      <right style="thin">
        <color rgb="FF000000"/>
      </right>
      <top style="thin">
        <color rgb="FF000000"/>
      </top>
      <bottom style="thin">
        <color rgb="FF000000"/>
      </bottom>
    </border>
    <border>
      <left/>
      <right/>
      <top/>
      <bottom/>
    </border>
    <border>
      <left style="thin">
        <color rgb="FF2888F7"/>
      </left>
      <bottom style="thin">
        <color rgb="FF2888F7"/>
      </bottom>
    </border>
    <border>
      <left style="medium">
        <color rgb="FF2888F7"/>
      </left>
      <right style="thin">
        <color rgb="FF2888F7"/>
      </right>
      <bottom style="thin">
        <color rgb="FF2888F7"/>
      </bottom>
    </border>
    <border>
      <left style="thin">
        <color rgb="FF2888F7"/>
      </left>
      <right style="thin">
        <color rgb="FF2888F7"/>
      </right>
      <bottom style="thin">
        <color rgb="FF2888F7"/>
      </bottom>
    </border>
    <border>
      <right style="thin">
        <color rgb="FF2888F7"/>
      </right>
      <bottom style="thin">
        <color rgb="FF2888F7"/>
      </bottom>
    </border>
    <border>
      <left style="thin">
        <color rgb="FF2888F7"/>
      </left>
      <right style="medium">
        <color rgb="FF2888F7"/>
      </right>
      <bottom style="thin">
        <color rgb="FF2888F7"/>
      </bottom>
    </border>
    <border>
      <left/>
      <right/>
      <top style="thin">
        <color rgb="FF3C78D8"/>
      </top>
      <bottom/>
    </border>
    <border>
      <top style="thin">
        <color rgb="FF3C78D8"/>
      </top>
    </border>
    <border>
      <left/>
      <right/>
      <top/>
    </border>
    <border>
      <left style="medium">
        <color rgb="FF2888F7"/>
      </left>
      <top style="medium">
        <color rgb="FF2888F7"/>
      </top>
      <bottom style="thin">
        <color rgb="FF2888F7"/>
      </bottom>
    </border>
    <border>
      <top style="medium">
        <color rgb="FF2888F7"/>
      </top>
      <bottom style="thin">
        <color rgb="FF2888F7"/>
      </bottom>
    </border>
    <border>
      <right style="medium">
        <color rgb="FF2888F7"/>
      </right>
      <top style="medium">
        <color rgb="FF2888F7"/>
      </top>
      <bottom style="thin">
        <color rgb="FF2888F7"/>
      </bottom>
    </border>
    <border>
      <left/>
      <top/>
      <bottom/>
    </border>
    <border>
      <left style="medium">
        <color rgb="FF2888F7"/>
      </left>
      <right style="thin">
        <color rgb="FF2888F7"/>
      </right>
      <top style="medium">
        <color rgb="FF2888F7"/>
      </top>
      <bottom style="thin">
        <color rgb="FF2888F7"/>
      </bottom>
    </border>
    <border>
      <left style="thin">
        <color rgb="FF2888F7"/>
      </left>
      <right style="thin">
        <color rgb="FF2888F7"/>
      </right>
      <top style="medium">
        <color rgb="FF2888F7"/>
      </top>
      <bottom style="thin">
        <color rgb="FF2888F7"/>
      </bottom>
    </border>
    <border>
      <left style="thin">
        <color rgb="FF2888F7"/>
      </left>
      <right style="medium">
        <color rgb="FF2888F7"/>
      </right>
      <top style="medium">
        <color rgb="FF2888F7"/>
      </top>
      <bottom style="thin">
        <color rgb="FF2888F7"/>
      </bottom>
    </border>
    <border>
      <left style="medium">
        <color rgb="FF2888F7"/>
      </left>
      <right style="thin">
        <color rgb="FF2888F7"/>
      </right>
      <top style="thin">
        <color rgb="FF2888F7"/>
      </top>
      <bottom style="thin">
        <color rgb="FF2888F7"/>
      </bottom>
    </border>
    <border>
      <left style="thin">
        <color rgb="FF2888F7"/>
      </left>
      <right style="thin">
        <color rgb="FF2888F7"/>
      </right>
      <top style="thin">
        <color rgb="FF2888F7"/>
      </top>
      <bottom style="thin">
        <color rgb="FF2888F7"/>
      </bottom>
    </border>
    <border>
      <left style="thin">
        <color rgb="FF2888F7"/>
      </left>
      <right style="medium">
        <color rgb="FF2888F7"/>
      </right>
      <top style="thin">
        <color rgb="FF2888F7"/>
      </top>
      <bottom style="thin">
        <color rgb="FF2888F7"/>
      </bottom>
    </border>
    <border>
      <left style="medium">
        <color rgb="FF2888F7"/>
      </left>
      <right style="thin">
        <color rgb="FF2888F7"/>
      </right>
      <top style="thin">
        <color rgb="FF2888F7"/>
      </top>
      <bottom style="medium">
        <color rgb="FF2888F7"/>
      </bottom>
    </border>
    <border>
      <left style="thin">
        <color rgb="FF2888F7"/>
      </left>
      <right style="thin">
        <color rgb="FF2888F7"/>
      </right>
      <top style="thin">
        <color rgb="FF2888F7"/>
      </top>
      <bottom style="medium">
        <color rgb="FF2888F7"/>
      </bottom>
    </border>
    <border>
      <left style="thin">
        <color rgb="FF2888F7"/>
      </left>
      <right style="medium">
        <color rgb="FF2888F7"/>
      </right>
      <top style="thin">
        <color rgb="FF2888F7"/>
      </top>
      <bottom style="medium">
        <color rgb="FF2888F7"/>
      </bottom>
    </border>
    <border>
      <left style="medium">
        <color rgb="FF2888F7"/>
      </left>
      <right style="thin">
        <color rgb="FF1155CC"/>
      </right>
      <top style="medium">
        <color rgb="FF2888F7"/>
      </top>
      <bottom style="thin">
        <color rgb="FF1155CC"/>
      </bottom>
    </border>
    <border>
      <left style="thin">
        <color rgb="FF1155CC"/>
      </left>
      <right style="thin">
        <color rgb="FF1155CC"/>
      </right>
      <top style="medium">
        <color rgb="FF2888F7"/>
      </top>
      <bottom style="thin">
        <color rgb="FF1155CC"/>
      </bottom>
    </border>
    <border>
      <left style="thin">
        <color rgb="FF1155CC"/>
      </left>
      <right style="medium">
        <color rgb="FF2888F7"/>
      </right>
      <top style="medium">
        <color rgb="FF2888F7"/>
      </top>
      <bottom style="thin">
        <color rgb="FF1155CC"/>
      </bottom>
    </border>
    <border>
      <left style="medium">
        <color rgb="FF2888F7"/>
      </left>
      <right style="thin">
        <color rgb="FF3C78D8"/>
      </right>
      <top style="thin">
        <color rgb="FF3C78D8"/>
      </top>
      <bottom style="thin">
        <color rgb="FF3C78D8"/>
      </bottom>
    </border>
    <border>
      <left style="thin">
        <color rgb="FF3C78D8"/>
      </left>
      <right style="medium">
        <color rgb="FF2888F7"/>
      </right>
      <top style="thin">
        <color rgb="FF3C78D8"/>
      </top>
      <bottom style="thin">
        <color rgb="FF3C78D8"/>
      </bottom>
    </border>
    <border>
      <left style="medium">
        <color rgb="FF2888F7"/>
      </left>
      <right style="thin">
        <color rgb="FF3C78D8"/>
      </right>
      <top style="thin">
        <color rgb="FF3C78D8"/>
      </top>
      <bottom style="medium">
        <color rgb="FF2888F7"/>
      </bottom>
    </border>
    <border>
      <left style="thin">
        <color rgb="FF3C78D8"/>
      </left>
      <right style="thin">
        <color rgb="FF3C78D8"/>
      </right>
      <top style="thin">
        <color rgb="FF3C78D8"/>
      </top>
      <bottom style="medium">
        <color rgb="FF2888F7"/>
      </bottom>
    </border>
    <border>
      <left style="thin">
        <color rgb="FF3C78D8"/>
      </left>
      <right style="thin">
        <color rgb="FF3C78D8"/>
      </right>
      <bottom style="medium">
        <color rgb="FF2888F7"/>
      </bottom>
    </border>
    <border>
      <left style="thin">
        <color rgb="FF3C78D8"/>
      </left>
      <right style="medium">
        <color rgb="FF2888F7"/>
      </right>
      <top style="thin">
        <color rgb="FF3C78D8"/>
      </top>
      <bottom style="medium">
        <color rgb="FF2888F7"/>
      </bottom>
    </border>
    <border>
      <left style="thin">
        <color rgb="FF000000"/>
      </left>
      <right style="thin">
        <color rgb="FF000000"/>
      </right>
      <bottom style="thin">
        <color rgb="FF000000"/>
      </bottom>
    </border>
    <border>
      <right style="thin">
        <color rgb="FF000000"/>
      </right>
      <bottom style="thin">
        <color rgb="FF000000"/>
      </bottom>
    </border>
    <border>
      <left style="medium">
        <color rgb="FF2888F7"/>
      </left>
      <right style="thin">
        <color rgb="FF2888F7"/>
      </right>
      <top style="thin">
        <color rgb="FF3C78D8"/>
      </top>
      <bottom style="thin">
        <color rgb="FF2888F7"/>
      </bottom>
    </border>
    <border>
      <right style="thin">
        <color rgb="FF3C78D8"/>
      </right>
      <top style="thin">
        <color rgb="FF2888F7"/>
      </top>
      <bottom style="thin">
        <color rgb="FF3C78D8"/>
      </bottom>
    </border>
    <border>
      <right style="medium">
        <color rgb="FF2888F7"/>
      </right>
      <top style="thin">
        <color rgb="FF3C78D8"/>
      </top>
      <bottom style="thin">
        <color rgb="FF2888F7"/>
      </bottom>
    </border>
    <border>
      <left style="thin">
        <color rgb="FF2888F7"/>
      </left>
      <right style="thin">
        <color rgb="FF2888F7"/>
      </right>
      <top style="thin">
        <color rgb="FF2888F7"/>
      </top>
    </border>
    <border>
      <left style="thin">
        <color rgb="FF3C78D8"/>
      </left>
      <bottom style="thin">
        <color rgb="FF3C78D8"/>
      </bottom>
    </border>
  </borders>
  <cellStyleXfs count="1">
    <xf borderId="0" fillId="0" fontId="0" numFmtId="0" applyAlignment="1" applyFont="1"/>
  </cellStyleXfs>
  <cellXfs count="286">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2" numFmtId="0" xfId="0" applyAlignment="1" applyFont="1">
      <alignment horizontal="center" vertical="center"/>
    </xf>
    <xf borderId="1" fillId="2" fontId="3" numFmtId="0" xfId="0" applyAlignment="1" applyBorder="1" applyFill="1" applyFont="1">
      <alignment horizontal="center" vertical="center"/>
    </xf>
    <xf borderId="0" fillId="0" fontId="2" numFmtId="0" xfId="0" applyAlignment="1" applyFont="1">
      <alignment horizontal="center" shrinkToFit="0" vertical="center" wrapText="1"/>
    </xf>
    <xf borderId="0" fillId="0" fontId="4" numFmtId="0" xfId="0" applyFont="1"/>
    <xf borderId="0" fillId="3" fontId="5" numFmtId="0" xfId="0" applyAlignment="1" applyFill="1" applyFont="1">
      <alignment horizontal="center" vertical="center"/>
    </xf>
    <xf borderId="2" fillId="3" fontId="6" numFmtId="3" xfId="0" applyAlignment="1" applyBorder="1" applyFont="1" applyNumberFormat="1">
      <alignment horizontal="center" shrinkToFit="0" vertical="center" wrapText="1"/>
    </xf>
    <xf borderId="2" fillId="3" fontId="7" numFmtId="3" xfId="0" applyAlignment="1" applyBorder="1" applyFont="1" applyNumberFormat="1">
      <alignment horizontal="center" shrinkToFit="0" vertical="center" wrapText="1"/>
    </xf>
    <xf borderId="2" fillId="3" fontId="7" numFmtId="164" xfId="0" applyAlignment="1" applyBorder="1" applyFont="1" applyNumberFormat="1">
      <alignment horizontal="left" shrinkToFit="0" vertical="center" wrapText="1"/>
    </xf>
    <xf borderId="3" fillId="0" fontId="8" numFmtId="3" xfId="0" applyAlignment="1" applyBorder="1" applyFont="1" applyNumberFormat="1">
      <alignment horizontal="center" shrinkToFit="0" vertical="center" wrapText="1"/>
    </xf>
    <xf borderId="4" fillId="0" fontId="8" numFmtId="3" xfId="0" applyAlignment="1" applyBorder="1" applyFont="1" applyNumberFormat="1">
      <alignment horizontal="center" shrinkToFit="0" vertical="center" wrapText="1"/>
    </xf>
    <xf borderId="4" fillId="0" fontId="8" numFmtId="9" xfId="0" applyAlignment="1" applyBorder="1" applyFont="1" applyNumberFormat="1">
      <alignment horizontal="center" shrinkToFit="0" vertical="center" wrapText="1"/>
    </xf>
    <xf borderId="5" fillId="0" fontId="8" numFmtId="3" xfId="0" applyAlignment="1" applyBorder="1" applyFont="1" applyNumberFormat="1">
      <alignment horizontal="center" shrinkToFit="0" vertical="center" wrapText="1"/>
    </xf>
    <xf borderId="6" fillId="0" fontId="8" numFmtId="3" xfId="0" applyAlignment="1" applyBorder="1" applyFont="1" applyNumberFormat="1">
      <alignment horizontal="center" shrinkToFit="0" vertical="center" wrapText="1"/>
    </xf>
    <xf borderId="0" fillId="0" fontId="4" numFmtId="0" xfId="0" applyAlignment="1" applyFont="1">
      <alignment horizontal="center" vertical="center"/>
    </xf>
    <xf borderId="0" fillId="0" fontId="9" numFmtId="0" xfId="0" applyAlignment="1" applyFont="1">
      <alignment readingOrder="0" shrinkToFit="0" vertical="center" wrapText="1"/>
    </xf>
    <xf borderId="0" fillId="0" fontId="9" numFmtId="0" xfId="0" applyAlignment="1" applyFont="1">
      <alignment vertical="center"/>
    </xf>
    <xf borderId="0" fillId="4" fontId="10" numFmtId="0" xfId="0" applyAlignment="1" applyFill="1" applyFont="1">
      <alignment horizontal="left" readingOrder="0" shrinkToFit="0" vertical="center" wrapText="1"/>
    </xf>
    <xf borderId="0" fillId="0" fontId="9" numFmtId="0" xfId="0" applyAlignment="1" applyFont="1">
      <alignment horizontal="center" vertical="center"/>
    </xf>
    <xf borderId="0" fillId="4" fontId="10" numFmtId="0" xfId="0" applyAlignment="1" applyFont="1">
      <alignment horizontal="left" shrinkToFit="0" vertical="center" wrapText="1"/>
    </xf>
    <xf borderId="0" fillId="0" fontId="11" numFmtId="165" xfId="0" applyAlignment="1" applyFont="1" applyNumberFormat="1">
      <alignment readingOrder="0"/>
    </xf>
    <xf borderId="0" fillId="0" fontId="9" numFmtId="0" xfId="0" applyFont="1"/>
    <xf borderId="0" fillId="0" fontId="12" numFmtId="0" xfId="0" applyAlignment="1" applyFont="1">
      <alignment horizontal="center" shrinkToFit="0" wrapText="1"/>
    </xf>
    <xf borderId="0" fillId="0" fontId="12" numFmtId="9" xfId="0" applyAlignment="1" applyFont="1" applyNumberFormat="1">
      <alignment horizontal="center" shrinkToFit="0" wrapText="1"/>
    </xf>
    <xf borderId="7" fillId="3" fontId="6" numFmtId="0" xfId="0" applyAlignment="1" applyBorder="1" applyFont="1">
      <alignment horizontal="center" shrinkToFit="0" vertical="center" wrapText="1"/>
    </xf>
    <xf borderId="8" fillId="0" fontId="13" numFmtId="0" xfId="0" applyBorder="1" applyFont="1"/>
    <xf borderId="9" fillId="0" fontId="13" numFmtId="0" xfId="0" applyBorder="1" applyFont="1"/>
    <xf borderId="10" fillId="2" fontId="6" numFmtId="0" xfId="0" applyAlignment="1" applyBorder="1" applyFont="1">
      <alignment horizontal="center" shrinkToFit="0" vertical="center" wrapText="1"/>
    </xf>
    <xf borderId="11" fillId="0" fontId="13" numFmtId="0" xfId="0" applyBorder="1" applyFont="1"/>
    <xf borderId="12" fillId="0" fontId="13" numFmtId="0" xfId="0" applyBorder="1" applyFont="1"/>
    <xf borderId="13" fillId="0" fontId="13" numFmtId="0" xfId="0" applyBorder="1" applyFont="1"/>
    <xf borderId="14" fillId="0" fontId="14" numFmtId="0" xfId="0" applyAlignment="1" applyBorder="1" applyFont="1">
      <alignment horizontal="center" shrinkToFit="0" vertical="center" wrapText="0"/>
    </xf>
    <xf borderId="0" fillId="0" fontId="9" numFmtId="0" xfId="0" applyAlignment="1" applyFont="1">
      <alignment horizontal="center" shrinkToFit="0" vertical="center" wrapText="1"/>
    </xf>
    <xf borderId="15" fillId="3" fontId="6" numFmtId="0" xfId="0" applyAlignment="1" applyBorder="1" applyFont="1">
      <alignment horizontal="center" shrinkToFit="0" vertical="center" wrapText="1"/>
    </xf>
    <xf borderId="15" fillId="3" fontId="6" numFmtId="164" xfId="0" applyAlignment="1" applyBorder="1" applyFont="1" applyNumberFormat="1">
      <alignment horizontal="center" shrinkToFit="0" vertical="center" wrapText="1"/>
    </xf>
    <xf borderId="15" fillId="3" fontId="15" numFmtId="0" xfId="0" applyAlignment="1" applyBorder="1" applyFont="1">
      <alignment horizontal="center" shrinkToFit="0" vertical="center" wrapText="1"/>
    </xf>
    <xf borderId="15" fillId="3" fontId="6" numFmtId="3" xfId="0" applyAlignment="1" applyBorder="1" applyFont="1" applyNumberFormat="1">
      <alignment horizontal="center" shrinkToFit="0" vertical="center" wrapText="1"/>
    </xf>
    <xf borderId="15" fillId="3" fontId="6" numFmtId="9" xfId="0" applyAlignment="1" applyBorder="1" applyFont="1" applyNumberFormat="1">
      <alignment horizontal="center" shrinkToFit="0" vertical="center" wrapText="1"/>
    </xf>
    <xf borderId="16" fillId="2" fontId="6" numFmtId="0" xfId="0" applyAlignment="1" applyBorder="1" applyFont="1">
      <alignment horizontal="center" shrinkToFit="0" vertical="center" wrapText="1"/>
    </xf>
    <xf borderId="17" fillId="2" fontId="6" numFmtId="0" xfId="0" applyAlignment="1" applyBorder="1" applyFont="1">
      <alignment horizontal="center" shrinkToFit="0" vertical="center" wrapText="1"/>
    </xf>
    <xf borderId="18" fillId="2" fontId="6" numFmtId="0" xfId="0" applyAlignment="1" applyBorder="1" applyFont="1">
      <alignment horizontal="center" shrinkToFit="0" vertical="center" wrapText="1"/>
    </xf>
    <xf borderId="2" fillId="3" fontId="7" numFmtId="3" xfId="0" applyAlignment="1" applyBorder="1" applyFont="1" applyNumberFormat="1">
      <alignment horizontal="center" readingOrder="0" shrinkToFit="0" vertical="center" wrapText="1"/>
    </xf>
    <xf borderId="19" fillId="3" fontId="6" numFmtId="164" xfId="0" applyAlignment="1" applyBorder="1" applyFont="1" applyNumberFormat="1">
      <alignment horizontal="center" shrinkToFit="0" vertical="center" wrapText="1"/>
    </xf>
    <xf borderId="14" fillId="3" fontId="6" numFmtId="164" xfId="0" applyAlignment="1" applyBorder="1" applyFont="1" applyNumberFormat="1">
      <alignment horizontal="center" shrinkToFit="0" vertical="center" wrapText="1"/>
    </xf>
    <xf borderId="20" fillId="4" fontId="8" numFmtId="0" xfId="0" applyAlignment="1" applyBorder="1" applyFont="1">
      <alignment horizontal="center" shrinkToFit="0" vertical="center" wrapText="1"/>
    </xf>
    <xf borderId="6" fillId="4" fontId="8" numFmtId="0" xfId="0" applyAlignment="1" applyBorder="1" applyFont="1">
      <alignment horizontal="center" shrinkToFit="0" vertical="center" wrapText="1"/>
    </xf>
    <xf borderId="6" fillId="0" fontId="8" numFmtId="164" xfId="0" applyAlignment="1" applyBorder="1" applyFont="1" applyNumberFormat="1">
      <alignment horizontal="center" shrinkToFit="0" vertical="center" wrapText="1"/>
    </xf>
    <xf borderId="6" fillId="0" fontId="8" numFmtId="0" xfId="0" applyAlignment="1" applyBorder="1" applyFont="1">
      <alignment horizontal="center" shrinkToFit="0" vertical="center" wrapText="1"/>
    </xf>
    <xf borderId="6" fillId="0" fontId="8" numFmtId="166" xfId="0" applyAlignment="1" applyBorder="1" applyFont="1" applyNumberFormat="1">
      <alignment horizontal="center" shrinkToFit="0" vertical="center" wrapText="1"/>
    </xf>
    <xf borderId="6" fillId="0" fontId="8" numFmtId="0" xfId="0" applyAlignment="1" applyBorder="1" applyFont="1">
      <alignment horizontal="center" vertical="center"/>
    </xf>
    <xf borderId="6" fillId="0" fontId="8" numFmtId="167" xfId="0" applyAlignment="1" applyBorder="1" applyFont="1" applyNumberFormat="1">
      <alignment horizontal="center" vertical="center"/>
    </xf>
    <xf borderId="6" fillId="0" fontId="8" numFmtId="4" xfId="0" applyAlignment="1" applyBorder="1" applyFont="1" applyNumberFormat="1">
      <alignment horizontal="center" shrinkToFit="0" vertical="center" wrapText="1"/>
    </xf>
    <xf borderId="6" fillId="0" fontId="8" numFmtId="3" xfId="0" applyAlignment="1" applyBorder="1" applyFont="1" applyNumberFormat="1">
      <alignment horizontal="center" vertical="center"/>
    </xf>
    <xf borderId="4" fillId="0" fontId="8" numFmtId="3" xfId="0" applyAlignment="1" applyBorder="1" applyFont="1" applyNumberFormat="1">
      <alignment horizontal="center" vertical="center"/>
    </xf>
    <xf borderId="6" fillId="0" fontId="8" numFmtId="167" xfId="0" applyAlignment="1" applyBorder="1" applyFont="1" applyNumberFormat="1">
      <alignment horizontal="center" shrinkToFit="0" vertical="center" wrapText="1"/>
    </xf>
    <xf borderId="6" fillId="0" fontId="8" numFmtId="49" xfId="0" applyAlignment="1" applyBorder="1" applyFont="1" applyNumberFormat="1">
      <alignment horizontal="center" shrinkToFit="0" vertical="center" wrapText="1"/>
    </xf>
    <xf borderId="6" fillId="0" fontId="8" numFmtId="164" xfId="0" applyAlignment="1" applyBorder="1" applyFont="1" applyNumberFormat="1">
      <alignment horizontal="center" vertical="center"/>
    </xf>
    <xf borderId="4" fillId="5" fontId="16" numFmtId="3" xfId="0" applyAlignment="1" applyBorder="1" applyFill="1" applyFont="1" applyNumberFormat="1">
      <alignment shrinkToFit="0" vertical="center" wrapText="1"/>
    </xf>
    <xf borderId="3" fillId="5" fontId="16" numFmtId="164" xfId="0" applyAlignment="1" applyBorder="1" applyFont="1" applyNumberFormat="1">
      <alignment shrinkToFit="0" vertical="center" wrapText="1"/>
    </xf>
    <xf borderId="3" fillId="6" fontId="17" numFmtId="164" xfId="0" applyAlignment="1" applyBorder="1" applyFill="1" applyFont="1" applyNumberFormat="1">
      <alignment horizontal="center" shrinkToFit="0" vertical="center" wrapText="1"/>
    </xf>
    <xf borderId="3" fillId="0" fontId="16" numFmtId="164" xfId="0" applyAlignment="1" applyBorder="1" applyFont="1" applyNumberFormat="1">
      <alignment shrinkToFit="0" vertical="center" wrapText="1"/>
    </xf>
    <xf borderId="3" fillId="0" fontId="16" numFmtId="9" xfId="0" applyAlignment="1" applyBorder="1" applyFont="1" applyNumberFormat="1">
      <alignment horizontal="center" shrinkToFit="0" vertical="center" wrapText="1"/>
    </xf>
    <xf borderId="21" fillId="6" fontId="9" numFmtId="0" xfId="0" applyAlignment="1" applyBorder="1" applyFont="1">
      <alignment vertical="center"/>
    </xf>
    <xf borderId="22" fillId="7" fontId="9" numFmtId="0" xfId="0" applyAlignment="1" applyBorder="1" applyFill="1" applyFont="1">
      <alignment vertical="center"/>
    </xf>
    <xf borderId="23" fillId="7" fontId="9" numFmtId="0" xfId="0" applyAlignment="1" applyBorder="1" applyFont="1">
      <alignment vertical="center"/>
    </xf>
    <xf borderId="23" fillId="6" fontId="9" numFmtId="165" xfId="0" applyAlignment="1" applyBorder="1" applyFont="1" applyNumberFormat="1">
      <alignment vertical="center"/>
    </xf>
    <xf borderId="23" fillId="8" fontId="9" numFmtId="1" xfId="0" applyAlignment="1" applyBorder="1" applyFill="1" applyFont="1" applyNumberFormat="1">
      <alignment vertical="center"/>
    </xf>
    <xf borderId="23" fillId="6" fontId="9" numFmtId="0" xfId="0" applyAlignment="1" applyBorder="1" applyFont="1">
      <alignment vertical="center"/>
    </xf>
    <xf borderId="24" fillId="7" fontId="9" numFmtId="0" xfId="0" applyAlignment="1" applyBorder="1" applyFont="1">
      <alignment vertical="center"/>
    </xf>
    <xf borderId="23" fillId="6" fontId="9" numFmtId="168" xfId="0" applyAlignment="1" applyBorder="1" applyFont="1" applyNumberFormat="1">
      <alignment vertical="center"/>
    </xf>
    <xf borderId="23" fillId="8" fontId="9" numFmtId="0" xfId="0" applyAlignment="1" applyBorder="1" applyFont="1">
      <alignment vertical="center"/>
    </xf>
    <xf borderId="23" fillId="6" fontId="9" numFmtId="0" xfId="0" applyBorder="1" applyFont="1"/>
    <xf borderId="21" fillId="6" fontId="9" numFmtId="0" xfId="0" applyBorder="1" applyFont="1"/>
    <xf borderId="25" fillId="6" fontId="9" numFmtId="0" xfId="0" applyBorder="1" applyFont="1"/>
    <xf borderId="2" fillId="3" fontId="7" numFmtId="164" xfId="0" applyAlignment="1" applyBorder="1" applyFont="1" applyNumberFormat="1">
      <alignment horizontal="center" shrinkToFit="0" vertical="center" wrapText="1"/>
    </xf>
    <xf borderId="14" fillId="0" fontId="4" numFmtId="0" xfId="0" applyAlignment="1" applyBorder="1" applyFont="1">
      <alignment horizontal="center" vertical="center"/>
    </xf>
    <xf borderId="3" fillId="5" fontId="18" numFmtId="164" xfId="0" applyAlignment="1" applyBorder="1" applyFont="1" applyNumberFormat="1">
      <alignment shrinkToFit="0" vertical="center" wrapText="1"/>
    </xf>
    <xf borderId="4" fillId="0" fontId="8" numFmtId="9" xfId="0" applyAlignment="1" applyBorder="1" applyFont="1" applyNumberFormat="1">
      <alignment horizontal="center" vertical="center"/>
    </xf>
    <xf borderId="6" fillId="0" fontId="8" numFmtId="9" xfId="0" applyAlignment="1" applyBorder="1" applyFont="1" applyNumberFormat="1">
      <alignment horizontal="center" shrinkToFit="0" vertical="center" wrapText="1"/>
    </xf>
    <xf borderId="4" fillId="5" fontId="16" numFmtId="9" xfId="0" applyAlignment="1" applyBorder="1" applyFont="1" applyNumberFormat="1">
      <alignment shrinkToFit="0" vertical="center" wrapText="1"/>
    </xf>
    <xf borderId="3" fillId="5" fontId="19" numFmtId="164" xfId="0" applyAlignment="1" applyBorder="1" applyFont="1" applyNumberFormat="1">
      <alignment shrinkToFit="0" vertical="center" wrapText="1"/>
    </xf>
    <xf borderId="4" fillId="5" fontId="16" numFmtId="169" xfId="0" applyAlignment="1" applyBorder="1" applyFont="1" applyNumberFormat="1">
      <alignment shrinkToFit="0" vertical="center" wrapText="1"/>
    </xf>
    <xf borderId="6" fillId="0" fontId="8" numFmtId="10" xfId="0" applyAlignment="1" applyBorder="1" applyFont="1" applyNumberFormat="1">
      <alignment horizontal="center" vertical="center"/>
    </xf>
    <xf borderId="4" fillId="5" fontId="16" numFmtId="0" xfId="0" applyAlignment="1" applyBorder="1" applyFont="1">
      <alignment shrinkToFit="0" vertical="center" wrapText="1"/>
    </xf>
    <xf borderId="20" fillId="4" fontId="6" numFmtId="0" xfId="0" applyAlignment="1" applyBorder="1" applyFont="1">
      <alignment horizontal="center" shrinkToFit="0" vertical="center" wrapText="1"/>
    </xf>
    <xf borderId="1" fillId="2" fontId="20" numFmtId="0" xfId="0" applyAlignment="1" applyBorder="1" applyFont="1">
      <alignment horizontal="center" vertical="center"/>
    </xf>
    <xf borderId="1" fillId="0" fontId="13" numFmtId="0" xfId="0" applyBorder="1" applyFont="1"/>
    <xf borderId="0" fillId="0" fontId="21" numFmtId="0" xfId="0" applyAlignment="1" applyFont="1">
      <alignment vertical="center"/>
    </xf>
    <xf borderId="26" fillId="4" fontId="12" numFmtId="0" xfId="0" applyAlignment="1" applyBorder="1" applyFont="1">
      <alignment shrinkToFit="0" vertical="center" wrapText="1"/>
    </xf>
    <xf borderId="27" fillId="0" fontId="9" numFmtId="0" xfId="0" applyAlignment="1" applyBorder="1" applyFont="1">
      <alignment vertical="center"/>
    </xf>
    <xf borderId="0" fillId="0" fontId="22" numFmtId="0" xfId="0" applyAlignment="1" applyFont="1">
      <alignment horizontal="center" shrinkToFit="0" vertical="center" wrapText="1"/>
    </xf>
    <xf borderId="0" fillId="0" fontId="22" numFmtId="9" xfId="0" applyAlignment="1" applyFont="1" applyNumberFormat="1">
      <alignment horizontal="center" vertical="center"/>
    </xf>
    <xf borderId="0" fillId="0" fontId="23" numFmtId="0" xfId="0" applyAlignment="1" applyFont="1">
      <alignment horizontal="center" shrinkToFit="0" vertical="center" wrapText="1"/>
    </xf>
    <xf borderId="0" fillId="0" fontId="12" numFmtId="0" xfId="0" applyAlignment="1" applyFont="1">
      <alignment horizontal="center" shrinkToFit="0" vertical="center" wrapText="1"/>
    </xf>
    <xf borderId="0" fillId="0" fontId="12" numFmtId="9" xfId="0" applyAlignment="1" applyFont="1" applyNumberFormat="1">
      <alignment horizontal="center" readingOrder="0" vertical="center"/>
    </xf>
    <xf borderId="0" fillId="0" fontId="23" numFmtId="170" xfId="0" applyAlignment="1" applyFont="1" applyNumberFormat="1">
      <alignment horizontal="center" shrinkToFit="0" vertical="center" wrapText="1"/>
    </xf>
    <xf borderId="0" fillId="0" fontId="23" numFmtId="165" xfId="0" applyAlignment="1" applyFont="1" applyNumberFormat="1">
      <alignment horizontal="center" shrinkToFit="0" vertical="center" wrapText="1"/>
    </xf>
    <xf borderId="0" fillId="0" fontId="6" numFmtId="168" xfId="0" applyAlignment="1" applyFont="1" applyNumberFormat="1">
      <alignment vertical="center"/>
    </xf>
    <xf borderId="0" fillId="0" fontId="6" numFmtId="171" xfId="0" applyAlignment="1" applyFont="1" applyNumberFormat="1">
      <alignment vertical="center"/>
    </xf>
    <xf borderId="28" fillId="4" fontId="12" numFmtId="0" xfId="0" applyAlignment="1" applyBorder="1" applyFont="1">
      <alignment shrinkToFit="0" vertical="center" wrapText="1"/>
    </xf>
    <xf borderId="29" fillId="2" fontId="6" numFmtId="0" xfId="0" applyAlignment="1" applyBorder="1" applyFont="1">
      <alignment horizontal="center" shrinkToFit="0" vertical="center" wrapText="1"/>
    </xf>
    <xf borderId="30" fillId="0" fontId="13" numFmtId="0" xfId="0" applyBorder="1" applyFont="1"/>
    <xf borderId="31" fillId="0" fontId="13" numFmtId="0" xfId="0" applyBorder="1" applyFont="1"/>
    <xf borderId="29" fillId="2" fontId="6" numFmtId="0" xfId="0" applyAlignment="1" applyBorder="1" applyFont="1">
      <alignment horizontal="center" readingOrder="0" shrinkToFit="0" vertical="center" wrapText="1"/>
    </xf>
    <xf borderId="0" fillId="0" fontId="6" numFmtId="164" xfId="0" applyAlignment="1" applyFont="1" applyNumberFormat="1">
      <alignment horizontal="center" shrinkToFit="0" vertical="center" wrapText="1"/>
    </xf>
    <xf borderId="32" fillId="4" fontId="6" numFmtId="0" xfId="0" applyAlignment="1" applyBorder="1" applyFont="1">
      <alignment horizontal="center" shrinkToFit="0" vertical="center" wrapText="1"/>
    </xf>
    <xf borderId="33" fillId="2" fontId="6" numFmtId="0" xfId="0" applyAlignment="1" applyBorder="1" applyFont="1">
      <alignment horizontal="center" shrinkToFit="0" vertical="center" wrapText="1"/>
    </xf>
    <xf borderId="34" fillId="2" fontId="6" numFmtId="164" xfId="0" applyAlignment="1" applyBorder="1" applyFont="1" applyNumberFormat="1">
      <alignment horizontal="center" shrinkToFit="0" vertical="center" wrapText="1"/>
    </xf>
    <xf borderId="34" fillId="2" fontId="6" numFmtId="0" xfId="0" applyAlignment="1" applyBorder="1" applyFont="1">
      <alignment horizontal="center" shrinkToFit="0" vertical="center" wrapText="1"/>
    </xf>
    <xf borderId="34" fillId="2" fontId="15" numFmtId="0" xfId="0" applyAlignment="1" applyBorder="1" applyFont="1">
      <alignment horizontal="center" shrinkToFit="0" vertical="center" wrapText="1"/>
    </xf>
    <xf borderId="34" fillId="2" fontId="6" numFmtId="3" xfId="0" applyAlignment="1" applyBorder="1" applyFont="1" applyNumberFormat="1">
      <alignment horizontal="center" shrinkToFit="0" vertical="center" wrapText="1"/>
    </xf>
    <xf borderId="35" fillId="2" fontId="6" numFmtId="164" xfId="0" applyAlignment="1" applyBorder="1" applyFont="1" applyNumberFormat="1">
      <alignment horizontal="center" shrinkToFit="0" vertical="center" wrapText="1"/>
    </xf>
    <xf borderId="36" fillId="2" fontId="6" numFmtId="164" xfId="0" applyAlignment="1" applyBorder="1" applyFont="1" applyNumberFormat="1">
      <alignment horizontal="center" shrinkToFit="0" vertical="center" wrapText="1"/>
    </xf>
    <xf borderId="37" fillId="2" fontId="6" numFmtId="164" xfId="0" applyAlignment="1" applyBorder="1" applyFont="1" applyNumberFormat="1">
      <alignment horizontal="center" shrinkToFit="0" vertical="center" wrapText="1"/>
    </xf>
    <xf borderId="38" fillId="2" fontId="6" numFmtId="164" xfId="0" applyAlignment="1" applyBorder="1" applyFont="1" applyNumberFormat="1">
      <alignment horizontal="center" shrinkToFit="0" vertical="center" wrapText="1"/>
    </xf>
    <xf borderId="36" fillId="2" fontId="6" numFmtId="0" xfId="0" applyAlignment="1" applyBorder="1" applyFont="1">
      <alignment horizontal="center" readingOrder="0" shrinkToFit="0" vertical="center" wrapText="1"/>
    </xf>
    <xf borderId="38" fillId="2" fontId="6" numFmtId="0" xfId="0" applyAlignment="1" applyBorder="1" applyFont="1">
      <alignment horizontal="center" readingOrder="0" shrinkToFit="0" vertical="center" wrapText="1"/>
    </xf>
    <xf borderId="32" fillId="4" fontId="8" numFmtId="0" xfId="0" applyAlignment="1" applyBorder="1" applyFont="1">
      <alignment horizontal="center" shrinkToFit="0" vertical="center" wrapText="1"/>
    </xf>
    <xf borderId="36" fillId="6" fontId="8" numFmtId="0" xfId="0" applyAlignment="1" applyBorder="1" applyFont="1">
      <alignment horizontal="center" readingOrder="0" shrinkToFit="0" vertical="center" wrapText="1"/>
    </xf>
    <xf borderId="37" fillId="6" fontId="8" numFmtId="0" xfId="0" applyAlignment="1" applyBorder="1" applyFont="1">
      <alignment horizontal="center" readingOrder="0" shrinkToFit="0" vertical="center" wrapText="1"/>
    </xf>
    <xf borderId="37" fillId="6" fontId="8" numFmtId="166" xfId="0" applyAlignment="1" applyBorder="1" applyFont="1" applyNumberFormat="1">
      <alignment horizontal="center" readingOrder="0" shrinkToFit="0" vertical="center" wrapText="1"/>
    </xf>
    <xf borderId="37" fillId="6" fontId="8" numFmtId="0" xfId="0" applyAlignment="1" applyBorder="1" applyFont="1">
      <alignment horizontal="center" readingOrder="0" vertical="center"/>
    </xf>
    <xf borderId="37" fillId="6" fontId="8" numFmtId="167" xfId="0" applyAlignment="1" applyBorder="1" applyFont="1" applyNumberFormat="1">
      <alignment horizontal="center" readingOrder="0" vertical="center"/>
    </xf>
    <xf borderId="37" fillId="6" fontId="8" numFmtId="4" xfId="0" applyAlignment="1" applyBorder="1" applyFont="1" applyNumberFormat="1">
      <alignment horizontal="center" readingOrder="0" shrinkToFit="0" vertical="center" wrapText="1"/>
    </xf>
    <xf borderId="37" fillId="6" fontId="8" numFmtId="3" xfId="0" applyAlignment="1" applyBorder="1" applyFont="1" applyNumberFormat="1">
      <alignment horizontal="center" readingOrder="0" vertical="center"/>
    </xf>
    <xf borderId="37" fillId="6" fontId="8" numFmtId="167" xfId="0" applyAlignment="1" applyBorder="1" applyFont="1" applyNumberFormat="1">
      <alignment horizontal="center" readingOrder="0" shrinkToFit="0" vertical="center" wrapText="1"/>
    </xf>
    <xf borderId="37" fillId="6" fontId="8" numFmtId="3" xfId="0" applyAlignment="1" applyBorder="1" applyFont="1" applyNumberFormat="1">
      <alignment horizontal="center" readingOrder="0" shrinkToFit="0" vertical="center" wrapText="1"/>
    </xf>
    <xf borderId="37" fillId="6" fontId="8" numFmtId="49" xfId="0" applyAlignment="1" applyBorder="1" applyFont="1" applyNumberFormat="1">
      <alignment horizontal="center" readingOrder="0" shrinkToFit="0" vertical="center" wrapText="1"/>
    </xf>
    <xf borderId="38" fillId="6" fontId="8" numFmtId="0" xfId="0" applyAlignment="1" applyBorder="1" applyFont="1">
      <alignment horizontal="center" readingOrder="0" shrinkToFit="0" vertical="center" wrapText="1"/>
    </xf>
    <xf borderId="37" fillId="5" fontId="8" numFmtId="3" xfId="0" applyAlignment="1" applyBorder="1" applyFont="1" applyNumberFormat="1">
      <alignment horizontal="center" readingOrder="0" vertical="center"/>
    </xf>
    <xf borderId="37" fillId="5" fontId="9" numFmtId="3" xfId="0" applyAlignment="1" applyBorder="1" applyFont="1" applyNumberFormat="1">
      <alignment vertical="center"/>
    </xf>
    <xf borderId="38" fillId="5" fontId="9" numFmtId="3" xfId="0" applyAlignment="1" applyBorder="1" applyFont="1" applyNumberFormat="1">
      <alignment vertical="center"/>
    </xf>
    <xf borderId="38" fillId="5" fontId="8" numFmtId="0" xfId="0" applyAlignment="1" applyBorder="1" applyFont="1">
      <alignment horizontal="center" readingOrder="0" shrinkToFit="0" vertical="center" wrapText="1"/>
    </xf>
    <xf borderId="36" fillId="6" fontId="8" numFmtId="164" xfId="0" applyAlignment="1" applyBorder="1" applyFont="1" applyNumberFormat="1">
      <alignment horizontal="center" shrinkToFit="0" vertical="center" wrapText="1"/>
    </xf>
    <xf borderId="37" fillId="6" fontId="8" numFmtId="172" xfId="0" applyAlignment="1" applyBorder="1" applyFont="1" applyNumberFormat="1">
      <alignment horizontal="center" shrinkToFit="0" vertical="center" wrapText="1"/>
    </xf>
    <xf borderId="37" fillId="6" fontId="8" numFmtId="164" xfId="0" applyAlignment="1" applyBorder="1" applyFont="1" applyNumberFormat="1">
      <alignment horizontal="center" shrinkToFit="0" vertical="center" wrapText="1"/>
    </xf>
    <xf borderId="38" fillId="5" fontId="8" numFmtId="164" xfId="0" applyAlignment="1" applyBorder="1" applyFont="1" applyNumberFormat="1">
      <alignment horizontal="center" shrinkToFit="0" vertical="center" wrapText="1"/>
    </xf>
    <xf borderId="0" fillId="0" fontId="8" numFmtId="164" xfId="0" applyAlignment="1" applyFont="1" applyNumberFormat="1">
      <alignment horizontal="center" shrinkToFit="0" vertical="center" wrapText="1"/>
    </xf>
    <xf borderId="37" fillId="5" fontId="9" numFmtId="3" xfId="0" applyAlignment="1" applyBorder="1" applyFont="1" applyNumberFormat="1">
      <alignment readingOrder="0" vertical="center"/>
    </xf>
    <xf borderId="38" fillId="5" fontId="24" numFmtId="3" xfId="0" applyAlignment="1" applyBorder="1" applyFont="1" applyNumberFormat="1">
      <alignment readingOrder="0" vertical="center"/>
    </xf>
    <xf borderId="37" fillId="5" fontId="8" numFmtId="9" xfId="0" applyAlignment="1" applyBorder="1" applyFont="1" applyNumberFormat="1">
      <alignment horizontal="center" readingOrder="0" vertical="center"/>
    </xf>
    <xf borderId="0" fillId="4" fontId="25" numFmtId="0" xfId="0" applyAlignment="1" applyFont="1">
      <alignment readingOrder="0"/>
    </xf>
    <xf borderId="37" fillId="6" fontId="8" numFmtId="9" xfId="0" applyAlignment="1" applyBorder="1" applyFont="1" applyNumberFormat="1">
      <alignment horizontal="center" readingOrder="0" vertical="center"/>
    </xf>
    <xf borderId="37" fillId="5" fontId="9" numFmtId="0" xfId="0" applyAlignment="1" applyBorder="1" applyFont="1">
      <alignment readingOrder="0" vertical="center"/>
    </xf>
    <xf borderId="38" fillId="5" fontId="26" numFmtId="0" xfId="0" applyAlignment="1" applyBorder="1" applyFont="1">
      <alignment readingOrder="0" vertical="center"/>
    </xf>
    <xf borderId="36" fillId="5" fontId="9" numFmtId="9" xfId="0" applyAlignment="1" applyBorder="1" applyFont="1" applyNumberFormat="1">
      <alignment vertical="center"/>
    </xf>
    <xf borderId="37" fillId="5" fontId="9" numFmtId="9" xfId="0" applyAlignment="1" applyBorder="1" applyFont="1" applyNumberFormat="1">
      <alignment vertical="center"/>
    </xf>
    <xf borderId="38" fillId="5" fontId="9" numFmtId="9" xfId="0" applyAlignment="1" applyBorder="1" applyFont="1" applyNumberFormat="1">
      <alignment vertical="center"/>
    </xf>
    <xf borderId="36" fillId="5" fontId="8" numFmtId="9" xfId="0" applyAlignment="1" applyBorder="1" applyFont="1" applyNumberFormat="1">
      <alignment horizontal="center" readingOrder="0" vertical="center"/>
    </xf>
    <xf borderId="39" fillId="6" fontId="8" numFmtId="0" xfId="0" applyAlignment="1" applyBorder="1" applyFont="1">
      <alignment horizontal="center" readingOrder="0" shrinkToFit="0" vertical="center" wrapText="1"/>
    </xf>
    <xf borderId="40" fillId="6" fontId="8" numFmtId="0" xfId="0" applyAlignment="1" applyBorder="1" applyFont="1">
      <alignment horizontal="center" readingOrder="0" shrinkToFit="0" vertical="center" wrapText="1"/>
    </xf>
    <xf borderId="40" fillId="6" fontId="8" numFmtId="166" xfId="0" applyAlignment="1" applyBorder="1" applyFont="1" applyNumberFormat="1">
      <alignment horizontal="center" readingOrder="0" shrinkToFit="0" vertical="center" wrapText="1"/>
    </xf>
    <xf borderId="40" fillId="6" fontId="8" numFmtId="0" xfId="0" applyAlignment="1" applyBorder="1" applyFont="1">
      <alignment horizontal="center" readingOrder="0" vertical="center"/>
    </xf>
    <xf borderId="40" fillId="6" fontId="8" numFmtId="167" xfId="0" applyAlignment="1" applyBorder="1" applyFont="1" applyNumberFormat="1">
      <alignment horizontal="center" readingOrder="0" vertical="center"/>
    </xf>
    <xf borderId="40" fillId="6" fontId="8" numFmtId="4" xfId="0" applyAlignment="1" applyBorder="1" applyFont="1" applyNumberFormat="1">
      <alignment horizontal="center" readingOrder="0" shrinkToFit="0" vertical="center" wrapText="1"/>
    </xf>
    <xf borderId="40" fillId="6" fontId="8" numFmtId="3" xfId="0" applyAlignment="1" applyBorder="1" applyFont="1" applyNumberFormat="1">
      <alignment horizontal="center" readingOrder="0" vertical="center"/>
    </xf>
    <xf borderId="40" fillId="6" fontId="8" numFmtId="167" xfId="0" applyAlignment="1" applyBorder="1" applyFont="1" applyNumberFormat="1">
      <alignment horizontal="center" readingOrder="0" shrinkToFit="0" vertical="center" wrapText="1"/>
    </xf>
    <xf borderId="40" fillId="6" fontId="8" numFmtId="3" xfId="0" applyAlignment="1" applyBorder="1" applyFont="1" applyNumberFormat="1">
      <alignment horizontal="center" readingOrder="0" shrinkToFit="0" vertical="center" wrapText="1"/>
    </xf>
    <xf borderId="40" fillId="6" fontId="8" numFmtId="49" xfId="0" applyAlignment="1" applyBorder="1" applyFont="1" applyNumberFormat="1">
      <alignment horizontal="center" readingOrder="0" shrinkToFit="0" vertical="center" wrapText="1"/>
    </xf>
    <xf borderId="41" fillId="6" fontId="8" numFmtId="0" xfId="0" applyAlignment="1" applyBorder="1" applyFont="1">
      <alignment horizontal="center" readingOrder="0" shrinkToFit="0" vertical="center" wrapText="1"/>
    </xf>
    <xf borderId="39" fillId="5" fontId="9" numFmtId="9" xfId="0" applyAlignment="1" applyBorder="1" applyFont="1" applyNumberFormat="1">
      <alignment vertical="center"/>
    </xf>
    <xf borderId="40" fillId="5" fontId="9" numFmtId="9" xfId="0" applyAlignment="1" applyBorder="1" applyFont="1" applyNumberFormat="1">
      <alignment vertical="center"/>
    </xf>
    <xf borderId="41" fillId="5" fontId="9" numFmtId="9" xfId="0" applyAlignment="1" applyBorder="1" applyFont="1" applyNumberFormat="1">
      <alignment vertical="center"/>
    </xf>
    <xf borderId="39" fillId="5" fontId="8" numFmtId="9" xfId="0" applyAlignment="1" applyBorder="1" applyFont="1" applyNumberFormat="1">
      <alignment horizontal="center" readingOrder="0" vertical="center"/>
    </xf>
    <xf borderId="41" fillId="5" fontId="8" numFmtId="0" xfId="0" applyAlignment="1" applyBorder="1" applyFont="1">
      <alignment horizontal="center" readingOrder="0" shrinkToFit="0" vertical="center" wrapText="1"/>
    </xf>
    <xf borderId="39" fillId="6" fontId="8" numFmtId="164" xfId="0" applyAlignment="1" applyBorder="1" applyFont="1" applyNumberFormat="1">
      <alignment horizontal="center" shrinkToFit="0" vertical="center" wrapText="1"/>
    </xf>
    <xf borderId="40" fillId="6" fontId="8" numFmtId="172" xfId="0" applyAlignment="1" applyBorder="1" applyFont="1" applyNumberFormat="1">
      <alignment horizontal="center" shrinkToFit="0" vertical="center" wrapText="1"/>
    </xf>
    <xf borderId="40" fillId="6" fontId="8" numFmtId="164" xfId="0" applyAlignment="1" applyBorder="1" applyFont="1" applyNumberFormat="1">
      <alignment horizontal="center" shrinkToFit="0" vertical="center" wrapText="1"/>
    </xf>
    <xf borderId="41" fillId="5" fontId="8" numFmtId="164" xfId="0" applyAlignment="1" applyBorder="1" applyFont="1" applyNumberFormat="1">
      <alignment horizontal="center" shrinkToFit="0" vertical="center" wrapText="1"/>
    </xf>
    <xf borderId="0" fillId="0" fontId="9" numFmtId="0" xfId="0" applyAlignment="1" applyFont="1">
      <alignment vertical="center"/>
    </xf>
    <xf borderId="42" fillId="2" fontId="6" numFmtId="0" xfId="0" applyAlignment="1" applyBorder="1" applyFont="1">
      <alignment horizontal="center" shrinkToFit="0" vertical="center" wrapText="1"/>
    </xf>
    <xf borderId="43" fillId="2" fontId="6" numFmtId="164" xfId="0" applyAlignment="1" applyBorder="1" applyFont="1" applyNumberFormat="1">
      <alignment horizontal="center" shrinkToFit="0" vertical="center" wrapText="1"/>
    </xf>
    <xf borderId="43" fillId="2" fontId="6" numFmtId="0" xfId="0" applyAlignment="1" applyBorder="1" applyFont="1">
      <alignment horizontal="center" shrinkToFit="0" vertical="center" wrapText="1"/>
    </xf>
    <xf borderId="43" fillId="2" fontId="15" numFmtId="0" xfId="0" applyAlignment="1" applyBorder="1" applyFont="1">
      <alignment horizontal="center" shrinkToFit="0" vertical="center" wrapText="1"/>
    </xf>
    <xf borderId="43" fillId="2" fontId="6" numFmtId="3" xfId="0" applyAlignment="1" applyBorder="1" applyFont="1" applyNumberFormat="1">
      <alignment horizontal="center" shrinkToFit="0" vertical="center" wrapText="1"/>
    </xf>
    <xf borderId="44" fillId="2" fontId="6" numFmtId="164" xfId="0" applyAlignment="1" applyBorder="1" applyFont="1" applyNumberFormat="1">
      <alignment horizontal="center" shrinkToFit="0" vertical="center" wrapText="1"/>
    </xf>
    <xf borderId="45" fillId="6" fontId="8" numFmtId="0" xfId="0" applyAlignment="1" applyBorder="1" applyFont="1">
      <alignment horizontal="center" readingOrder="0" shrinkToFit="0" vertical="center" wrapText="1"/>
    </xf>
    <xf borderId="6" fillId="6" fontId="8" numFmtId="0" xfId="0" applyAlignment="1" applyBorder="1" applyFont="1">
      <alignment horizontal="center" readingOrder="0" shrinkToFit="0" vertical="center" wrapText="1"/>
    </xf>
    <xf borderId="6" fillId="6" fontId="8" numFmtId="166" xfId="0" applyAlignment="1" applyBorder="1" applyFont="1" applyNumberFormat="1">
      <alignment horizontal="center" readingOrder="0" shrinkToFit="0" vertical="center" wrapText="1"/>
    </xf>
    <xf borderId="6" fillId="6" fontId="8" numFmtId="0" xfId="0" applyAlignment="1" applyBorder="1" applyFont="1">
      <alignment horizontal="center" readingOrder="0" vertical="center"/>
    </xf>
    <xf borderId="6" fillId="6" fontId="8" numFmtId="167" xfId="0" applyAlignment="1" applyBorder="1" applyFont="1" applyNumberFormat="1">
      <alignment horizontal="center" readingOrder="0" vertical="center"/>
    </xf>
    <xf borderId="6" fillId="6" fontId="8" numFmtId="4" xfId="0" applyAlignment="1" applyBorder="1" applyFont="1" applyNumberFormat="1">
      <alignment horizontal="center" readingOrder="0" shrinkToFit="0" vertical="center" wrapText="1"/>
    </xf>
    <xf borderId="6" fillId="6" fontId="8" numFmtId="3" xfId="0" applyAlignment="1" applyBorder="1" applyFont="1" applyNumberFormat="1">
      <alignment horizontal="center" readingOrder="0" vertical="center"/>
    </xf>
    <xf borderId="4" fillId="6" fontId="8" numFmtId="9" xfId="0" applyAlignment="1" applyBorder="1" applyFont="1" applyNumberFormat="1">
      <alignment horizontal="center" readingOrder="0" vertical="center"/>
    </xf>
    <xf borderId="6" fillId="6" fontId="8" numFmtId="167" xfId="0" applyAlignment="1" applyBorder="1" applyFont="1" applyNumberFormat="1">
      <alignment horizontal="center" readingOrder="0" shrinkToFit="0" vertical="center" wrapText="1"/>
    </xf>
    <xf borderId="6" fillId="6" fontId="8" numFmtId="3" xfId="0" applyAlignment="1" applyBorder="1" applyFont="1" applyNumberFormat="1">
      <alignment horizontal="center" readingOrder="0" shrinkToFit="0" vertical="center" wrapText="1"/>
    </xf>
    <xf borderId="6" fillId="6" fontId="8" numFmtId="49" xfId="0" applyAlignment="1" applyBorder="1" applyFont="1" applyNumberFormat="1">
      <alignment horizontal="center" readingOrder="0" shrinkToFit="0" vertical="center" wrapText="1"/>
    </xf>
    <xf borderId="46" fillId="6" fontId="8" numFmtId="0" xfId="0" applyAlignment="1" applyBorder="1" applyFont="1">
      <alignment horizontal="center" readingOrder="0" shrinkToFit="0" vertical="center" wrapText="1"/>
    </xf>
    <xf borderId="4" fillId="5" fontId="8" numFmtId="9" xfId="0" applyAlignment="1" applyBorder="1" applyFont="1" applyNumberFormat="1">
      <alignment horizontal="center" readingOrder="0" vertical="center"/>
    </xf>
    <xf borderId="4" fillId="6" fontId="8" numFmtId="3" xfId="0" applyAlignment="1" applyBorder="1" applyFont="1" applyNumberFormat="1">
      <alignment horizontal="center" readingOrder="0" vertical="center"/>
    </xf>
    <xf borderId="4" fillId="5" fontId="8" numFmtId="3" xfId="0" applyAlignment="1" applyBorder="1" applyFont="1" applyNumberFormat="1">
      <alignment horizontal="center" readingOrder="0" vertical="center"/>
    </xf>
    <xf borderId="47" fillId="6" fontId="8" numFmtId="0" xfId="0" applyAlignment="1" applyBorder="1" applyFont="1">
      <alignment horizontal="center" readingOrder="0" shrinkToFit="0" vertical="center" wrapText="1"/>
    </xf>
    <xf borderId="48" fillId="6" fontId="8" numFmtId="0" xfId="0" applyAlignment="1" applyBorder="1" applyFont="1">
      <alignment horizontal="center" readingOrder="0" shrinkToFit="0" vertical="center" wrapText="1"/>
    </xf>
    <xf borderId="48" fillId="6" fontId="8" numFmtId="166" xfId="0" applyAlignment="1" applyBorder="1" applyFont="1" applyNumberFormat="1">
      <alignment horizontal="center" readingOrder="0" shrinkToFit="0" vertical="center" wrapText="1"/>
    </xf>
    <xf borderId="48" fillId="6" fontId="8" numFmtId="0" xfId="0" applyAlignment="1" applyBorder="1" applyFont="1">
      <alignment horizontal="center" readingOrder="0" vertical="center"/>
    </xf>
    <xf borderId="48" fillId="6" fontId="8" numFmtId="167" xfId="0" applyAlignment="1" applyBorder="1" applyFont="1" applyNumberFormat="1">
      <alignment horizontal="center" readingOrder="0" vertical="center"/>
    </xf>
    <xf borderId="48" fillId="6" fontId="8" numFmtId="4" xfId="0" applyAlignment="1" applyBorder="1" applyFont="1" applyNumberFormat="1">
      <alignment horizontal="center" readingOrder="0" shrinkToFit="0" vertical="center" wrapText="1"/>
    </xf>
    <xf borderId="48" fillId="6" fontId="8" numFmtId="3" xfId="0" applyAlignment="1" applyBorder="1" applyFont="1" applyNumberFormat="1">
      <alignment horizontal="center" readingOrder="0" vertical="center"/>
    </xf>
    <xf borderId="49" fillId="6" fontId="8" numFmtId="3" xfId="0" applyAlignment="1" applyBorder="1" applyFont="1" applyNumberFormat="1">
      <alignment horizontal="center" readingOrder="0" vertical="center"/>
    </xf>
    <xf borderId="48" fillId="6" fontId="8" numFmtId="167" xfId="0" applyAlignment="1" applyBorder="1" applyFont="1" applyNumberFormat="1">
      <alignment horizontal="center" readingOrder="0" shrinkToFit="0" vertical="center" wrapText="1"/>
    </xf>
    <xf borderId="48" fillId="6" fontId="8" numFmtId="3" xfId="0" applyAlignment="1" applyBorder="1" applyFont="1" applyNumberFormat="1">
      <alignment horizontal="center" readingOrder="0" shrinkToFit="0" vertical="center" wrapText="1"/>
    </xf>
    <xf borderId="48" fillId="6" fontId="8" numFmtId="49" xfId="0" applyAlignment="1" applyBorder="1" applyFont="1" applyNumberFormat="1">
      <alignment horizontal="center" readingOrder="0" shrinkToFit="0" vertical="center" wrapText="1"/>
    </xf>
    <xf borderId="50" fillId="6" fontId="8" numFmtId="0" xfId="0" applyAlignment="1" applyBorder="1" applyFont="1">
      <alignment horizontal="center" readingOrder="0" shrinkToFit="0" vertical="center" wrapText="1"/>
    </xf>
    <xf borderId="38" fillId="5" fontId="27" numFmtId="3" xfId="0" applyAlignment="1" applyBorder="1" applyFont="1" applyNumberFormat="1">
      <alignment readingOrder="0" vertical="center"/>
    </xf>
    <xf borderId="38" fillId="5" fontId="28" numFmtId="0" xfId="0" applyAlignment="1" applyBorder="1" applyFont="1">
      <alignment readingOrder="0" vertical="center"/>
    </xf>
    <xf borderId="38" fillId="5" fontId="29" numFmtId="0" xfId="0" applyAlignment="1" applyBorder="1" applyFont="1">
      <alignment readingOrder="0" vertical="center"/>
    </xf>
    <xf borderId="0" fillId="0" fontId="22" numFmtId="9" xfId="0" applyAlignment="1" applyFont="1" applyNumberFormat="1">
      <alignment horizontal="left" shrinkToFit="0" vertical="center" wrapText="1"/>
    </xf>
    <xf borderId="37" fillId="2" fontId="6" numFmtId="164" xfId="0" applyAlignment="1" applyBorder="1" applyFont="1" applyNumberFormat="1">
      <alignment horizontal="left" shrinkToFit="0" vertical="center" wrapText="1"/>
    </xf>
    <xf borderId="14" fillId="0" fontId="30" numFmtId="3" xfId="0" applyAlignment="1" applyBorder="1" applyFont="1" applyNumberFormat="1">
      <alignment horizontal="left" readingOrder="0" shrinkToFit="0" wrapText="1"/>
    </xf>
    <xf borderId="38" fillId="5" fontId="31" numFmtId="3" xfId="0" applyAlignment="1" applyBorder="1" applyFont="1" applyNumberFormat="1">
      <alignment readingOrder="0" shrinkToFit="0" vertical="center" wrapText="1"/>
    </xf>
    <xf borderId="38" fillId="5" fontId="32" numFmtId="0" xfId="0" applyAlignment="1" applyBorder="1" applyFont="1">
      <alignment horizontal="center" readingOrder="0" shrinkToFit="0" vertical="center" wrapText="1"/>
    </xf>
    <xf borderId="51" fillId="0" fontId="30" numFmtId="3" xfId="0" applyAlignment="1" applyBorder="1" applyFont="1" applyNumberFormat="1">
      <alignment horizontal="left" readingOrder="0" shrinkToFit="0" wrapText="1"/>
    </xf>
    <xf borderId="51" fillId="0" fontId="30" numFmtId="0" xfId="0" applyAlignment="1" applyBorder="1" applyFont="1">
      <alignment horizontal="left" readingOrder="0" shrinkToFit="0" wrapText="1"/>
    </xf>
    <xf borderId="38" fillId="5" fontId="33" numFmtId="0" xfId="0" applyAlignment="1" applyBorder="1" applyFont="1">
      <alignment readingOrder="0" shrinkToFit="0" vertical="center" wrapText="1"/>
    </xf>
    <xf borderId="52" fillId="0" fontId="30" numFmtId="0" xfId="0" applyAlignment="1" applyBorder="1" applyFont="1">
      <alignment horizontal="left" readingOrder="0" shrinkToFit="0" wrapText="1"/>
    </xf>
    <xf borderId="14" fillId="0" fontId="30" numFmtId="0" xfId="0" applyAlignment="1" applyBorder="1" applyFont="1">
      <alignment horizontal="left" readingOrder="0" shrinkToFit="0" wrapText="1"/>
    </xf>
    <xf borderId="14" fillId="0" fontId="30" numFmtId="0" xfId="0" applyAlignment="1" applyBorder="1" applyFont="1">
      <alignment readingOrder="0" shrinkToFit="0" wrapText="1"/>
    </xf>
    <xf borderId="37" fillId="5" fontId="9" numFmtId="9" xfId="0" applyAlignment="1" applyBorder="1" applyFont="1" applyNumberFormat="1">
      <alignment horizontal="left" shrinkToFit="0" vertical="center" wrapText="1"/>
    </xf>
    <xf borderId="40" fillId="5" fontId="9" numFmtId="9" xfId="0" applyAlignment="1" applyBorder="1" applyFont="1" applyNumberFormat="1">
      <alignment horizontal="left" shrinkToFit="0" vertical="center" wrapText="1"/>
    </xf>
    <xf borderId="0" fillId="0" fontId="9" numFmtId="0" xfId="0" applyAlignment="1" applyFont="1">
      <alignment horizontal="left" shrinkToFit="0" vertical="center" wrapText="1"/>
    </xf>
    <xf borderId="37" fillId="5" fontId="9" numFmtId="3" xfId="0" applyAlignment="1" applyBorder="1" applyFont="1" applyNumberFormat="1">
      <alignment readingOrder="0" shrinkToFit="0" vertical="center" wrapText="1"/>
    </xf>
    <xf borderId="36" fillId="5" fontId="9" numFmtId="3" xfId="0" applyAlignment="1" applyBorder="1" applyFont="1" applyNumberFormat="1">
      <alignment vertical="center"/>
    </xf>
    <xf borderId="36" fillId="5" fontId="8" numFmtId="3" xfId="0" applyAlignment="1" applyBorder="1" applyFont="1" applyNumberFormat="1">
      <alignment horizontal="center" readingOrder="0" vertical="center"/>
    </xf>
    <xf borderId="4" fillId="5" fontId="8" numFmtId="0" xfId="0" applyAlignment="1" applyBorder="1" applyFont="1">
      <alignment horizontal="center" readingOrder="0" vertical="center"/>
    </xf>
    <xf borderId="37" fillId="5" fontId="9" numFmtId="3" xfId="0" applyAlignment="1" applyBorder="1" applyFont="1" applyNumberFormat="1">
      <alignment horizontal="center" readingOrder="0" vertical="center"/>
    </xf>
    <xf borderId="38" fillId="5" fontId="9" numFmtId="0" xfId="0" applyAlignment="1" applyBorder="1" applyFont="1">
      <alignment readingOrder="0" vertical="center"/>
    </xf>
    <xf borderId="38" fillId="5" fontId="34" numFmtId="3" xfId="0" applyAlignment="1" applyBorder="1" applyFont="1" applyNumberFormat="1">
      <alignment readingOrder="0" shrinkToFit="0" vertical="center" wrapText="1"/>
    </xf>
    <xf borderId="38" fillId="5" fontId="35" numFmtId="3" xfId="0" applyAlignment="1" applyBorder="1" applyFont="1" applyNumberFormat="1">
      <alignment readingOrder="0" shrinkToFit="0" vertical="center" wrapText="1"/>
    </xf>
    <xf borderId="37" fillId="5" fontId="9" numFmtId="0" xfId="0" applyAlignment="1" applyBorder="1" applyFont="1">
      <alignment readingOrder="0" shrinkToFit="0" vertical="center" wrapText="1"/>
    </xf>
    <xf borderId="38" fillId="5" fontId="36" numFmtId="0" xfId="0" applyAlignment="1" applyBorder="1" applyFont="1">
      <alignment readingOrder="0" shrinkToFit="0" vertical="center" wrapText="1"/>
    </xf>
    <xf borderId="37" fillId="5" fontId="37" numFmtId="0" xfId="0" applyAlignment="1" applyBorder="1" applyFont="1">
      <alignment readingOrder="0" shrinkToFit="0" vertical="center" wrapText="1"/>
    </xf>
    <xf borderId="53" fillId="5" fontId="4" numFmtId="0" xfId="0" applyAlignment="1" applyBorder="1" applyFont="1">
      <alignment readingOrder="0" shrinkToFit="0" wrapText="1"/>
    </xf>
    <xf borderId="37" fillId="5" fontId="38" numFmtId="0" xfId="0" applyAlignment="1" applyBorder="1" applyFont="1">
      <alignment readingOrder="0" shrinkToFit="0" vertical="center" wrapText="1"/>
    </xf>
    <xf borderId="53" fillId="5" fontId="39" numFmtId="0" xfId="0" applyAlignment="1" applyBorder="1" applyFont="1">
      <alignment readingOrder="0" shrinkToFit="0" wrapText="1"/>
    </xf>
    <xf borderId="53" fillId="5" fontId="4" numFmtId="9" xfId="0" applyAlignment="1" applyBorder="1" applyFont="1" applyNumberFormat="1">
      <alignment shrinkToFit="0" wrapText="1"/>
    </xf>
    <xf borderId="54" fillId="5" fontId="4" numFmtId="9" xfId="0" applyAlignment="1" applyBorder="1" applyFont="1" applyNumberFormat="1">
      <alignment horizontal="center"/>
    </xf>
    <xf borderId="55" fillId="5" fontId="4" numFmtId="0" xfId="0" applyAlignment="1" applyBorder="1" applyFont="1">
      <alignment horizontal="center" shrinkToFit="0" wrapText="1"/>
    </xf>
    <xf borderId="53" fillId="5" fontId="40" numFmtId="0" xfId="0" applyAlignment="1" applyBorder="1" applyFont="1">
      <alignment readingOrder="0" shrinkToFit="0" wrapText="1"/>
    </xf>
    <xf borderId="0" fillId="0" fontId="22" numFmtId="9" xfId="0" applyAlignment="1" applyFont="1" applyNumberFormat="1">
      <alignment horizontal="center" shrinkToFit="0" vertical="center" wrapText="1"/>
    </xf>
    <xf borderId="36" fillId="5" fontId="9" numFmtId="169" xfId="0" applyAlignment="1" applyBorder="1" applyFont="1" applyNumberFormat="1">
      <alignment horizontal="center" vertical="center"/>
    </xf>
    <xf borderId="38" fillId="5" fontId="9" numFmtId="3" xfId="0" applyAlignment="1" applyBorder="1" applyFont="1" applyNumberFormat="1">
      <alignment readingOrder="0" shrinkToFit="0" vertical="center" wrapText="1"/>
    </xf>
    <xf borderId="4" fillId="6" fontId="8" numFmtId="0" xfId="0" applyAlignment="1" applyBorder="1" applyFont="1">
      <alignment horizontal="center" readingOrder="0" vertical="center"/>
    </xf>
    <xf borderId="36" fillId="5" fontId="9" numFmtId="9" xfId="0" applyAlignment="1" applyBorder="1" applyFont="1" applyNumberFormat="1">
      <alignment horizontal="center" vertical="center"/>
    </xf>
    <xf borderId="37" fillId="5" fontId="9" numFmtId="9" xfId="0" applyAlignment="1" applyBorder="1" applyFont="1" applyNumberFormat="1">
      <alignment shrinkToFit="0" vertical="center" wrapText="1"/>
    </xf>
    <xf borderId="38" fillId="5" fontId="9" numFmtId="9" xfId="0" applyAlignment="1" applyBorder="1" applyFont="1" applyNumberFormat="1">
      <alignment shrinkToFit="0" vertical="center" wrapText="1"/>
    </xf>
    <xf borderId="40" fillId="5" fontId="9" numFmtId="9" xfId="0" applyAlignment="1" applyBorder="1" applyFont="1" applyNumberFormat="1">
      <alignment shrinkToFit="0" vertical="center" wrapText="1"/>
    </xf>
    <xf borderId="41" fillId="5" fontId="9" numFmtId="9" xfId="0" applyAlignment="1" applyBorder="1" applyFont="1" applyNumberFormat="1">
      <alignment shrinkToFit="0" vertical="center" wrapText="1"/>
    </xf>
    <xf borderId="0" fillId="0" fontId="9" numFmtId="0" xfId="0" applyAlignment="1" applyFont="1">
      <alignment shrinkToFit="0" vertical="center" wrapText="1"/>
    </xf>
    <xf borderId="37" fillId="5" fontId="9" numFmtId="3" xfId="0" applyAlignment="1" applyBorder="1" applyFont="1" applyNumberFormat="1">
      <alignment horizontal="center" shrinkToFit="0" vertical="center" wrapText="1"/>
    </xf>
    <xf borderId="37" fillId="5" fontId="9" numFmtId="3" xfId="0" applyAlignment="1" applyBorder="1" applyFont="1" applyNumberFormat="1">
      <alignment horizontal="center" readingOrder="0" shrinkToFit="0" vertical="center" wrapText="1"/>
    </xf>
    <xf borderId="4" fillId="5" fontId="14" numFmtId="3" xfId="0" applyAlignment="1" applyBorder="1" applyFont="1" applyNumberFormat="1">
      <alignment horizontal="center" readingOrder="0" vertical="center"/>
    </xf>
    <xf borderId="37" fillId="5" fontId="16" numFmtId="3" xfId="0" applyAlignment="1" applyBorder="1" applyFont="1" applyNumberFormat="1">
      <alignment readingOrder="0" shrinkToFit="0" vertical="center" wrapText="1"/>
    </xf>
    <xf borderId="38" fillId="5" fontId="41" numFmtId="3" xfId="0" applyAlignment="1" applyBorder="1" applyFont="1" applyNumberFormat="1">
      <alignment horizontal="center" readingOrder="0" shrinkToFit="0" vertical="center" wrapText="1"/>
    </xf>
    <xf borderId="38" fillId="5" fontId="14" numFmtId="0" xfId="0" applyAlignment="1" applyBorder="1" applyFont="1">
      <alignment horizontal="left" readingOrder="0" shrinkToFit="0" vertical="center" wrapText="1"/>
    </xf>
    <xf borderId="38" fillId="5" fontId="16" numFmtId="3" xfId="0" applyAlignment="1" applyBorder="1" applyFont="1" applyNumberFormat="1">
      <alignment readingOrder="0" shrinkToFit="0" vertical="center" wrapText="1"/>
    </xf>
    <xf borderId="38" fillId="5" fontId="16" numFmtId="3" xfId="0" applyAlignment="1" applyBorder="1" applyFont="1" applyNumberFormat="1">
      <alignment horizontal="center" readingOrder="0" shrinkToFit="0" vertical="center" wrapText="1"/>
    </xf>
    <xf borderId="37" fillId="5" fontId="16" numFmtId="0" xfId="0" applyAlignment="1" applyBorder="1" applyFont="1">
      <alignment readingOrder="0" shrinkToFit="0" vertical="center" wrapText="1"/>
    </xf>
    <xf borderId="38" fillId="5" fontId="14" numFmtId="0" xfId="0" applyAlignment="1" applyBorder="1" applyFont="1">
      <alignment horizontal="center" readingOrder="0" shrinkToFit="0" vertical="center" wrapText="1"/>
    </xf>
    <xf borderId="38" fillId="5" fontId="16" numFmtId="0" xfId="0" applyAlignment="1" applyBorder="1" applyFont="1">
      <alignment readingOrder="0" vertical="center"/>
    </xf>
    <xf borderId="4" fillId="5" fontId="14" numFmtId="9" xfId="0" applyAlignment="1" applyBorder="1" applyFont="1" applyNumberFormat="1">
      <alignment horizontal="center" readingOrder="0" vertical="center"/>
    </xf>
    <xf borderId="38" fillId="5" fontId="42" numFmtId="0" xfId="0" applyAlignment="1" applyBorder="1" applyFont="1">
      <alignment readingOrder="0" shrinkToFit="0" vertical="center" wrapText="1"/>
    </xf>
    <xf borderId="37" fillId="5" fontId="16" numFmtId="0" xfId="0" applyAlignment="1" applyBorder="1" applyFont="1">
      <alignment horizontal="center" readingOrder="0" vertical="center"/>
    </xf>
    <xf borderId="38" fillId="5" fontId="43" numFmtId="0" xfId="0" applyAlignment="1" applyBorder="1" applyFont="1">
      <alignment horizontal="center" readingOrder="0" shrinkToFit="0" vertical="center" wrapText="1"/>
    </xf>
    <xf borderId="38" fillId="5" fontId="9" numFmtId="3" xfId="0" applyAlignment="1" applyBorder="1" applyFont="1" applyNumberFormat="1">
      <alignment readingOrder="0" vertical="center"/>
    </xf>
    <xf borderId="4" fillId="5" fontId="8" numFmtId="3" xfId="0" applyAlignment="1" applyBorder="1" applyFont="1" applyNumberFormat="1">
      <alignment horizontal="right" readingOrder="0" vertical="center"/>
    </xf>
    <xf borderId="37" fillId="5" fontId="9" numFmtId="0" xfId="0" applyAlignment="1" applyBorder="1" applyFont="1">
      <alignment horizontal="center" readingOrder="0" shrinkToFit="0" vertical="center" wrapText="1"/>
    </xf>
    <xf borderId="38" fillId="5" fontId="44" numFmtId="3" xfId="0" applyAlignment="1" applyBorder="1" applyFont="1" applyNumberFormat="1">
      <alignment vertical="center"/>
    </xf>
    <xf borderId="38" fillId="5" fontId="45" numFmtId="0" xfId="0" applyAlignment="1" applyBorder="1" applyFont="1">
      <alignment horizontal="center" readingOrder="0" shrinkToFit="0" vertical="center" wrapText="1"/>
    </xf>
    <xf borderId="20" fillId="4" fontId="6" numFmtId="0" xfId="0" applyAlignment="1" applyBorder="1" applyFont="1">
      <alignment horizontal="center" readingOrder="0" shrinkToFit="0" vertical="center" wrapText="1"/>
    </xf>
    <xf borderId="56" fillId="2" fontId="6" numFmtId="164" xfId="0" applyAlignment="1" applyBorder="1" applyFont="1" applyNumberFormat="1">
      <alignment horizontal="center" shrinkToFit="0" vertical="center" wrapText="1"/>
    </xf>
    <xf borderId="57" fillId="5" fontId="8" numFmtId="3" xfId="0" applyAlignment="1" applyBorder="1" applyFont="1" applyNumberFormat="1">
      <alignment horizontal="center" readingOrder="0" vertical="center"/>
    </xf>
    <xf borderId="37" fillId="5" fontId="8" numFmtId="3" xfId="0" applyAlignment="1" applyBorder="1" applyFont="1" applyNumberFormat="1">
      <alignment horizontal="center" readingOrder="0" shrinkToFit="0" vertical="center" wrapText="1"/>
    </xf>
    <xf borderId="37" fillId="5" fontId="46" numFmtId="3" xfId="0" applyAlignment="1" applyBorder="1" applyFont="1" applyNumberFormat="1">
      <alignment readingOrder="0" shrinkToFit="0" vertical="center" wrapText="1"/>
    </xf>
    <xf borderId="3" fillId="5" fontId="8" numFmtId="0" xfId="0" applyAlignment="1" applyBorder="1" applyFont="1">
      <alignment horizontal="center" readingOrder="0" vertical="center"/>
    </xf>
    <xf borderId="37" fillId="5" fontId="47" numFmtId="3" xfId="0" applyAlignment="1" applyBorder="1" applyFont="1" applyNumberFormat="1">
      <alignment horizontal="center" readingOrder="0" shrinkToFit="0" wrapText="1"/>
    </xf>
    <xf borderId="37" fillId="5" fontId="8" numFmtId="0" xfId="0" applyAlignment="1" applyBorder="1" applyFont="1">
      <alignment horizontal="center" readingOrder="0" shrinkToFit="0" vertical="center" wrapText="1"/>
    </xf>
    <xf borderId="37" fillId="5" fontId="48" numFmtId="0" xfId="0" applyAlignment="1" applyBorder="1" applyFont="1">
      <alignment horizontal="center" readingOrder="0" shrinkToFit="0" wrapText="1"/>
    </xf>
    <xf borderId="37" fillId="5" fontId="49" numFmtId="0" xfId="0" applyAlignment="1" applyBorder="1" applyFont="1">
      <alignment horizontal="center" readingOrder="0" shrinkToFit="0" wrapText="1"/>
    </xf>
    <xf borderId="37" fillId="5" fontId="50" numFmtId="0" xfId="0" applyAlignment="1" applyBorder="1" applyFont="1">
      <alignment horizontal="center" readingOrder="0" shrinkToFit="0" wrapText="1"/>
    </xf>
    <xf borderId="23" fillId="5" fontId="9" numFmtId="9" xfId="0" applyAlignment="1" applyBorder="1" applyFont="1" applyNumberFormat="1">
      <alignment vertical="center"/>
    </xf>
    <xf borderId="37" fillId="6" fontId="8" numFmtId="172" xfId="0" applyAlignment="1" applyBorder="1" applyFont="1" applyNumberFormat="1">
      <alignment horizontal="center" readingOrder="0" shrinkToFit="0" vertical="center" wrapText="1"/>
    </xf>
    <xf borderId="0" fillId="0" fontId="12" numFmtId="9" xfId="0" applyAlignment="1" applyFont="1" applyNumberFormat="1">
      <alignment horizontal="center" readingOrder="0" shrinkToFit="0" vertical="center" wrapText="1"/>
    </xf>
    <xf borderId="38" fillId="5" fontId="8" numFmtId="0" xfId="0" applyAlignment="1" applyBorder="1" applyFont="1">
      <alignment horizontal="left" readingOrder="0" shrinkToFit="0" vertical="center" wrapText="1"/>
    </xf>
    <xf borderId="37" fillId="5" fontId="9" numFmtId="3" xfId="0" applyAlignment="1" applyBorder="1" applyFont="1" applyNumberFormat="1">
      <alignment horizontal="left" readingOrder="0" shrinkToFit="0" vertical="center" wrapText="0"/>
    </xf>
    <xf borderId="0" fillId="0" fontId="21" numFmtId="0" xfId="0" applyAlignment="1" applyFont="1">
      <alignment shrinkToFit="0" vertical="center" wrapText="1"/>
    </xf>
  </cellXfs>
  <cellStyles count="1">
    <cellStyle xfId="0" name="Normal" builtinId="0"/>
  </cellStyles>
  <dxfs count="4">
    <dxf>
      <font/>
      <fill>
        <patternFill patternType="solid">
          <fgColor rgb="FF6AA84F"/>
          <bgColor rgb="FF6AA84F"/>
        </patternFill>
      </fill>
      <border/>
    </dxf>
    <dxf>
      <font/>
      <fill>
        <patternFill patternType="solid">
          <fgColor rgb="FFEA9999"/>
          <bgColor rgb="FFEA9999"/>
        </patternFill>
      </fill>
      <border/>
    </dxf>
    <dxf>
      <font/>
      <fill>
        <patternFill patternType="solid">
          <fgColor rgb="FFB7E1CD"/>
          <bgColor rgb="FFB7E1CD"/>
        </patternFill>
      </fill>
      <border/>
    </dxf>
    <dxf>
      <font/>
      <fill>
        <patternFill patternType="solid">
          <fgColor rgb="FFDD7E6B"/>
          <bgColor rgb="FFDD7E6B"/>
        </patternFill>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26" Type="http://schemas.openxmlformats.org/officeDocument/2006/relationships/worksheet" Target="worksheets/sheet23.xml"/><Relationship Id="rId25" Type="http://schemas.openxmlformats.org/officeDocument/2006/relationships/worksheet" Target="worksheets/sheet22.xml"/><Relationship Id="rId28" Type="http://schemas.openxmlformats.org/officeDocument/2006/relationships/worksheet" Target="worksheets/sheet25.xml"/><Relationship Id="rId27" Type="http://schemas.openxmlformats.org/officeDocument/2006/relationships/worksheet" Target="worksheets/sheet24.xml"/><Relationship Id="rId29" Type="http://schemas.openxmlformats.org/officeDocument/2006/relationships/worksheet" Target="worksheets/sheet26.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drive.google.com/file/d/1GEXu8PP3O5K5aZp5ozROrEFHNEoyFBvc/view?usp=sharing" TargetMode="External"/><Relationship Id="rId2" Type="http://schemas.openxmlformats.org/officeDocument/2006/relationships/hyperlink" Target="https://docs.google.com/spreadsheets/d/1at4h8_HmpQ-OoOvddwCIVvJwMo_01v_J/edit?usp=sharing&amp;ouid=107668153786589467991&amp;rtpof=true&amp;sd=true" TargetMode="External"/><Relationship Id="rId3" Type="http://schemas.openxmlformats.org/officeDocument/2006/relationships/hyperlink" Target="https://drive.google.com/file/d/1E-GBGzVrRWmj0TfQdGoI6yjOovmG67qX/view?usp=sharing"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1" Type="http://schemas.openxmlformats.org/officeDocument/2006/relationships/hyperlink" Target="https://drive.google.com/drive/folders/1_-WWEj9S6P-i0s9CA1KyDGbKCb5fNAGV" TargetMode="External"/><Relationship Id="rId10" Type="http://schemas.openxmlformats.org/officeDocument/2006/relationships/hyperlink" Target="https://drive.google.com/drive/folders/11wW1qQECbo9YuUTDUyrTOncebXMdUYMY" TargetMode="External"/><Relationship Id="rId13" Type="http://schemas.openxmlformats.org/officeDocument/2006/relationships/hyperlink" Target="https://drive.google.com/drive/folders/1kZR6J8ELgvIZ4CmzNPhxZ27vxW_RLiPA" TargetMode="External"/><Relationship Id="rId12" Type="http://schemas.openxmlformats.org/officeDocument/2006/relationships/hyperlink" Target="https://drive.google.com/drive/folders/1NWuC5FmMiVvi2YtOSmxeub_uSNPMhIgg" TargetMode="External"/><Relationship Id="rId14" Type="http://schemas.openxmlformats.org/officeDocument/2006/relationships/drawing" Target="../drawings/drawing11.xml"/><Relationship Id="rId1" Type="http://schemas.openxmlformats.org/officeDocument/2006/relationships/hyperlink" Target="https://drive.google.com/drive/folders/1BRXckC8rqYQ95sJQ8CN3-rZdf2uHPFJO" TargetMode="External"/><Relationship Id="rId2" Type="http://schemas.openxmlformats.org/officeDocument/2006/relationships/hyperlink" Target="https://drive.google.com/drive/folders/1PStr2um-m1jzamDv_NjyLBhgiQLZPv1r" TargetMode="External"/><Relationship Id="rId3" Type="http://schemas.openxmlformats.org/officeDocument/2006/relationships/hyperlink" Target="https://drive.google.com/drive/folders/1NNNX-YQbHWOmeJbBv7hvIDPS-GOU2BEH" TargetMode="External"/><Relationship Id="rId4" Type="http://schemas.openxmlformats.org/officeDocument/2006/relationships/hyperlink" Target="https://drive.google.com/drive/folders/1eduQ0x8rjQ3A2_hiMgMfkxbEq-PIMtO8" TargetMode="External"/><Relationship Id="rId9" Type="http://schemas.openxmlformats.org/officeDocument/2006/relationships/hyperlink" Target="https://drive.google.com/drive/folders/1s808CwNSY6OS9vCbor7XdLhVMN7LNKmq" TargetMode="External"/><Relationship Id="rId5" Type="http://schemas.openxmlformats.org/officeDocument/2006/relationships/hyperlink" Target="https://drive.google.com/drive/folders/1GrHdPOV5I-4bb_jA9qzES29QALaccIhJ" TargetMode="External"/><Relationship Id="rId6" Type="http://schemas.openxmlformats.org/officeDocument/2006/relationships/hyperlink" Target="https://drive.google.com/drive/folders/1jv5ehh4oKIGuqXqB6--d9fEAP8ZtCx0m" TargetMode="External"/><Relationship Id="rId7" Type="http://schemas.openxmlformats.org/officeDocument/2006/relationships/hyperlink" Target="https://drive.google.com/drive/folders/1laeL_yxYCEPsqQaTNEHUuZrydUiJoZ0T" TargetMode="External"/><Relationship Id="rId8" Type="http://schemas.openxmlformats.org/officeDocument/2006/relationships/hyperlink" Target="https://drive.google.com/drive/folders/1I3ZzXSyi2ZUGDVflj7ickW9XVPJSq6X9"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drive.google.com/drive/folders/1pGfwLUzldDSjCwqHdWdRIRWgOVXHsKOF?usp=sharing" TargetMode="External"/><Relationship Id="rId2" Type="http://schemas.openxmlformats.org/officeDocument/2006/relationships/hyperlink" Target="https://drive.google.com/drive/folders/1pocybs9uS02d7fcFywingDBySKgSwIAG?usp=sharing" TargetMode="External"/><Relationship Id="rId3" Type="http://schemas.openxmlformats.org/officeDocument/2006/relationships/hyperlink" Target="https://drive.google.com/drive/folders/1Pcab42Xifb71zhcwfTmfo95M_NIPwI-Q?usp=sharing" TargetMode="External"/><Relationship Id="rId4" Type="http://schemas.openxmlformats.org/officeDocument/2006/relationships/hyperlink" Target="https://drive.google.com/drive/folders/1UkEn016ZnnggLD-nTydbstwYZEWzKHmz?usp=sharing" TargetMode="External"/><Relationship Id="rId5" Type="http://schemas.openxmlformats.org/officeDocument/2006/relationships/hyperlink" Target="https://drive.google.com/drive/folders/1ZFbNnWmHfqzwADyeZ3h6dTVw0YPvl_yZ?usp=sharing" TargetMode="External"/><Relationship Id="rId6" Type="http://schemas.openxmlformats.org/officeDocument/2006/relationships/hyperlink" Target="https://drive.google.com/drive/folders/1_H1edwoqztlDFf4TLB8j_KgzdrpKE_3u?usp=sharing" TargetMode="External"/><Relationship Id="rId7"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hyperlink" Target="https://drive.google.com/drive/folders/1PIxzsmn4zSL4I5ldCZAWVURrsoqD08p-?usp=sharing" TargetMode="External"/><Relationship Id="rId2" Type="http://schemas.openxmlformats.org/officeDocument/2006/relationships/hyperlink" Target="https://drive.google.com/drive/folders/1PIxzsmn4zSL4I5ldCZAWVURrsoqD08p-?usp=sharing" TargetMode="External"/><Relationship Id="rId3" Type="http://schemas.openxmlformats.org/officeDocument/2006/relationships/hyperlink" Target="https://drive.google.com/drive/folders/1PIxzsmn4zSL4I5ldCZAWVURrsoqD08p-?usp=sharing" TargetMode="Externa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hyperlink" Target="https://www.aunap.gov.co/presupuesto/estados-financieros/" TargetMode="External"/><Relationship Id="rId2" Type="http://schemas.openxmlformats.org/officeDocument/2006/relationships/hyperlink" Target="https://www.aunap.gov.co/presupuesto/estados-financieros/" TargetMode="External"/><Relationship Id="rId3" Type="http://schemas.openxmlformats.org/officeDocument/2006/relationships/hyperlink" Target="https://www.aunap.gov.co/presupuesto/presupuesto-general-asignado/ejecucion-presupuesto-2021/" TargetMode="External"/><Relationship Id="rId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hyperlink" Target="https://drive.google.com/drive/folders/1i3VQQms5w8zYUPp90L1xKnV7cZqVvV_-" TargetMode="External"/><Relationship Id="rId2" Type="http://schemas.openxmlformats.org/officeDocument/2006/relationships/hyperlink" Target="https://drive.google.com/drive/folders/1u8YbH26Y-46Z6v3Uw602siWIb9lT8h6h" TargetMode="External"/><Relationship Id="rId3" Type="http://schemas.openxmlformats.org/officeDocument/2006/relationships/hyperlink" Target="https://docs.google.com/spreadsheets/d/1DGzArBUHGy02sFBrVHTiPflUyFWjtMtT/edit" TargetMode="External"/><Relationship Id="rId4" Type="http://schemas.openxmlformats.org/officeDocument/2006/relationships/hyperlink" Target="https://drive.google.com/drive/folders/1aA0PrU4No-ZJgotdOnPMDO5u5Y_fBaO4" TargetMode="External"/><Relationship Id="rId5" Type="http://schemas.openxmlformats.org/officeDocument/2006/relationships/hyperlink" Target="https://drive.google.com/drive/folders/1g0_J6GkOcAihiro6pN1TCwb8yl9pwY9R" TargetMode="External"/><Relationship Id="rId6"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1" Type="http://schemas.openxmlformats.org/officeDocument/2006/relationships/hyperlink" Target="https://drive.google.com/file/d/1jwQOod65IghpVlgwnImGog-fD8HgC4Se/view?usp=sharing" TargetMode="External"/><Relationship Id="rId10" Type="http://schemas.openxmlformats.org/officeDocument/2006/relationships/hyperlink" Target="https://drive.google.com/drive/folders/1FQLfQmG5HjPFYcarz8_A0BpgjIICE8So?usp=sharing" TargetMode="External"/><Relationship Id="rId13" Type="http://schemas.openxmlformats.org/officeDocument/2006/relationships/drawing" Target="../drawings/drawing16.xml"/><Relationship Id="rId12" Type="http://schemas.openxmlformats.org/officeDocument/2006/relationships/hyperlink" Target="https://drive.google.com/file/d/1WKcqtEUpJAMWtt9ik-fzI1HFIbtwBVcV/view?usp=sharing" TargetMode="External"/><Relationship Id="rId1" Type="http://schemas.openxmlformats.org/officeDocument/2006/relationships/hyperlink" Target="https://drive.google.com/drive/folders/1YnnHgo5Luy54h-sApi0gLnJ6yUtp4Lpm?usp=sharing" TargetMode="External"/><Relationship Id="rId2" Type="http://schemas.openxmlformats.org/officeDocument/2006/relationships/hyperlink" Target="https://drive.google.com/drive/folders/1j6VZ5R5DALYisVMB7gJE-Sf6Cxij0xPM?usp=sharing" TargetMode="External"/><Relationship Id="rId3" Type="http://schemas.openxmlformats.org/officeDocument/2006/relationships/hyperlink" Target="https://drive.google.com/drive/folders/1xHnsvHtPuuLwGhsvLQWVaKDCk9kk8w9V?usp=sharing" TargetMode="External"/><Relationship Id="rId4" Type="http://schemas.openxmlformats.org/officeDocument/2006/relationships/hyperlink" Target="https://drive.google.com/drive/folders/1Oyd481cD5uVNDyRAzGiiBZSogR2yflRk?usp=sharing" TargetMode="External"/><Relationship Id="rId9" Type="http://schemas.openxmlformats.org/officeDocument/2006/relationships/hyperlink" Target="https://drive.google.com/drive/folders/1-zhOXKNuDw6dseUI9V2HCSPtmnrbyVfE?usp=sharing" TargetMode="External"/><Relationship Id="rId5" Type="http://schemas.openxmlformats.org/officeDocument/2006/relationships/hyperlink" Target="https://drive.google.com/drive/folders/1EssJmOrjbzxa4w-7OEYwh4LGpexjexS7?usp=sharing" TargetMode="External"/><Relationship Id="rId6" Type="http://schemas.openxmlformats.org/officeDocument/2006/relationships/hyperlink" Target="https://drive.google.com/drive/folders/100jB3zMjYmwOwI8M24_-eN0rWTSOqTUu?usp=sharing" TargetMode="External"/><Relationship Id="rId7" Type="http://schemas.openxmlformats.org/officeDocument/2006/relationships/hyperlink" Target="https://drive.google.com/file/d/1Kx4G10V7AV8ut-3rioeQ5t3N0_uyOO2Z/view?usp=sharing" TargetMode="External"/><Relationship Id="rId8" Type="http://schemas.openxmlformats.org/officeDocument/2006/relationships/hyperlink" Target="https://drive.google.com/drive/folders/1AIj78pHLgQ7gMmZbcSg3-NpNICNp4NWc?usp=sharing"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docs.google.com/spreadsheets/d/1qf8AkR2OXr1jni3gzeUJDz29bMKGNfcA_0pOkAu1z1Y/edit" TargetMode="External"/><Relationship Id="rId2" Type="http://schemas.openxmlformats.org/officeDocument/2006/relationships/hyperlink" Target="https://drive.google.com/drive/u/1/folders/1fdsn-NyYX0wWnU9eXIVwdDC_EYBJ9jRo" TargetMode="External"/><Relationship Id="rId3" Type="http://schemas.openxmlformats.org/officeDocument/2006/relationships/hyperlink" Target="https://www.aunap.gov.co/rendicion-de-cuentas/" TargetMode="External"/><Relationship Id="rId4" Type="http://schemas.openxmlformats.org/officeDocument/2006/relationships/hyperlink" Target="https://drive.google.com/drive/folders/19XGt-n_00v6piPjgBFn0Y3GwOmTj7D6K?usp=sharing" TargetMode="External"/><Relationship Id="rId5" Type="http://schemas.openxmlformats.org/officeDocument/2006/relationships/hyperlink" Target="https://drive.google.com/drive/folders/1stQ7abrVMkRv1Xn4XCk_B6By_TFRvzv_?usp=sharing" TargetMode="External"/><Relationship Id="rId6"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hyperlink" Target="https://drive.google.com/file/d/1smkUL8QxFwqtU9VFphCIYs86sMk50zZO/view?usp=sharing" TargetMode="External"/><Relationship Id="rId2" Type="http://schemas.openxmlformats.org/officeDocument/2006/relationships/hyperlink" Target="https://drive.google.com/file/d/1P1PGVlWqmjAw-ubR8LqXbA0wuBTejmKK/view?usp=sharing" TargetMode="External"/><Relationship Id="rId3" Type="http://schemas.openxmlformats.org/officeDocument/2006/relationships/hyperlink" Target="https://drive.google.com/file/d/1BsgwzxT-9ZQxDkYW-UycedXUUzrgG_LX/view?usp=sharing" TargetMode="External"/><Relationship Id="rId4"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hyperlink" Target="https://drive.google.com/drive/folders/1X-PytDYwzX5q3cTPleWEiXlWkA2yL4Nj" TargetMode="External"/><Relationship Id="rId2" Type="http://schemas.openxmlformats.org/officeDocument/2006/relationships/hyperlink" Target="https://drive.google.com/drive/folders/19mxk8-0iDAd51c3bUKgKANGWliLfwUJr" TargetMode="External"/><Relationship Id="rId3" Type="http://schemas.openxmlformats.org/officeDocument/2006/relationships/hyperlink" Target="https://drive.google.com/drive/folders/1OkrotXBtdN045YALAQIHM3WghgmOe8KH" TargetMode="External"/><Relationship Id="rId4" Type="http://schemas.openxmlformats.org/officeDocument/2006/relationships/hyperlink" Target="https://drive.google.com/drive/folders/1QgtKoKaJ98AShUnji_IZm1vNbXCbqXT2" TargetMode="External"/><Relationship Id="rId5"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1" Type="http://schemas.openxmlformats.org/officeDocument/2006/relationships/hyperlink" Target="https://drive.google.com/drive/folders/1ttjVozOi0gul2YNcz65oDDzg1GKqvXiC" TargetMode="External"/><Relationship Id="rId10" Type="http://schemas.openxmlformats.org/officeDocument/2006/relationships/hyperlink" Target="https://docs.google.com/spreadsheets/d/1ehmjoA1mWAfszBO8r87ji-ex1MaxvkHU/edit" TargetMode="External"/><Relationship Id="rId13" Type="http://schemas.openxmlformats.org/officeDocument/2006/relationships/hyperlink" Target="https://drive.google.com/drive/folders/1oycY07LEePDBvgaHERIBBlS1ahyA5pdS" TargetMode="External"/><Relationship Id="rId12" Type="http://schemas.openxmlformats.org/officeDocument/2006/relationships/hyperlink" Target="https://drive.google.com/drive/folders/1Aqk0FfwwWHQ7bQnGzssCYeBFeCgP6gaB" TargetMode="External"/><Relationship Id="rId15" Type="http://schemas.openxmlformats.org/officeDocument/2006/relationships/hyperlink" Target="https://drive.google.com/drive/folders/1FFlCbSKi2stxptHRjhENm9F6Y7F6bJ8a" TargetMode="External"/><Relationship Id="rId14" Type="http://schemas.openxmlformats.org/officeDocument/2006/relationships/hyperlink" Target="https://drive.google.com/drive/folders/1T0-jdbsFO47P1u4wfycaEKbe41pydYLd" TargetMode="External"/><Relationship Id="rId16" Type="http://schemas.openxmlformats.org/officeDocument/2006/relationships/drawing" Target="../drawings/drawing20.xml"/><Relationship Id="rId1" Type="http://schemas.openxmlformats.org/officeDocument/2006/relationships/hyperlink" Target="https://drive.google.com/drive/folders/1tG-ZKz2IBoA-zobdwyon7Rgg3w9et4qb" TargetMode="External"/><Relationship Id="rId2" Type="http://schemas.openxmlformats.org/officeDocument/2006/relationships/hyperlink" Target="https://drive.google.com/drive/folders/1_qAH7FziR1swwZ96FBUQ-z42vZOzI5Xs" TargetMode="External"/><Relationship Id="rId3" Type="http://schemas.openxmlformats.org/officeDocument/2006/relationships/hyperlink" Target="https://drive.google.com/drive/folders/1werH06yBmHnsgVuJStG94TJ7dVgZ4RuO" TargetMode="External"/><Relationship Id="rId4" Type="http://schemas.openxmlformats.org/officeDocument/2006/relationships/hyperlink" Target="https://docs.google.com/spreadsheets/d/1CsljpP6Q6Hw-DVUObgzKEsxG1GcaEzjY/edit?usp=sharing&amp;ouid=108762493780518575046&amp;rtpof=true&amp;sd=true" TargetMode="External"/><Relationship Id="rId9" Type="http://schemas.openxmlformats.org/officeDocument/2006/relationships/hyperlink" Target="https://docs.google.com/spreadsheets/d/1h8u-B3-GkpAZVXQuhQhUTtHCkeRM1RNM/edit" TargetMode="External"/><Relationship Id="rId5" Type="http://schemas.openxmlformats.org/officeDocument/2006/relationships/hyperlink" Target="https://drive.google.com/drive/folders/1CnNZ344YtqQG73OUhAfmgHxCXxebakTg" TargetMode="External"/><Relationship Id="rId6" Type="http://schemas.openxmlformats.org/officeDocument/2006/relationships/hyperlink" Target="https://drive.google.com/drive/folders/1TkrPJzuEBSS01ZeFlFxjwVSmrTsn7-HC" TargetMode="External"/><Relationship Id="rId7" Type="http://schemas.openxmlformats.org/officeDocument/2006/relationships/hyperlink" Target="https://drive.google.com/drive/folders/1IeYQUvQjr347Cvc5HDmVqFChPm_wu-Pz" TargetMode="External"/><Relationship Id="rId8" Type="http://schemas.openxmlformats.org/officeDocument/2006/relationships/hyperlink" Target="https://docs.google.com/spreadsheets/d/1kELDHN5BkFMBNgQ2n4MDGqW4SiOZI2VN/edit" TargetMode="External"/></Relationships>
</file>

<file path=xl/worksheets/_rels/sheet21.xml.rels><?xml version="1.0" encoding="UTF-8" standalone="yes"?><Relationships xmlns="http://schemas.openxmlformats.org/package/2006/relationships"><Relationship Id="rId11" Type="http://schemas.openxmlformats.org/officeDocument/2006/relationships/drawing" Target="../drawings/drawing21.xml"/><Relationship Id="rId10" Type="http://schemas.openxmlformats.org/officeDocument/2006/relationships/hyperlink" Target="https://drive.google.com/drive/u/0/folders/1GHr_u4alEmglt_3bgS2FijLbQUAVmAL1" TargetMode="External"/><Relationship Id="rId1" Type="http://schemas.openxmlformats.org/officeDocument/2006/relationships/hyperlink" Target="https://drive.google.com/drive/folders/1PM-1JLen1zpPc8VRGRo2H8p_6t6HvItK" TargetMode="External"/><Relationship Id="rId2" Type="http://schemas.openxmlformats.org/officeDocument/2006/relationships/hyperlink" Target="https://drive.google.com/drive/folders/1PM-1JLen1zpPc8VRGRo2H8p_6t6HvItK" TargetMode="External"/><Relationship Id="rId3" Type="http://schemas.openxmlformats.org/officeDocument/2006/relationships/hyperlink" Target="https://drive.google.com/drive/folders/1PM-1JLen1zpPc8VRGRo2H8p_6t6HvItK" TargetMode="External"/><Relationship Id="rId4" Type="http://schemas.openxmlformats.org/officeDocument/2006/relationships/hyperlink" Target="https://drive.google.com/drive/folders/1PM-1JLen1zpPc8VRGRo2H8p_6t6HvItK" TargetMode="External"/><Relationship Id="rId9" Type="http://schemas.openxmlformats.org/officeDocument/2006/relationships/hyperlink" Target="https://drive.google.com/drive/u/0/folders/17KYuAGxBYbtcoUaV_eNzRjEs5WG4k2cg" TargetMode="External"/><Relationship Id="rId5" Type="http://schemas.openxmlformats.org/officeDocument/2006/relationships/hyperlink" Target="https://drive.google.com/drive/folders/1PM-1JLen1zpPc8VRGRo2H8p_6t6HvItK" TargetMode="External"/><Relationship Id="rId6" Type="http://schemas.openxmlformats.org/officeDocument/2006/relationships/hyperlink" Target="https://drive.google.com/drive/folders/1PM-1JLen1zpPc8VRGRo2H8p_6t6HvItK" TargetMode="External"/><Relationship Id="rId7" Type="http://schemas.openxmlformats.org/officeDocument/2006/relationships/hyperlink" Target="https://drive.google.com/drive/folders/1PM-1JLen1zpPc8VRGRo2H8p_6t6HvItK" TargetMode="External"/><Relationship Id="rId8" Type="http://schemas.openxmlformats.org/officeDocument/2006/relationships/hyperlink" Target="https://drive.google.com/drive/u/0/folders/1UKK-6DzfkSjRxrSlJ4mRP-z1drRQaXNY" TargetMode="External"/></Relationships>
</file>

<file path=xl/worksheets/_rels/sheet22.xml.rels><?xml version="1.0" encoding="UTF-8" standalone="yes"?><Relationships xmlns="http://schemas.openxmlformats.org/package/2006/relationships"><Relationship Id="rId11" Type="http://schemas.openxmlformats.org/officeDocument/2006/relationships/hyperlink" Target="https://drive.google.com/file/d/1-J04XdmGsBP9_5e4AKsdHKasc0AdenKc/view?usp=sharing" TargetMode="External"/><Relationship Id="rId10" Type="http://schemas.openxmlformats.org/officeDocument/2006/relationships/hyperlink" Target="https://drive.google.com/file/d/1-J04XdmGsBP9_5e4AKsdHKasc0AdenKc/view?usp=sharing" TargetMode="External"/><Relationship Id="rId12" Type="http://schemas.openxmlformats.org/officeDocument/2006/relationships/drawing" Target="../drawings/drawing22.xml"/><Relationship Id="rId1" Type="http://schemas.openxmlformats.org/officeDocument/2006/relationships/hyperlink" Target="https://drive.google.com/drive/folders/15izoFYpAbXdMqDjs4sFQBhL-JvWaaRZD?usp=sharing" TargetMode="External"/><Relationship Id="rId2" Type="http://schemas.openxmlformats.org/officeDocument/2006/relationships/hyperlink" Target="https://drive.google.com/file/d/1zCNAnva4rAxnWVbWTS0AluiZXKFtp1-W/view?usp=sharing" TargetMode="External"/><Relationship Id="rId3" Type="http://schemas.openxmlformats.org/officeDocument/2006/relationships/hyperlink" Target="https://drive.google.com/file/d/1_SqqcA0Y5-t9XTAeyEkZqc93r6bGcscS/view?usp=sharing" TargetMode="External"/><Relationship Id="rId4" Type="http://schemas.openxmlformats.org/officeDocument/2006/relationships/hyperlink" Target="https://drive.google.com/file/d/1N4CORN5Yo9grctHWjG7kUBIA-PwNPXSn/view?usp=sharing" TargetMode="External"/><Relationship Id="rId9" Type="http://schemas.openxmlformats.org/officeDocument/2006/relationships/hyperlink" Target="https://drive.google.com/file/d/16gJbXyM9jLD3s4lq58wn16mSMvuGBEP0/view?usp=sharing" TargetMode="External"/><Relationship Id="rId5" Type="http://schemas.openxmlformats.org/officeDocument/2006/relationships/hyperlink" Target="https://drive.google.com/drive/folders/162IXpR_AL7k9_71PrL0OMhh4VUAMAd2E?usp=sharing" TargetMode="External"/><Relationship Id="rId6" Type="http://schemas.openxmlformats.org/officeDocument/2006/relationships/hyperlink" Target="https://drive.google.com/file/d/1mifKAQokfQgQDBUxoOlZe0qfiMd4cuFJ/view?usp=sharing" TargetMode="External"/><Relationship Id="rId7" Type="http://schemas.openxmlformats.org/officeDocument/2006/relationships/hyperlink" Target="https://drive.google.com/file/d/1-bEt2zvtgkU7CJ5YEOKElkEgISSN80FN/view?usp=sharing" TargetMode="External"/><Relationship Id="rId8" Type="http://schemas.openxmlformats.org/officeDocument/2006/relationships/hyperlink" Target="https://drive.google.com/drive/folders/1QJb1W0hc69OkUcXeiQl6xqe5vkD8Cl0F?usp=sharing"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drive.google.com/drive/folders/1ZE4JC4fzH88rL4y8tRiYs7wix7malqCP?usp=sharing" TargetMode="External"/><Relationship Id="rId2" Type="http://schemas.openxmlformats.org/officeDocument/2006/relationships/hyperlink" Target="https://drive.google.com/drive/folders/1j7s9am9Aa76K6BtTu_p-qoIxzY_0B6i7?usp=sharing" TargetMode="External"/><Relationship Id="rId3" Type="http://schemas.openxmlformats.org/officeDocument/2006/relationships/hyperlink" Target="https://docs.google.com/spreadsheets/d/1Ts2LWmi9eTJ5g1HOK1jhYxYZ_KadeEHP/edit?usp=sharing&amp;ouid=105831338524648060683&amp;rtpof=true&amp;sd=true" TargetMode="External"/><Relationship Id="rId4" Type="http://schemas.openxmlformats.org/officeDocument/2006/relationships/hyperlink" Target="https://drive.google.com/drive/folders/1j7s9am9Aa76K6BtTu_p-qoIxzY_0B6i7?usp=sharing" TargetMode="External"/><Relationship Id="rId5" Type="http://schemas.openxmlformats.org/officeDocument/2006/relationships/hyperlink" Target="https://drive.google.com/drive/folders/15LCZM5AdVv1oTBszMKpnhsVJ5dyIRpDw?usp=sharing" TargetMode="External"/><Relationship Id="rId6" Type="http://schemas.openxmlformats.org/officeDocument/2006/relationships/hyperlink" Target="https://docs.google.com/spreadsheets/d/1p4E8WNp_cbqPeqiHcYP7aiWFzlRju7Gf/edit?usp=sharing&amp;ouid=105831338524648060683&amp;rtpof=true&amp;sd=true" TargetMode="External"/><Relationship Id="rId7"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1" Type="http://schemas.openxmlformats.org/officeDocument/2006/relationships/drawing" Target="../drawings/drawing24.xml"/><Relationship Id="rId10" Type="http://schemas.openxmlformats.org/officeDocument/2006/relationships/hyperlink" Target="https://drive.google.com/drive/folders/1y2WpZkp-88m3uI5buvezET4ybp-3VgdN" TargetMode="External"/><Relationship Id="rId1" Type="http://schemas.openxmlformats.org/officeDocument/2006/relationships/hyperlink" Target="https://drive.google.com/drive/folders/1ttvakxSszeEXEPLbPlP16X7lGmJ2UrGo" TargetMode="External"/><Relationship Id="rId2" Type="http://schemas.openxmlformats.org/officeDocument/2006/relationships/hyperlink" Target="https://docs.google.com/spreadsheets/d/1DlMYFVv7DyBx7E8Ts6tvZWmEgj4TX28UWZwXVwEC-dc/edit" TargetMode="External"/><Relationship Id="rId3" Type="http://schemas.openxmlformats.org/officeDocument/2006/relationships/hyperlink" Target="https://drive.google.com/drive/folders/1V801uu43hPjJOgbDP2MO9TIRJLYTgr84" TargetMode="External"/><Relationship Id="rId4" Type="http://schemas.openxmlformats.org/officeDocument/2006/relationships/hyperlink" Target="https://drive.google.com/drive/folders/1Lhct4Jx6Pke6Tu5oqXvdZDwWguOiqmjC" TargetMode="External"/><Relationship Id="rId9" Type="http://schemas.openxmlformats.org/officeDocument/2006/relationships/hyperlink" Target="https://docs.google.com/spreadsheets/d/1feADN_dOLtMYGecanFWRN4neWeichELsnk0PrEtMhpo/edit" TargetMode="External"/><Relationship Id="rId5" Type="http://schemas.openxmlformats.org/officeDocument/2006/relationships/hyperlink" Target="https://drive.google.com/drive/folders/1bUPbkbGZcz_Wi7TRdTqIAYFSbEsSudzT" TargetMode="External"/><Relationship Id="rId6" Type="http://schemas.openxmlformats.org/officeDocument/2006/relationships/hyperlink" Target="https://drive.google.com/drive/folders/1Q-KYBeyVJ-LVI9o3tjd4J51CJ2E39DxO" TargetMode="External"/><Relationship Id="rId7" Type="http://schemas.openxmlformats.org/officeDocument/2006/relationships/hyperlink" Target="https://drive.google.com/drive/folders/1u6GPldyXgG3KofXEYnfIKiwqF9idiLXu" TargetMode="External"/><Relationship Id="rId8" Type="http://schemas.openxmlformats.org/officeDocument/2006/relationships/hyperlink" Target="https://drive.google.com/drive/folders/189eLu8QEIYk3eS_2L3ijf9FzoDMvAG8g"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https://drive.google.com/drive/folders/1Jx8kpoIPAkngj95t4Dmwz5wUQR0kVIBD?usp=sharing" TargetMode="External"/><Relationship Id="rId2" Type="http://schemas.openxmlformats.org/officeDocument/2006/relationships/hyperlink" Target="https://drive.google.com/drive/folders/1cwonZ-_uEAiuzGoZo_3bmszKR9lG8Kt_?usp=sharing" TargetMode="External"/><Relationship Id="rId3" Type="http://schemas.openxmlformats.org/officeDocument/2006/relationships/hyperlink" Target="https://drive.google.com/drive/folders/1-7k41m6SzWE3W-GXw1oi9hvz1JgvrfhK?usp=sharing" TargetMode="External"/><Relationship Id="rId4" Type="http://schemas.openxmlformats.org/officeDocument/2006/relationships/hyperlink" Target="https://drive.google.com/drive/folders/1cyt_mG7INBQIdV0_2ijzTxhSJvN0qGe-?usp=sharing" TargetMode="External"/><Relationship Id="rId5" Type="http://schemas.openxmlformats.org/officeDocument/2006/relationships/hyperlink" Target="https://drive.google.com/drive/folders/1XXuXhv3NtqMvl0nx1x1mjRpC45oSHorc?usp=sharing" TargetMode="External"/><Relationship Id="rId6" Type="http://schemas.openxmlformats.org/officeDocument/2006/relationships/hyperlink" Target="https://drive.google.com/drive/folders/14OxH9L31EYzYaCK9SgNSbgzyN5LqILqZ?usp=sharing" TargetMode="External"/><Relationship Id="rId7"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hyperlink" Target="https://drive.google.com/drive/folders/1KjwvpbKi1AE1hNrESrulKY1RHFbTvkpZ?usp=sharing" TargetMode="External"/><Relationship Id="rId2" Type="http://schemas.openxmlformats.org/officeDocument/2006/relationships/hyperlink" Target="https://drive.google.com/drive/folders/16xuPGygP5LtQ8BVotVnS4Vd_bNBwKuEf?usp=sharing" TargetMode="External"/><Relationship Id="rId3" Type="http://schemas.openxmlformats.org/officeDocument/2006/relationships/hyperlink" Target="https://drive.google.com/drive/folders/1KMugiVNh_pW8feDhcC3o7aj9hVcgm919?usp=sharing" TargetMode="External"/><Relationship Id="rId4" Type="http://schemas.openxmlformats.org/officeDocument/2006/relationships/hyperlink" Target="https://drive.google.com/drive/folders/1v8RN5rOIe2Hmc23pb_g65Rn_enq11WV3?usp=sharing" TargetMode="External"/><Relationship Id="rId5" Type="http://schemas.openxmlformats.org/officeDocument/2006/relationships/hyperlink" Target="https://drive.google.com/drive/folders/1Pr6zdTGz8wK_5sxhGxlKOSIwSB4PSi-X?usp=sharing" TargetMode="External"/><Relationship Id="rId6" Type="http://schemas.openxmlformats.org/officeDocument/2006/relationships/hyperlink" Target="https://drive.google.com/drive/folders/1GlFuWFvQ7YwCJd7w6vKfAiEuMG0N8s2L?usp=sharing" TargetMode="External"/><Relationship Id="rId7" Type="http://schemas.openxmlformats.org/officeDocument/2006/relationships/hyperlink" Target="https://drive.google.com/drive/folders/1uiZde6Mm9ukw6dLk81rYUhg8aJ0hXw3W?usp=sharing" TargetMode="External"/><Relationship Id="rId8"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folders/1_H1edwoqztlDFf4TLB8j_KgzdrpKE_3u?usp=sharing" TargetMode="External"/><Relationship Id="rId42" Type="http://schemas.openxmlformats.org/officeDocument/2006/relationships/hyperlink" Target="https://www.aunap.gov.co/presupuesto/estados-financieros/" TargetMode="External"/><Relationship Id="rId41" Type="http://schemas.openxmlformats.org/officeDocument/2006/relationships/hyperlink" Target="https://www.aunap.gov.co/presupuesto/estados-financieros/" TargetMode="External"/><Relationship Id="rId44" Type="http://schemas.openxmlformats.org/officeDocument/2006/relationships/hyperlink" Target="https://drive.google.com/drive/folders/1PIxzsmn4zSL4I5ldCZAWVURrsoqD08p-?usp=sharing" TargetMode="External"/><Relationship Id="rId43" Type="http://schemas.openxmlformats.org/officeDocument/2006/relationships/hyperlink" Target="https://www.aunap.gov.co/presupuesto/presupuesto-general-asignado/ejecucion-presupuesto-2021/" TargetMode="External"/><Relationship Id="rId46" Type="http://schemas.openxmlformats.org/officeDocument/2006/relationships/hyperlink" Target="https://drive.google.com/drive/folders/1PIxzsmn4zSL4I5ldCZAWVURrsoqD08p-?usp=sharing" TargetMode="External"/><Relationship Id="rId45" Type="http://schemas.openxmlformats.org/officeDocument/2006/relationships/hyperlink" Target="https://drive.google.com/drive/folders/1PIxzsmn4zSL4I5ldCZAWVURrsoqD08p-?usp=sharingg" TargetMode="External"/><Relationship Id="rId107" Type="http://schemas.openxmlformats.org/officeDocument/2006/relationships/hyperlink" Target="https://drive.google.com/file/d/1zCNAnva4rAxnWVbWTS0AluiZXKFtp1-W/view?usp=sharing" TargetMode="External"/><Relationship Id="rId106" Type="http://schemas.openxmlformats.org/officeDocument/2006/relationships/hyperlink" Target="https://drive.google.com/drive/folders/15izoFYpAbXdMqDjs4sFQBhL-JvWaaRZD?usp=sharing" TargetMode="External"/><Relationship Id="rId105" Type="http://schemas.openxmlformats.org/officeDocument/2006/relationships/hyperlink" Target="https://drive.google.com/drive/u/0/folders/1GHr_u4alEmglt_3bgS2FijLbQUAVmAL1" TargetMode="External"/><Relationship Id="rId104" Type="http://schemas.openxmlformats.org/officeDocument/2006/relationships/hyperlink" Target="https://drive.google.com/drive/u/0/folders/17KYuAGxBYbtcoUaV_eNzRjEs5WG4k2cg" TargetMode="External"/><Relationship Id="rId109" Type="http://schemas.openxmlformats.org/officeDocument/2006/relationships/hyperlink" Target="https://drive.google.com/file/d/1N4CORN5Yo9grctHWjG7kUBIA-PwNPXSn/view?usp=sharing" TargetMode="External"/><Relationship Id="rId108" Type="http://schemas.openxmlformats.org/officeDocument/2006/relationships/hyperlink" Target="https://drive.google.com/file/d/1_SqqcA0Y5-t9XTAeyEkZqc93r6bGcscS/view?usp=sharing" TargetMode="External"/><Relationship Id="rId48" Type="http://schemas.openxmlformats.org/officeDocument/2006/relationships/hyperlink" Target="https://drive.google.com/drive/folders/1u8YbH26Y-46Z6v3Uw602siWIb9lT8h6h" TargetMode="External"/><Relationship Id="rId47" Type="http://schemas.openxmlformats.org/officeDocument/2006/relationships/hyperlink" Target="https://drive.google.com/drive/folders/1i3VQQms5w8zYUPp90L1xKnV7cZqVvV_-" TargetMode="External"/><Relationship Id="rId49" Type="http://schemas.openxmlformats.org/officeDocument/2006/relationships/hyperlink" Target="https://docs.google.com/spreadsheets/d/1DGzArBUHGy02sFBrVHTiPflUyFWjtMtT/edit" TargetMode="External"/><Relationship Id="rId103" Type="http://schemas.openxmlformats.org/officeDocument/2006/relationships/hyperlink" Target="https://drive.google.com/drive/u/0/folders/1UKK-6DzfkSjRxrSlJ4mRP-z1drRQaXNY" TargetMode="External"/><Relationship Id="rId102" Type="http://schemas.openxmlformats.org/officeDocument/2006/relationships/hyperlink" Target="https://drive.google.com/drive/folders/1PM-1JLen1zpPc8VRGRo2H8p_6t6HvItK" TargetMode="External"/><Relationship Id="rId101" Type="http://schemas.openxmlformats.org/officeDocument/2006/relationships/hyperlink" Target="https://drive.google.com/drive/folders/1PM-1JLen1zpPc8VRGRo2H8p_6t6HvItK" TargetMode="External"/><Relationship Id="rId100" Type="http://schemas.openxmlformats.org/officeDocument/2006/relationships/hyperlink" Target="https://drive.google.com/drive/folders/1PM-1JLen1zpPc8VRGRo2H8p_6t6HvItK" TargetMode="External"/><Relationship Id="rId31" Type="http://schemas.openxmlformats.org/officeDocument/2006/relationships/hyperlink" Target="https://drive.google.com/drive/folders/11wW1qQECbo9YuUTDUyrTOncebXMdUYMY" TargetMode="External"/><Relationship Id="rId30" Type="http://schemas.openxmlformats.org/officeDocument/2006/relationships/hyperlink" Target="https://drive.google.com/drive/folders/1s808CwNSY6OS9vCbor7XdLhVMN7LNKmq" TargetMode="External"/><Relationship Id="rId33" Type="http://schemas.openxmlformats.org/officeDocument/2006/relationships/hyperlink" Target="https://drive.google.com/drive/folders/1NWuC5FmMiVvi2YtOSmxeub_uSNPMhIgg" TargetMode="External"/><Relationship Id="rId32" Type="http://schemas.openxmlformats.org/officeDocument/2006/relationships/hyperlink" Target="https://drive.google.com/drive/folders/1_-WWEj9S6P-i0s9CA1KyDGbKCb5fNAGV" TargetMode="External"/><Relationship Id="rId35" Type="http://schemas.openxmlformats.org/officeDocument/2006/relationships/hyperlink" Target="https://drive.google.com/drive/folders/1pGfwLUzldDSjCwqHdWdRIRWgOVXHsKOF?usp=sharing" TargetMode="External"/><Relationship Id="rId34" Type="http://schemas.openxmlformats.org/officeDocument/2006/relationships/hyperlink" Target="https://drive.google.com/drive/folders/1kZR6J8ELgvIZ4CmzNPhxZ27vxW_RLiPA" TargetMode="External"/><Relationship Id="rId37" Type="http://schemas.openxmlformats.org/officeDocument/2006/relationships/hyperlink" Target="https://drive.google.com/drive/folders/1Pcab42Xifb71zhcwfTmfo95M_NIPwI-Q?usp=sharing" TargetMode="External"/><Relationship Id="rId36" Type="http://schemas.openxmlformats.org/officeDocument/2006/relationships/hyperlink" Target="https://drive.google.com/drive/folders/1pocybs9uS02d7fcFywingDBySKgSwIAG?usp=sharing" TargetMode="External"/><Relationship Id="rId39" Type="http://schemas.openxmlformats.org/officeDocument/2006/relationships/hyperlink" Target="https://drive.google.com/drive/folders/1ZFbNnWmHfqzwADyeZ3h6dTVw0YPvl_yZ?usp=sharing" TargetMode="External"/><Relationship Id="rId38" Type="http://schemas.openxmlformats.org/officeDocument/2006/relationships/hyperlink" Target="https://drive.google.com/drive/folders/1UkEn016ZnnggLD-nTydbstwYZEWzKHmz?usp=sharing" TargetMode="External"/><Relationship Id="rId20" Type="http://schemas.openxmlformats.org/officeDocument/2006/relationships/hyperlink" Target="https://docs.google.com/spreadsheets/d/1at4h8_HmpQ-OoOvddwCIVvJwMo_01v_J/edit?usp=sharing&amp;ouid=107668153786589467991&amp;rtpof=true&amp;sd=true" TargetMode="External"/><Relationship Id="rId22" Type="http://schemas.openxmlformats.org/officeDocument/2006/relationships/hyperlink" Target="https://drive.google.com/drive/folders/1BRXckC8rqYQ95sJQ8CN3-rZdf2uHPFJO" TargetMode="External"/><Relationship Id="rId21" Type="http://schemas.openxmlformats.org/officeDocument/2006/relationships/hyperlink" Target="https://drive.google.com/file/d/1E-GBGzVrRWmj0TfQdGoI6yjOovmG67qX/view?usp=sharing" TargetMode="External"/><Relationship Id="rId24" Type="http://schemas.openxmlformats.org/officeDocument/2006/relationships/hyperlink" Target="https://drive.google.com/drive/folders/1NNNX-YQbHWOmeJbBv7hvIDPS-GOU2BEH" TargetMode="External"/><Relationship Id="rId23" Type="http://schemas.openxmlformats.org/officeDocument/2006/relationships/hyperlink" Target="https://drive.google.com/drive/folders/1PStr2um-m1jzamDv_NjyLBhgiQLZPv1r" TargetMode="External"/><Relationship Id="rId129" Type="http://schemas.openxmlformats.org/officeDocument/2006/relationships/hyperlink" Target="https://drive.google.com/drive/folders/1u6GPldyXgG3KofXEYnfIKiwqF9idiLXu" TargetMode="External"/><Relationship Id="rId128" Type="http://schemas.openxmlformats.org/officeDocument/2006/relationships/hyperlink" Target="https://drive.google.com/drive/folders/1Q-KYBeyVJ-LVI9o3tjd4J51CJ2E39DxO" TargetMode="External"/><Relationship Id="rId127" Type="http://schemas.openxmlformats.org/officeDocument/2006/relationships/hyperlink" Target="https://drive.google.com/drive/folders/1bUPbkbGZcz_Wi7TRdTqIAYFSbEsSudzT" TargetMode="External"/><Relationship Id="rId126" Type="http://schemas.openxmlformats.org/officeDocument/2006/relationships/hyperlink" Target="https://drive.google.com/drive/folders/1Lhct4Jx6Pke6Tu5oqXvdZDwWguOiqmjC" TargetMode="External"/><Relationship Id="rId26" Type="http://schemas.openxmlformats.org/officeDocument/2006/relationships/hyperlink" Target="https://drive.google.com/drive/folders/1GrHdPOV5I-4bb_jA9qzES29QALaccIhJ" TargetMode="External"/><Relationship Id="rId121" Type="http://schemas.openxmlformats.org/officeDocument/2006/relationships/hyperlink" Target="https://drive.google.com/drive/folders/15LCZM5AdVv1oTBszMKpnhsVJ5dyIRpDw?usp=sharing" TargetMode="External"/><Relationship Id="rId25" Type="http://schemas.openxmlformats.org/officeDocument/2006/relationships/hyperlink" Target="https://drive.google.com/drive/folders/1eduQ0x8rjQ3A2_hiMgMfkxbEq-PIMtO8" TargetMode="External"/><Relationship Id="rId120" Type="http://schemas.openxmlformats.org/officeDocument/2006/relationships/hyperlink" Target="https://drive.google.com/drive/folders/1j7s9am9Aa76K6BtTu_p-qoIxzY_0B6i7?usp=sharing" TargetMode="External"/><Relationship Id="rId28" Type="http://schemas.openxmlformats.org/officeDocument/2006/relationships/hyperlink" Target="https://drive.google.com/drive/folders/1laeL_yxYCEPsqQaTNEHUuZrydUiJoZ0T" TargetMode="External"/><Relationship Id="rId27" Type="http://schemas.openxmlformats.org/officeDocument/2006/relationships/hyperlink" Target="https://drive.google.com/drive/folders/1jv5ehh4oKIGuqXqB6--d9fEAP8ZtCx0m" TargetMode="External"/><Relationship Id="rId125" Type="http://schemas.openxmlformats.org/officeDocument/2006/relationships/hyperlink" Target="https://drive.google.com/drive/folders/1V801uu43hPjJOgbDP2MO9TIRJLYTgr84" TargetMode="External"/><Relationship Id="rId29" Type="http://schemas.openxmlformats.org/officeDocument/2006/relationships/hyperlink" Target="https://drive.google.com/drive/folders/1I3ZzXSyi2ZUGDVflj7ickW9XVPJSq6X9" TargetMode="External"/><Relationship Id="rId124" Type="http://schemas.openxmlformats.org/officeDocument/2006/relationships/hyperlink" Target="https://docs.google.com/spreadsheets/d/1DlMYFVv7DyBx7E8Ts6tvZWmEgj4TX28UWZwXVwEC-dc/edit" TargetMode="External"/><Relationship Id="rId123" Type="http://schemas.openxmlformats.org/officeDocument/2006/relationships/hyperlink" Target="https://drive.google.com/drive/folders/1ttvakxSszeEXEPLbPlP16X7lGmJ2UrGo" TargetMode="External"/><Relationship Id="rId122" Type="http://schemas.openxmlformats.org/officeDocument/2006/relationships/hyperlink" Target="https://docs.google.com/spreadsheets/d/1p4E8WNp_cbqPeqiHcYP7aiWFzlRju7Gf/edit?usp=sharing&amp;ouid=105831338524648060683&amp;rtpof=true&amp;sd=true" TargetMode="External"/><Relationship Id="rId95" Type="http://schemas.openxmlformats.org/officeDocument/2006/relationships/hyperlink" Target="https://drive.google.com/drive/folders/1FFlCbSKi2stxptHRjhENm9F6Y7F6bJ8a" TargetMode="External"/><Relationship Id="rId94" Type="http://schemas.openxmlformats.org/officeDocument/2006/relationships/hyperlink" Target="https://drive.google.com/drive/folders/1T0-jdbsFO47P1u4wfycaEKbe41pydYLd" TargetMode="External"/><Relationship Id="rId97" Type="http://schemas.openxmlformats.org/officeDocument/2006/relationships/hyperlink" Target="https://drive.google.com/drive/folders/1PM-1JLen1zpPc8VRGRo2H8p_6t6HvItK" TargetMode="External"/><Relationship Id="rId96" Type="http://schemas.openxmlformats.org/officeDocument/2006/relationships/hyperlink" Target="https://drive.google.com/drive/folders/1PM-1JLen1zpPc8VRGRo2H8p_6t6HvItK" TargetMode="External"/><Relationship Id="rId11" Type="http://schemas.openxmlformats.org/officeDocument/2006/relationships/hyperlink" Target="https://drive.google.com/drive/folders/1nE89tuiq54uygP4vd6BKiShcSbk3CaXh?usp=sharing" TargetMode="External"/><Relationship Id="rId99" Type="http://schemas.openxmlformats.org/officeDocument/2006/relationships/hyperlink" Target="https://drive.google.com/drive/folders/1PM-1JLen1zpPc8VRGRo2H8p_6t6HvItK" TargetMode="External"/><Relationship Id="rId10" Type="http://schemas.openxmlformats.org/officeDocument/2006/relationships/hyperlink" Target="https://www.aunap.gov.co/documentos/informes/RendicionCuentas/informe-de-memorias-rendicion-de-cuentas-2021.pdf" TargetMode="External"/><Relationship Id="rId98" Type="http://schemas.openxmlformats.org/officeDocument/2006/relationships/hyperlink" Target="https://drive.google.com/drive/folders/1PM-1JLen1zpPc8VRGRo2H8p_6t6HvItK" TargetMode="External"/><Relationship Id="rId13" Type="http://schemas.openxmlformats.org/officeDocument/2006/relationships/hyperlink" Target="https://drive.google.com/drive/folders/1nE89tuiq54uygP4vd6BKiShcSbk3CaXh?usp=sharing" TargetMode="External"/><Relationship Id="rId12" Type="http://schemas.openxmlformats.org/officeDocument/2006/relationships/hyperlink" Target="https://drive.google.com/drive/folders/1nE89tuiq54uygP4vd6BKiShcSbk3CaXh?usp=sharing" TargetMode="External"/><Relationship Id="rId91" Type="http://schemas.openxmlformats.org/officeDocument/2006/relationships/hyperlink" Target="https://drive.google.com/drive/folders/1ttjVozOi0gul2YNcz65oDDzg1GKqvXiC" TargetMode="External"/><Relationship Id="rId90" Type="http://schemas.openxmlformats.org/officeDocument/2006/relationships/hyperlink" Target="https://docs.google.com/spreadsheets/d/1ehmjoA1mWAfszBO8r87ji-ex1MaxvkHU/edit" TargetMode="External"/><Relationship Id="rId93" Type="http://schemas.openxmlformats.org/officeDocument/2006/relationships/hyperlink" Target="https://drive.google.com/drive/folders/1oycY07LEePDBvgaHERIBBlS1ahyA5pdS" TargetMode="External"/><Relationship Id="rId92" Type="http://schemas.openxmlformats.org/officeDocument/2006/relationships/hyperlink" Target="https://drive.google.com/drive/folders/1Aqk0FfwwWHQ7bQnGzssCYeBFeCgP6gaB" TargetMode="External"/><Relationship Id="rId118" Type="http://schemas.openxmlformats.org/officeDocument/2006/relationships/hyperlink" Target="https://drive.google.com/drive/folders/1j7s9am9Aa76K6BtTu_p-qoIxzY_0B6i7?usp=sharing" TargetMode="External"/><Relationship Id="rId117" Type="http://schemas.openxmlformats.org/officeDocument/2006/relationships/hyperlink" Target="https://drive.google.com/drive/folders/1ZE4JC4fzH88rL4y8tRiYs7wix7malqCP?usp=sharing" TargetMode="External"/><Relationship Id="rId116" Type="http://schemas.openxmlformats.org/officeDocument/2006/relationships/hyperlink" Target="https://drive.google.com/file/d/1-J04XdmGsBP9_5e4AKsdHKasc0AdenKc/view?usp=sharing" TargetMode="External"/><Relationship Id="rId115" Type="http://schemas.openxmlformats.org/officeDocument/2006/relationships/hyperlink" Target="https://drive.google.com/file/d/1-J04XdmGsBP9_5e4AKsdHKasc0AdenKc/view?usp=sharing" TargetMode="External"/><Relationship Id="rId119" Type="http://schemas.openxmlformats.org/officeDocument/2006/relationships/hyperlink" Target="https://docs.google.com/spreadsheets/d/1Ts2LWmi9eTJ5g1HOK1jhYxYZ_KadeEHP/edit?usp=sharing&amp;ouid=105831338524648060683&amp;rtpof=true&amp;sd=true" TargetMode="External"/><Relationship Id="rId15" Type="http://schemas.openxmlformats.org/officeDocument/2006/relationships/hyperlink" Target="https://drive.google.com/drive/folders/1nE89tuiq54uygP4vd6BKiShcSbk3CaXh?usp=sharing" TargetMode="External"/><Relationship Id="rId110" Type="http://schemas.openxmlformats.org/officeDocument/2006/relationships/hyperlink" Target="https://drive.google.com/drive/folders/162IXpR_AL7k9_71PrL0OMhh4VUAMAd2E?usp=sharing" TargetMode="External"/><Relationship Id="rId14" Type="http://schemas.openxmlformats.org/officeDocument/2006/relationships/hyperlink" Target="https://drive.google.com/drive/folders/1nE89tuiq54uygP4vd6BKiShcSbk3CaXh?usp=sharing" TargetMode="External"/><Relationship Id="rId17" Type="http://schemas.openxmlformats.org/officeDocument/2006/relationships/hyperlink" Target="https://drive.google.com/drive/folders/1nE89tuiq54uygP4vd6BKiShcSbk3CaXh?usp=sharing" TargetMode="External"/><Relationship Id="rId16" Type="http://schemas.openxmlformats.org/officeDocument/2006/relationships/hyperlink" Target="https://drive.google.com/drive/folders/1nE89tuiq54uygP4vd6BKiShcSbk3CaXh?usp=sharing" TargetMode="External"/><Relationship Id="rId19" Type="http://schemas.openxmlformats.org/officeDocument/2006/relationships/hyperlink" Target="https://drive.google.com/file/d/1GEXu8PP3O5K5aZp5ozROrEFHNEoyFBvc/view?usp=sharing" TargetMode="External"/><Relationship Id="rId114" Type="http://schemas.openxmlformats.org/officeDocument/2006/relationships/hyperlink" Target="https://drive.google.com/file/d/16gJbXyM9jLD3s4lq58wn16mSMvuGBEP0/view?usp=sharing" TargetMode="External"/><Relationship Id="rId18" Type="http://schemas.openxmlformats.org/officeDocument/2006/relationships/hyperlink" Target="https://drive.google.com/file/d/15dv-wwsI3PbZM9E_OMgC2H0bU__H6RMr/view?usp=sharing" TargetMode="External"/><Relationship Id="rId113" Type="http://schemas.openxmlformats.org/officeDocument/2006/relationships/hyperlink" Target="https://drive.google.com/drive/folders/1QJb1W0hc69OkUcXeiQl6xqe5vkD8Cl0F?usp=sharing" TargetMode="External"/><Relationship Id="rId112" Type="http://schemas.openxmlformats.org/officeDocument/2006/relationships/hyperlink" Target="https://drive.google.com/file/d/1-bEt2zvtgkU7CJ5YEOKElkEgISSN80FN/view?usp=sharing" TargetMode="External"/><Relationship Id="rId111" Type="http://schemas.openxmlformats.org/officeDocument/2006/relationships/hyperlink" Target="https://drive.google.com/file/d/1mifKAQokfQgQDBUxoOlZe0qfiMd4cuFJ/view?usp=sharing" TargetMode="External"/><Relationship Id="rId84" Type="http://schemas.openxmlformats.org/officeDocument/2006/relationships/hyperlink" Target="https://docs.google.com/spreadsheets/d/1CsljpP6Q6Hw-DVUObgzKEsxG1GcaEzjY/edit?usp=sharing&amp;ouid=108762493780518575046&amp;rtpof=true&amp;sd=true" TargetMode="External"/><Relationship Id="rId83" Type="http://schemas.openxmlformats.org/officeDocument/2006/relationships/hyperlink" Target="https://drive.google.com/drive/folders/1werH06yBmHnsgVuJStG94TJ7dVgZ4RuO" TargetMode="External"/><Relationship Id="rId86" Type="http://schemas.openxmlformats.org/officeDocument/2006/relationships/hyperlink" Target="https://drive.google.com/drive/folders/1TkrPJzuEBSS01ZeFlFxjwVSmrTsn7-HC" TargetMode="External"/><Relationship Id="rId85" Type="http://schemas.openxmlformats.org/officeDocument/2006/relationships/hyperlink" Target="https://drive.google.com/drive/folders/1CnNZ344YtqQG73OUhAfmgHxCXxebakTg" TargetMode="External"/><Relationship Id="rId88" Type="http://schemas.openxmlformats.org/officeDocument/2006/relationships/hyperlink" Target="https://docs.google.com/spreadsheets/d/1kELDHN5BkFMBNgQ2n4MDGqW4SiOZI2VN/edit" TargetMode="External"/><Relationship Id="rId87" Type="http://schemas.openxmlformats.org/officeDocument/2006/relationships/hyperlink" Target="https://drive.google.com/drive/folders/1IeYQUvQjr347Cvc5HDmVqFChPm_wu-Pz" TargetMode="External"/><Relationship Id="rId89" Type="http://schemas.openxmlformats.org/officeDocument/2006/relationships/hyperlink" Target="https://docs.google.com/spreadsheets/d/1h8u-B3-GkpAZVXQuhQhUTtHCkeRM1RNM/edit" TargetMode="External"/><Relationship Id="rId80" Type="http://schemas.openxmlformats.org/officeDocument/2006/relationships/hyperlink" Target="https://drive.google.com/drive/folders/1uiZde6Mm9ukw6dLk81rYUhg8aJ0hXw3W?usp=sharing" TargetMode="External"/><Relationship Id="rId82" Type="http://schemas.openxmlformats.org/officeDocument/2006/relationships/hyperlink" Target="https://drive.google.com/drive/folders/1_qAH7FziR1swwZ96FBUQ-z42vZOzI5Xs" TargetMode="External"/><Relationship Id="rId81" Type="http://schemas.openxmlformats.org/officeDocument/2006/relationships/hyperlink" Target="https://drive.google.com/drive/folders/1tG-ZKz2IBoA-zobdwyon7Rgg3w9et4qb" TargetMode="External"/><Relationship Id="rId1" Type="http://schemas.openxmlformats.org/officeDocument/2006/relationships/comments" Target="../comments1.xml"/><Relationship Id="rId2" Type="http://schemas.openxmlformats.org/officeDocument/2006/relationships/hyperlink" Target="https://drive.google.com/file/d/1yypSO3Zcg2H6XdprQrbajYUQCIWj_9Qo/view?usp=sharing" TargetMode="External"/><Relationship Id="rId3" Type="http://schemas.openxmlformats.org/officeDocument/2006/relationships/hyperlink" Target="https://drive.google.com/file/d/1ArVsmjkBXlRuATeSSRyQ9XXWfuo4NJEt/view?usp=sharing" TargetMode="External"/><Relationship Id="rId4" Type="http://schemas.openxmlformats.org/officeDocument/2006/relationships/hyperlink" Target="https://drive.google.com/drive/u/0/folders/1NeeVokVL0UOA8AnRGCwDs7ACoNQXV_EP" TargetMode="External"/><Relationship Id="rId9" Type="http://schemas.openxmlformats.org/officeDocument/2006/relationships/hyperlink" Target="https://docs.google.com/document/d/1Ry_DcvtnyiqM3Ls9d9H_KyVs19yld0rW/edit?usp=sharing&amp;ouid=116882571820126477784&amp;rtpof=true&amp;sd=true" TargetMode="External"/><Relationship Id="rId140" Type="http://schemas.openxmlformats.org/officeDocument/2006/relationships/vmlDrawing" Target="../drawings/vmlDrawing1.vml"/><Relationship Id="rId5" Type="http://schemas.openxmlformats.org/officeDocument/2006/relationships/hyperlink" Target="https://docs.google.com/document/d/1tDp6Pi_wZabxQUC3WokBzbbtKyQC_SrD/edit?usp=sharing&amp;ouid=116882571820126477784&amp;rtpof=true&amp;sd=true" TargetMode="External"/><Relationship Id="rId6" Type="http://schemas.openxmlformats.org/officeDocument/2006/relationships/hyperlink" Target="https://drive.google.com/drive/u/0/folders/10aWV64qMA5fJwSdEBPREtH-AvRche6xV" TargetMode="External"/><Relationship Id="rId7" Type="http://schemas.openxmlformats.org/officeDocument/2006/relationships/hyperlink" Target="https://docs.google.com/document/d/1H8lz5t6Ul4Eu4a4j3V-6ZDjJJ9wQUfFI/edit?usp=sharing&amp;ouid=116882571820126477784&amp;rtpof=true&amp;sd=true" TargetMode="External"/><Relationship Id="rId8" Type="http://schemas.openxmlformats.org/officeDocument/2006/relationships/hyperlink" Target="https://docs.google.com/document/d/1XaC0eGGZjsseBtyHEAK-zt1rRjAY645S/edit?usp=sharing&amp;ouid=116882571820126477784&amp;rtpof=true&amp;sd=true" TargetMode="External"/><Relationship Id="rId73" Type="http://schemas.openxmlformats.org/officeDocument/2006/relationships/hyperlink" Target="https://drive.google.com/drive/folders/1OkrotXBtdN045YALAQIHM3WghgmOe8KH" TargetMode="External"/><Relationship Id="rId72" Type="http://schemas.openxmlformats.org/officeDocument/2006/relationships/hyperlink" Target="https://drive.google.com/drive/folders/1X-PytDYwzX5q3cTPleWEiXlWkA2yL4Nj" TargetMode="External"/><Relationship Id="rId75" Type="http://schemas.openxmlformats.org/officeDocument/2006/relationships/hyperlink" Target="https://drive.google.com/drive/folders/16xuPGygP5LtQ8BVotVnS4Vd_bNBwKuEf?usp=sharing" TargetMode="External"/><Relationship Id="rId74" Type="http://schemas.openxmlformats.org/officeDocument/2006/relationships/hyperlink" Target="https://drive.google.com/drive/folders/1KjwvpbKi1AE1hNrESrulKY1RHFbTvkpZ?usp=sharing" TargetMode="External"/><Relationship Id="rId77" Type="http://schemas.openxmlformats.org/officeDocument/2006/relationships/hyperlink" Target="https://drive.google.com/drive/folders/1v8RN5rOIe2Hmc23pb_g65Rn_enq11WV3?usp=sharing" TargetMode="External"/><Relationship Id="rId76" Type="http://schemas.openxmlformats.org/officeDocument/2006/relationships/hyperlink" Target="https://drive.google.com/drive/folders/1KMugiVNh_pW8feDhcC3o7aj9hVcgm919?usp=sharing" TargetMode="External"/><Relationship Id="rId79" Type="http://schemas.openxmlformats.org/officeDocument/2006/relationships/hyperlink" Target="https://drive.google.com/drive/folders/1GlFuWFvQ7YwCJd7w6vKfAiEuMG0N8s2L?usp=sharing" TargetMode="External"/><Relationship Id="rId78" Type="http://schemas.openxmlformats.org/officeDocument/2006/relationships/hyperlink" Target="https://drive.google.com/drive/folders/1Pr6zdTGz8wK_5sxhGxlKOSIwSB4PSi-X?usp=sharing" TargetMode="External"/><Relationship Id="rId71" Type="http://schemas.openxmlformats.org/officeDocument/2006/relationships/hyperlink" Target="https://drive.google.com/file/d/1BsgwzxT-9ZQxDkYW-UycedXUUzrgG_LX/view?usp=sharing" TargetMode="External"/><Relationship Id="rId70" Type="http://schemas.openxmlformats.org/officeDocument/2006/relationships/hyperlink" Target="https://drive.google.com/file/d/1P1PGVlWqmjAw-ubR8LqXbA0wuBTejmKK/view?usp=sharing" TargetMode="External"/><Relationship Id="rId139" Type="http://schemas.openxmlformats.org/officeDocument/2006/relationships/drawing" Target="../drawings/drawing4.xml"/><Relationship Id="rId138" Type="http://schemas.openxmlformats.org/officeDocument/2006/relationships/hyperlink" Target="https://drive.google.com/drive/folders/14OxH9L31EYzYaCK9SgNSbgzyN5LqILqZ?usp=sharing" TargetMode="External"/><Relationship Id="rId137" Type="http://schemas.openxmlformats.org/officeDocument/2006/relationships/hyperlink" Target="https://drive.google.com/drive/folders/1XXuXhv3NtqMvl0nx1x1mjRpC45oSHorc?usp=sharing" TargetMode="External"/><Relationship Id="rId132" Type="http://schemas.openxmlformats.org/officeDocument/2006/relationships/hyperlink" Target="https://drive.google.com/drive/folders/1y2WpZkp-88m3uI5buvezET4ybp-3VgdN" TargetMode="External"/><Relationship Id="rId131" Type="http://schemas.openxmlformats.org/officeDocument/2006/relationships/hyperlink" Target="https://docs.google.com/spreadsheets/d/1feADN_dOLtMYGecanFWRN4neWeichELsnk0PrEtMhpo/edit" TargetMode="External"/><Relationship Id="rId130" Type="http://schemas.openxmlformats.org/officeDocument/2006/relationships/hyperlink" Target="https://drive.google.com/drive/folders/189eLu8QEIYk3eS_2L3ijf9FzoDMvAG8g" TargetMode="External"/><Relationship Id="rId136" Type="http://schemas.openxmlformats.org/officeDocument/2006/relationships/hyperlink" Target="https://drive.google.com/drive/folders/1cyt_mG7INBQIdV0_2ijzTxhSJvN0qGe-?usp=sharing" TargetMode="External"/><Relationship Id="rId135" Type="http://schemas.openxmlformats.org/officeDocument/2006/relationships/hyperlink" Target="https://drive.google.com/drive/folders/1-7k41m6SzWE3W-GXw1oi9hvz1JgvrfhK?usp=sharing" TargetMode="External"/><Relationship Id="rId134" Type="http://schemas.openxmlformats.org/officeDocument/2006/relationships/hyperlink" Target="https://drive.google.com/drive/folders/1cwonZ-_uEAiuzGoZo_3bmszKR9lG8Kt_?usp=sharing" TargetMode="External"/><Relationship Id="rId133" Type="http://schemas.openxmlformats.org/officeDocument/2006/relationships/hyperlink" Target="https://drive.google.com/drive/folders/1Jx8kpoIPAkngj95t4Dmwz5wUQR0kVIBD?usp=sharing" TargetMode="External"/><Relationship Id="rId62" Type="http://schemas.openxmlformats.org/officeDocument/2006/relationships/hyperlink" Target="https://drive.google.com/file/d/1jwQOod65IghpVlgwnImGog-fD8HgC4Se/view?usp=sharing" TargetMode="External"/><Relationship Id="rId61" Type="http://schemas.openxmlformats.org/officeDocument/2006/relationships/hyperlink" Target="https://drive.google.com/drive/folders/1FQLfQmG5HjPFYcarz8_A0BpgjIICE8So?usp=sharing" TargetMode="External"/><Relationship Id="rId64" Type="http://schemas.openxmlformats.org/officeDocument/2006/relationships/hyperlink" Target="https://docs.google.com/spreadsheets/d/1qf8AkR2OXr1jni3gzeUJDz29bMKGNfcA_0pOkAu1z1Y/edit" TargetMode="External"/><Relationship Id="rId63" Type="http://schemas.openxmlformats.org/officeDocument/2006/relationships/hyperlink" Target="https://drive.google.com/file/d/1WKcqtEUpJAMWtt9ik-fzI1HFIbtwBVcV/view?usp=sharing" TargetMode="External"/><Relationship Id="rId66" Type="http://schemas.openxmlformats.org/officeDocument/2006/relationships/hyperlink" Target="https://www.aunap.gov.co/rendicion-de-cuentas/" TargetMode="External"/><Relationship Id="rId65" Type="http://schemas.openxmlformats.org/officeDocument/2006/relationships/hyperlink" Target="https://drive.google.com/drive/u/1/folders/1fdsn-NyYX0wWnU9eXIVwdDC_EYBJ9jRo" TargetMode="External"/><Relationship Id="rId68" Type="http://schemas.openxmlformats.org/officeDocument/2006/relationships/hyperlink" Target="https://drive.google.com/drive/folders/1stQ7abrVMkRv1Xn4XCk_B6By_TFRvzv_?usp=sharing" TargetMode="External"/><Relationship Id="rId67" Type="http://schemas.openxmlformats.org/officeDocument/2006/relationships/hyperlink" Target="https://drive.google.com/drive/folders/19XGt-n_00v6piPjgBFn0Y3GwOmTj7D6K?usp=sharing" TargetMode="External"/><Relationship Id="rId60" Type="http://schemas.openxmlformats.org/officeDocument/2006/relationships/hyperlink" Target="https://drive.google.com/drive/folders/1-zhOXKNuDw6dseUI9V2HCSPtmnrbyVfE?usp=sharing" TargetMode="External"/><Relationship Id="rId69" Type="http://schemas.openxmlformats.org/officeDocument/2006/relationships/hyperlink" Target="https://drive.google.com/file/d/1smkUL8QxFwqtU9VFphCIYs86sMk50zZO/view?usp=sharing" TargetMode="External"/><Relationship Id="rId51" Type="http://schemas.openxmlformats.org/officeDocument/2006/relationships/hyperlink" Target="https://drive.google.com/drive/folders/1g0_J6GkOcAihiro6pN1TCwb8yl9pwY9R" TargetMode="External"/><Relationship Id="rId50" Type="http://schemas.openxmlformats.org/officeDocument/2006/relationships/hyperlink" Target="https://drive.google.com/drive/folders/1aA0PrU4No-ZJgotdOnPMDO5u5Y_fBaO4" TargetMode="External"/><Relationship Id="rId53" Type="http://schemas.openxmlformats.org/officeDocument/2006/relationships/hyperlink" Target="https://drive.google.com/drive/folders/1j6VZ5R5DALYisVMB7gJE-Sf6Cxij0xPM?usp=sharing" TargetMode="External"/><Relationship Id="rId52" Type="http://schemas.openxmlformats.org/officeDocument/2006/relationships/hyperlink" Target="https://drive.google.com/drive/folders/1YnnHgo5Luy54h-sApi0gLnJ6yUtp4Lpm?usp=sharing" TargetMode="External"/><Relationship Id="rId55" Type="http://schemas.openxmlformats.org/officeDocument/2006/relationships/hyperlink" Target="https://drive.google.com/drive/folders/1Oyd481cD5uVNDyRAzGiiBZSogR2yflRk?usp=sharing" TargetMode="External"/><Relationship Id="rId54" Type="http://schemas.openxmlformats.org/officeDocument/2006/relationships/hyperlink" Target="https://drive.google.com/drive/folders/1xHnsvHtPuuLwGhsvLQWVaKDCk9kk8w9V?usp=sharing" TargetMode="External"/><Relationship Id="rId57" Type="http://schemas.openxmlformats.org/officeDocument/2006/relationships/hyperlink" Target="https://drive.google.com/drive/folders/100jB3zMjYmwOwI8M24_-eN0rWTSOqTUu?usp=sharing" TargetMode="External"/><Relationship Id="rId56" Type="http://schemas.openxmlformats.org/officeDocument/2006/relationships/hyperlink" Target="https://drive.google.com/drive/folders/1EssJmOrjbzxa4w-7OEYwh4LGpexjexS7?usp=sharing" TargetMode="External"/><Relationship Id="rId59" Type="http://schemas.openxmlformats.org/officeDocument/2006/relationships/hyperlink" Target="https://drive.google.com/drive/folders/1AIj78pHLgQ7gMmZbcSg3-NpNICNp4NWc?usp=sharing" TargetMode="External"/><Relationship Id="rId58" Type="http://schemas.openxmlformats.org/officeDocument/2006/relationships/hyperlink" Target="https://drive.google.com/file/d/1Kx4G10V7AV8ut-3rioeQ5t3N0_uyOO2Z/view?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drive.google.com/file/d/1yypSO3Zcg2H6XdprQrbajYUQCIWj_9Qo/view?usp=sharing" TargetMode="External"/><Relationship Id="rId2" Type="http://schemas.openxmlformats.org/officeDocument/2006/relationships/hyperlink" Target="https://drive.google.com/file/d/1ArVsmjkBXlRuATeSSRyQ9XXWfuo4NJEt/view?usp=sharing" TargetMode="External"/><Relationship Id="rId3"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drive.google.com/drive/u/0/folders/1NeeVokVL0UOA8AnRGCwDs7ACoNQXV_EP" TargetMode="External"/><Relationship Id="rId2"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docs.google.com/document/d/1tDp6Pi_wZabxQUC3WokBzbbtKyQC_SrD/edit?usp=sharing&amp;ouid=116882571820126477784&amp;rtpof=true&amp;sd=true" TargetMode="External"/><Relationship Id="rId2" Type="http://schemas.openxmlformats.org/officeDocument/2006/relationships/hyperlink" Target="https://drive.google.com/drive/u/0/folders/10aWV64qMA5fJwSdEBPREtH-AvRche6xV" TargetMode="External"/><Relationship Id="rId3" Type="http://schemas.openxmlformats.org/officeDocument/2006/relationships/hyperlink" Target="https://docs.google.com/document/d/1H8lz5t6Ul4Eu4a4j3V-6ZDjJJ9wQUfFI/edit?usp=sharing&amp;ouid=116882571820126477784&amp;rtpof=true&amp;sd=true" TargetMode="External"/><Relationship Id="rId4" Type="http://schemas.openxmlformats.org/officeDocument/2006/relationships/hyperlink" Target="https://docs.google.com/document/d/1XaC0eGGZjsseBtyHEAK-zt1rRjAY645S/edit?usp=sharing&amp;ouid=116882571820126477784&amp;rtpof=true&amp;sd=true" TargetMode="External"/><Relationship Id="rId5" Type="http://schemas.openxmlformats.org/officeDocument/2006/relationships/hyperlink" Target="https://docs.google.com/document/d/1Ry_DcvtnyiqM3Ls9d9H_KyVs19yld0rW/edit?usp=sharing&amp;ouid=116882571820126477784&amp;rtpof=true&amp;sd=true" TargetMode="External"/><Relationship Id="rId6" Type="http://schemas.openxmlformats.org/officeDocument/2006/relationships/hyperlink" Target="https://www.instagram.com/tv/CU-eTWzpfZ4/?utm_medium=copy_link" TargetMode="External"/><Relationship Id="rId7" Type="http://schemas.openxmlformats.org/officeDocument/2006/relationships/hyperlink" Target="https://www.aunap.gov.co/documentos/informes/RendicionCuentas/informe-de-memorias-rendicion-de-cuentas-2021.pdf" TargetMode="External"/><Relationship Id="rId8"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1" Type="http://schemas.openxmlformats.org/officeDocument/2006/relationships/hyperlink" Target="https://drive.google.com/drive/folders/1nE89tuiq54uygP4vd6BKiShcSbk3CaXh?usp=sharing" TargetMode="External"/><Relationship Id="rId10" Type="http://schemas.openxmlformats.org/officeDocument/2006/relationships/hyperlink" Target="https://drive.google.com/drive/folders/1kHuiQaQQm1dJnLVAe4TtxStWpJrxjVi-?usp=sharing" TargetMode="External"/><Relationship Id="rId13" Type="http://schemas.openxmlformats.org/officeDocument/2006/relationships/hyperlink" Target="https://drive.google.com/drive/folders/1nE89tuiq54uygP4vd6BKiShcSbk3CaXh?usp=sharing" TargetMode="External"/><Relationship Id="rId12" Type="http://schemas.openxmlformats.org/officeDocument/2006/relationships/hyperlink" Target="https://drive.google.com/drive/folders/1kHuiQaQQm1dJnLVAe4TtxStWpJrxjVi-?usp=sharing" TargetMode="External"/><Relationship Id="rId15" Type="http://schemas.openxmlformats.org/officeDocument/2006/relationships/drawing" Target="../drawings/drawing8.xml"/><Relationship Id="rId14" Type="http://schemas.openxmlformats.org/officeDocument/2006/relationships/hyperlink" Target="https://drive.google.com/drive/folders/1kHuiQaQQm1dJnLVAe4TtxStWpJrxjVi-?usp=sharing" TargetMode="External"/><Relationship Id="rId1" Type="http://schemas.openxmlformats.org/officeDocument/2006/relationships/hyperlink" Target="https://drive.google.com/drive/folders/1nE89tuiq54uygP4vd6BKiShcSbk3CaXh?usp=sharing" TargetMode="External"/><Relationship Id="rId2" Type="http://schemas.openxmlformats.org/officeDocument/2006/relationships/hyperlink" Target="https://drive.google.com/drive/folders/1kHuiQaQQm1dJnLVAe4TtxStWpJrxjVi-?usp=sharing" TargetMode="External"/><Relationship Id="rId3" Type="http://schemas.openxmlformats.org/officeDocument/2006/relationships/hyperlink" Target="https://drive.google.com/drive/folders/1nE89tuiq54uygP4vd6BKiShcSbk3CaXh?usp=sharing" TargetMode="External"/><Relationship Id="rId4" Type="http://schemas.openxmlformats.org/officeDocument/2006/relationships/hyperlink" Target="https://drive.google.com/drive/folders/1kHuiQaQQm1dJnLVAe4TtxStWpJrxjVi-?usp=sharing" TargetMode="External"/><Relationship Id="rId9" Type="http://schemas.openxmlformats.org/officeDocument/2006/relationships/hyperlink" Target="https://drive.google.com/drive/folders/1nE89tuiq54uygP4vd6BKiShcSbk3CaXh?usp=sharing" TargetMode="External"/><Relationship Id="rId5" Type="http://schemas.openxmlformats.org/officeDocument/2006/relationships/hyperlink" Target="https://drive.google.com/drive/folders/1nE89tuiq54uygP4vd6BKiShcSbk3CaXh?usp=sharing" TargetMode="External"/><Relationship Id="rId6" Type="http://schemas.openxmlformats.org/officeDocument/2006/relationships/hyperlink" Target="https://drive.google.com/drive/folders/1kHuiQaQQm1dJnLVAe4TtxStWpJrxjVi-?usp=sharing" TargetMode="External"/><Relationship Id="rId7" Type="http://schemas.openxmlformats.org/officeDocument/2006/relationships/hyperlink" Target="https://drive.google.com/drive/folders/1nE89tuiq54uygP4vd6BKiShcSbk3CaXh?usp=sharing" TargetMode="External"/><Relationship Id="rId8" Type="http://schemas.openxmlformats.org/officeDocument/2006/relationships/hyperlink" Target="https://drive.google.com/drive/folders/1kHuiQaQQm1dJnLVAe4TtxStWpJrxjVi-?usp=sharing"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drive.google.com/file/d/15dv-wwsI3PbZM9E_OMgC2H0bU__H6RMr/view?usp=sharing" TargetMode="External"/><Relationship Id="rId2"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2.63"/>
    <col customWidth="1" min="2" max="2" width="21.88"/>
    <col customWidth="1" min="3" max="3" width="2.63"/>
    <col customWidth="1" min="4" max="4" width="21.88"/>
    <col customWidth="1" min="5" max="5" width="2.63"/>
    <col customWidth="1" min="6" max="6" width="21.88"/>
    <col customWidth="1" min="7" max="7" width="2.63"/>
  </cols>
  <sheetData>
    <row r="1" ht="15.0" customHeight="1">
      <c r="A1" s="1" t="s">
        <v>0</v>
      </c>
      <c r="B1" s="1"/>
      <c r="C1" s="1"/>
      <c r="D1" s="1"/>
      <c r="E1" s="1"/>
      <c r="F1" s="1"/>
      <c r="G1" s="2"/>
    </row>
    <row r="2" ht="35.25" customHeight="1">
      <c r="A2" s="1"/>
      <c r="B2" s="3" t="s">
        <v>1</v>
      </c>
      <c r="C2" s="1"/>
      <c r="D2" s="3" t="s">
        <v>2</v>
      </c>
      <c r="E2" s="1"/>
      <c r="F2" s="3" t="s">
        <v>3</v>
      </c>
      <c r="G2" s="2"/>
    </row>
    <row r="3" ht="35.25" customHeight="1">
      <c r="A3" s="1"/>
      <c r="B3" s="3" t="s">
        <v>4</v>
      </c>
      <c r="C3" s="1"/>
      <c r="D3" s="3" t="s">
        <v>5</v>
      </c>
      <c r="E3" s="1"/>
      <c r="F3" s="3" t="s">
        <v>6</v>
      </c>
      <c r="G3" s="2"/>
    </row>
    <row r="4" ht="35.25" customHeight="1">
      <c r="A4" s="1"/>
      <c r="B4" s="3" t="s">
        <v>7</v>
      </c>
      <c r="C4" s="1"/>
      <c r="D4" s="3" t="s">
        <v>8</v>
      </c>
      <c r="E4" s="1"/>
      <c r="F4" s="3" t="s">
        <v>9</v>
      </c>
      <c r="G4" s="2"/>
    </row>
    <row r="5" ht="35.25" customHeight="1">
      <c r="A5" s="1"/>
      <c r="B5" s="3" t="s">
        <v>10</v>
      </c>
      <c r="C5" s="1"/>
      <c r="D5" s="3" t="s">
        <v>11</v>
      </c>
      <c r="E5" s="1"/>
      <c r="F5" s="3" t="s">
        <v>12</v>
      </c>
      <c r="G5" s="2"/>
    </row>
    <row r="6" ht="35.25" customHeight="1">
      <c r="A6" s="1"/>
      <c r="B6" s="3" t="s">
        <v>13</v>
      </c>
      <c r="C6" s="1"/>
      <c r="D6" s="3" t="s">
        <v>14</v>
      </c>
      <c r="E6" s="1"/>
      <c r="F6" s="3" t="s">
        <v>15</v>
      </c>
      <c r="G6" s="2"/>
    </row>
    <row r="7" ht="35.25" customHeight="1">
      <c r="A7" s="1"/>
      <c r="B7" s="3" t="s">
        <v>16</v>
      </c>
      <c r="C7" s="1"/>
      <c r="D7" s="3" t="s">
        <v>17</v>
      </c>
      <c r="E7" s="1"/>
      <c r="F7" s="3" t="s">
        <v>18</v>
      </c>
      <c r="G7" s="4"/>
    </row>
    <row r="8" ht="35.25" customHeight="1">
      <c r="A8" s="1"/>
      <c r="B8" s="3" t="s">
        <v>19</v>
      </c>
      <c r="C8" s="1"/>
      <c r="D8" s="3" t="s">
        <v>20</v>
      </c>
      <c r="E8" s="1"/>
      <c r="F8" s="3" t="s">
        <v>21</v>
      </c>
      <c r="G8" s="2"/>
    </row>
    <row r="9" ht="35.25" customHeight="1">
      <c r="A9" s="1"/>
      <c r="B9" s="3" t="s">
        <v>22</v>
      </c>
      <c r="C9" s="1"/>
      <c r="D9" s="3" t="s">
        <v>23</v>
      </c>
      <c r="E9" s="1"/>
      <c r="F9" s="1"/>
      <c r="G9" s="2"/>
    </row>
    <row r="10" ht="15.0" customHeight="1">
      <c r="A10" s="2"/>
      <c r="B10" s="2"/>
      <c r="C10" s="2"/>
      <c r="D10" s="2"/>
      <c r="E10" s="2"/>
      <c r="F10" s="2"/>
      <c r="G10" s="2"/>
    </row>
  </sheetData>
  <hyperlinks>
    <hyperlink display="Administrativa" location="Administrativa!A1" ref="B2"/>
    <hyperlink display="Financiera" location="Financiera!A1" ref="D2"/>
    <hyperlink display="R_Barrancabermeja" location="R_Barrancabermeja!A1" ref="F2"/>
    <hyperlink display="A_Ciudadano" location="A_Ciudadano!A1" ref="B3"/>
    <hyperlink display="G_Documental" location="G_Documental!A1" ref="D3"/>
    <hyperlink display="R_Barranquilla" location="R_Barranquilla!A1" ref="F3"/>
    <hyperlink display="Comunicaciones" location="Comunicaciones!A1" ref="B4"/>
    <hyperlink display="OA_Juridica" location="OA_Juridica!A1" ref="D4"/>
    <hyperlink display="R_Bogota" location="R_Bogota!A1" ref="F4"/>
    <hyperlink display="Contratos" location="Contratos!A1" ref="B5"/>
    <hyperlink display="OGCI" location="OGCI!A1" ref="D5"/>
    <hyperlink display="R_Cali" location="R_Cali!A1" ref="F5"/>
    <hyperlink display="C_Interno" location="C_Interno!A1" ref="B6"/>
    <hyperlink display="Planeación" location="Planeación!A1" ref="D6"/>
    <hyperlink display="R_Magangue" location="R_Magangue!A1" ref="F6"/>
    <hyperlink display="CI_Disciplinario" location="CI_Disciplinario!A1" ref="B7"/>
    <hyperlink display="Sistemas" location="Sistemas!A1" ref="D7"/>
    <hyperlink display="R_Medellin" location="R_Medellin!A1" ref="F7"/>
    <hyperlink display="DTAF" location="DTAF!A1" ref="B8"/>
    <hyperlink display="T_Humano" location="Sistemas!A1" ref="D8"/>
    <hyperlink display="R_Villavicencio" location="R_Villavicencio!A1" ref="F8"/>
    <hyperlink display="DTIV" location="DTIV!A1" ref="B9"/>
    <hyperlink display="Consolidado" location="Consolidado!A1" ref="D9"/>
  </hyperlink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21" width="15.75"/>
    <col customWidth="1" min="22" max="22" width="15.75"/>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4" width="21.0"/>
    <col customWidth="1" min="35" max="35" width="22.88"/>
    <col customWidth="1" min="36" max="36" width="21.75"/>
    <col customWidth="1" min="37" max="37" width="20.25"/>
    <col customWidth="1" min="38" max="38" width="15.75"/>
    <col customWidth="1" min="39" max="39" width="15.63"/>
    <col customWidth="1" min="40" max="40" width="16.38"/>
    <col customWidth="1" min="41" max="41" width="18.25"/>
    <col customWidth="1" min="42" max="42" width="3.88"/>
  </cols>
  <sheetData>
    <row r="1" ht="33.75" customHeight="1">
      <c r="A1" s="85"/>
      <c r="B1" s="86" t="s">
        <v>108</v>
      </c>
      <c r="C1" s="87"/>
      <c r="D1" s="88"/>
      <c r="E1" s="89"/>
      <c r="F1" s="90"/>
      <c r="G1" s="90"/>
      <c r="H1" s="90"/>
      <c r="I1" s="90"/>
      <c r="J1" s="90"/>
      <c r="K1" s="90"/>
      <c r="L1" s="90"/>
      <c r="M1" s="90"/>
      <c r="N1" s="90"/>
      <c r="O1" s="90"/>
      <c r="P1" s="90"/>
      <c r="Q1" s="90"/>
      <c r="R1" s="90"/>
      <c r="S1" s="90"/>
      <c r="T1" s="90"/>
      <c r="U1" s="90"/>
      <c r="V1" s="90"/>
      <c r="W1" s="90"/>
      <c r="X1" s="90"/>
      <c r="Y1" s="90"/>
      <c r="Z1" s="90"/>
      <c r="AA1" s="90"/>
      <c r="AB1" s="90"/>
      <c r="AC1" s="90"/>
      <c r="AD1" s="90"/>
      <c r="AE1" s="90"/>
      <c r="AF1" s="88"/>
      <c r="AG1" s="91" t="s">
        <v>109</v>
      </c>
      <c r="AH1" s="92">
        <v>1.0</v>
      </c>
      <c r="AI1" s="93" t="s">
        <v>110</v>
      </c>
      <c r="AJ1" s="94"/>
      <c r="AK1" s="95"/>
      <c r="AL1" s="96">
        <v>43466.0</v>
      </c>
      <c r="AM1" s="97">
        <f>Alertas!B6</f>
        <v>44582</v>
      </c>
      <c r="AN1" s="96">
        <f>TODAY()-1</f>
        <v>44714</v>
      </c>
      <c r="AO1" s="93"/>
      <c r="AP1" s="93"/>
    </row>
    <row r="2" ht="33.75" customHeight="1">
      <c r="A2" s="85"/>
      <c r="B2" s="88"/>
      <c r="C2" s="98"/>
      <c r="D2" s="99"/>
      <c r="E2" s="88"/>
      <c r="F2" s="100"/>
      <c r="G2" s="88"/>
      <c r="H2" s="88"/>
      <c r="I2" s="88"/>
      <c r="J2" s="88"/>
      <c r="K2" s="88"/>
      <c r="L2" s="88"/>
      <c r="M2" s="88"/>
      <c r="N2" s="88"/>
      <c r="O2" s="88"/>
      <c r="P2" s="88"/>
      <c r="Q2" s="88"/>
      <c r="R2" s="88"/>
      <c r="S2" s="88"/>
      <c r="T2" s="88"/>
      <c r="U2" s="88"/>
      <c r="V2" s="88"/>
      <c r="W2" s="88"/>
      <c r="X2" s="88"/>
      <c r="Y2" s="88"/>
      <c r="Z2" s="88"/>
      <c r="AA2" s="88"/>
      <c r="AB2" s="88"/>
      <c r="AC2" s="88"/>
      <c r="AD2" s="88"/>
      <c r="AE2" s="88"/>
      <c r="AF2" s="17"/>
      <c r="AG2" s="101" t="s">
        <v>111</v>
      </c>
      <c r="AH2" s="102"/>
      <c r="AI2" s="103"/>
      <c r="AJ2" s="104" t="s">
        <v>112</v>
      </c>
      <c r="AK2" s="103"/>
      <c r="AL2" s="104" t="s">
        <v>113</v>
      </c>
      <c r="AM2" s="102"/>
      <c r="AN2" s="102"/>
      <c r="AO2" s="103"/>
      <c r="AP2" s="105"/>
    </row>
    <row r="3" ht="33.75" customHeight="1">
      <c r="A3" s="106"/>
      <c r="B3" s="171" t="s">
        <v>40</v>
      </c>
      <c r="C3" s="172" t="s">
        <v>41</v>
      </c>
      <c r="D3" s="173" t="s">
        <v>42</v>
      </c>
      <c r="E3" s="173" t="s">
        <v>43</v>
      </c>
      <c r="F3" s="174" t="s">
        <v>44</v>
      </c>
      <c r="G3" s="175" t="s">
        <v>45</v>
      </c>
      <c r="H3" s="173" t="s">
        <v>46</v>
      </c>
      <c r="I3" s="175" t="s">
        <v>47</v>
      </c>
      <c r="J3" s="175" t="s">
        <v>48</v>
      </c>
      <c r="K3" s="175" t="s">
        <v>49</v>
      </c>
      <c r="L3" s="175" t="s">
        <v>50</v>
      </c>
      <c r="M3" s="173" t="s">
        <v>51</v>
      </c>
      <c r="N3" s="173" t="s">
        <v>52</v>
      </c>
      <c r="O3" s="175" t="s">
        <v>53</v>
      </c>
      <c r="P3" s="175" t="s">
        <v>54</v>
      </c>
      <c r="Q3" s="173" t="s">
        <v>55</v>
      </c>
      <c r="R3" s="173" t="s">
        <v>56</v>
      </c>
      <c r="S3" s="175" t="s">
        <v>57</v>
      </c>
      <c r="T3" s="175" t="s">
        <v>58</v>
      </c>
      <c r="U3" s="175" t="s">
        <v>59</v>
      </c>
      <c r="V3" s="175" t="s">
        <v>60</v>
      </c>
      <c r="W3" s="173" t="s">
        <v>61</v>
      </c>
      <c r="X3" s="172" t="s">
        <v>62</v>
      </c>
      <c r="Y3" s="172" t="s">
        <v>63</v>
      </c>
      <c r="Z3" s="172" t="s">
        <v>64</v>
      </c>
      <c r="AA3" s="172" t="s">
        <v>65</v>
      </c>
      <c r="AB3" s="172" t="s">
        <v>66</v>
      </c>
      <c r="AC3" s="172" t="s">
        <v>67</v>
      </c>
      <c r="AD3" s="172" t="s">
        <v>68</v>
      </c>
      <c r="AE3" s="172" t="s">
        <v>69</v>
      </c>
      <c r="AF3" s="176" t="s">
        <v>70</v>
      </c>
      <c r="AG3" s="113" t="s">
        <v>71</v>
      </c>
      <c r="AH3" s="114" t="s">
        <v>72</v>
      </c>
      <c r="AI3" s="115" t="s">
        <v>73</v>
      </c>
      <c r="AJ3" s="116" t="s">
        <v>114</v>
      </c>
      <c r="AK3" s="117" t="s">
        <v>115</v>
      </c>
      <c r="AL3" s="113" t="s">
        <v>74</v>
      </c>
      <c r="AM3" s="114" t="s">
        <v>116</v>
      </c>
      <c r="AN3" s="114" t="s">
        <v>76</v>
      </c>
      <c r="AO3" s="117" t="s">
        <v>117</v>
      </c>
      <c r="AP3" s="105"/>
    </row>
    <row r="4" ht="67.5" customHeight="1">
      <c r="A4" s="118"/>
      <c r="B4" s="177">
        <v>36.0</v>
      </c>
      <c r="C4" s="178" t="s">
        <v>269</v>
      </c>
      <c r="D4" s="178" t="s">
        <v>270</v>
      </c>
      <c r="E4" s="178" t="s">
        <v>119</v>
      </c>
      <c r="F4" s="179">
        <v>2.018011000241E12</v>
      </c>
      <c r="G4" s="180" t="s">
        <v>120</v>
      </c>
      <c r="H4" s="178" t="s">
        <v>144</v>
      </c>
      <c r="I4" s="178" t="s">
        <v>145</v>
      </c>
      <c r="J4" s="178" t="s">
        <v>146</v>
      </c>
      <c r="K4" s="181" t="s">
        <v>147</v>
      </c>
      <c r="L4" s="181" t="s">
        <v>125</v>
      </c>
      <c r="M4" s="181" t="s">
        <v>126</v>
      </c>
      <c r="N4" s="182" t="s">
        <v>271</v>
      </c>
      <c r="O4" s="183"/>
      <c r="P4" s="190">
        <v>1.0</v>
      </c>
      <c r="Q4" s="185" t="s">
        <v>272</v>
      </c>
      <c r="R4" s="186" t="s">
        <v>128</v>
      </c>
      <c r="S4" s="190">
        <v>0.0</v>
      </c>
      <c r="T4" s="190">
        <v>0.0</v>
      </c>
      <c r="U4" s="190">
        <v>0.0</v>
      </c>
      <c r="V4" s="190">
        <v>1.0</v>
      </c>
      <c r="W4" s="187" t="s">
        <v>273</v>
      </c>
      <c r="X4" s="180" t="s">
        <v>274</v>
      </c>
      <c r="Y4" s="178" t="s">
        <v>275</v>
      </c>
      <c r="Z4" s="180" t="s">
        <v>276</v>
      </c>
      <c r="AA4" s="178" t="s">
        <v>159</v>
      </c>
      <c r="AB4" s="178" t="s">
        <v>180</v>
      </c>
      <c r="AC4" s="178" t="s">
        <v>135</v>
      </c>
      <c r="AD4" s="178" t="s">
        <v>228</v>
      </c>
      <c r="AE4" s="178" t="s">
        <v>228</v>
      </c>
      <c r="AF4" s="188" t="s">
        <v>138</v>
      </c>
      <c r="AG4" s="189">
        <v>1.0</v>
      </c>
      <c r="AH4" s="133" t="s">
        <v>277</v>
      </c>
      <c r="AI4" s="204" t="s">
        <v>278</v>
      </c>
      <c r="AJ4" s="224">
        <v>1.0</v>
      </c>
      <c r="AK4" s="133" t="s">
        <v>279</v>
      </c>
      <c r="AL4" s="134">
        <f t="shared" ref="AL4:AL6" si="1">$AM$1</f>
        <v>44582</v>
      </c>
      <c r="AM4" s="135">
        <f t="shared" ref="AM4:AM6" si="2">AL4-$AN$1</f>
        <v>-132</v>
      </c>
      <c r="AN4" s="136" t="str">
        <f t="shared" ref="AN4:AN6" si="3">IF(ISBLANK(AG4),"Pend. Ejec. Trim."&amp;CHAR(10),)&amp;
IF(ISBLANK(AH4),"Pend. Just. Trim."&amp;CHAR(10),)&amp;
IF(ISBLANK(AI4),"Pend. Evid. Trim."&amp;CHAR(10),)&amp;
IF(ISBLANK(AJ4),"Pend. Ejec. Año"&amp;CHAR(10),)&amp;
IF(ISBLANK(AK4),"Pend. Evid. Año",)&amp;
IF(OR(ISBLANK(AG4),ISBLANK(AH4),ISBLANK(AI4),ISBLANK(AJ4),ISBLANK(AK4)),,"Reporte ok")</f>
        <v>Reporte ok</v>
      </c>
      <c r="AO4" s="137"/>
      <c r="AP4" s="138"/>
    </row>
    <row r="5" ht="67.5" customHeight="1">
      <c r="A5" s="118"/>
      <c r="B5" s="177">
        <v>37.0</v>
      </c>
      <c r="C5" s="178" t="s">
        <v>269</v>
      </c>
      <c r="D5" s="178" t="s">
        <v>270</v>
      </c>
      <c r="E5" s="178" t="s">
        <v>119</v>
      </c>
      <c r="F5" s="179">
        <v>2.018011000241E12</v>
      </c>
      <c r="G5" s="180" t="s">
        <v>120</v>
      </c>
      <c r="H5" s="178" t="s">
        <v>144</v>
      </c>
      <c r="I5" s="178" t="s">
        <v>145</v>
      </c>
      <c r="J5" s="178" t="s">
        <v>146</v>
      </c>
      <c r="K5" s="181" t="s">
        <v>147</v>
      </c>
      <c r="L5" s="181" t="s">
        <v>125</v>
      </c>
      <c r="M5" s="181" t="s">
        <v>148</v>
      </c>
      <c r="N5" s="182" t="s">
        <v>280</v>
      </c>
      <c r="O5" s="183"/>
      <c r="P5" s="184">
        <v>1.0</v>
      </c>
      <c r="Q5" s="185" t="s">
        <v>281</v>
      </c>
      <c r="R5" s="186" t="s">
        <v>170</v>
      </c>
      <c r="S5" s="184">
        <v>0.25</v>
      </c>
      <c r="T5" s="184">
        <v>0.25</v>
      </c>
      <c r="U5" s="184">
        <v>0.25</v>
      </c>
      <c r="V5" s="184">
        <v>0.25</v>
      </c>
      <c r="W5" s="187" t="s">
        <v>273</v>
      </c>
      <c r="X5" s="180" t="s">
        <v>274</v>
      </c>
      <c r="Y5" s="178" t="s">
        <v>275</v>
      </c>
      <c r="Z5" s="180" t="s">
        <v>276</v>
      </c>
      <c r="AA5" s="178" t="s">
        <v>159</v>
      </c>
      <c r="AB5" s="178" t="s">
        <v>180</v>
      </c>
      <c r="AC5" s="178" t="s">
        <v>135</v>
      </c>
      <c r="AD5" s="178" t="s">
        <v>228</v>
      </c>
      <c r="AE5" s="178" t="s">
        <v>228</v>
      </c>
      <c r="AF5" s="188" t="s">
        <v>138</v>
      </c>
      <c r="AG5" s="189">
        <v>0.25</v>
      </c>
      <c r="AH5" s="133" t="s">
        <v>282</v>
      </c>
      <c r="AI5" s="140" t="s">
        <v>283</v>
      </c>
      <c r="AJ5" s="189">
        <v>1.0</v>
      </c>
      <c r="AK5" s="133" t="s">
        <v>284</v>
      </c>
      <c r="AL5" s="134">
        <f t="shared" si="1"/>
        <v>44582</v>
      </c>
      <c r="AM5" s="135">
        <f t="shared" si="2"/>
        <v>-132</v>
      </c>
      <c r="AN5" s="136" t="str">
        <f t="shared" si="3"/>
        <v>Reporte ok</v>
      </c>
      <c r="AO5" s="137"/>
      <c r="AP5" s="138"/>
    </row>
    <row r="6" ht="67.5" customHeight="1">
      <c r="A6" s="118"/>
      <c r="B6" s="177">
        <v>38.0</v>
      </c>
      <c r="C6" s="178" t="s">
        <v>269</v>
      </c>
      <c r="D6" s="178" t="s">
        <v>270</v>
      </c>
      <c r="E6" s="178" t="s">
        <v>119</v>
      </c>
      <c r="F6" s="179">
        <v>2.018011000241E12</v>
      </c>
      <c r="G6" s="180" t="s">
        <v>120</v>
      </c>
      <c r="H6" s="178" t="s">
        <v>144</v>
      </c>
      <c r="I6" s="178" t="s">
        <v>145</v>
      </c>
      <c r="J6" s="178" t="s">
        <v>146</v>
      </c>
      <c r="K6" s="181" t="s">
        <v>147</v>
      </c>
      <c r="L6" s="181" t="s">
        <v>125</v>
      </c>
      <c r="M6" s="181" t="s">
        <v>126</v>
      </c>
      <c r="N6" s="182" t="s">
        <v>285</v>
      </c>
      <c r="O6" s="183"/>
      <c r="P6" s="190">
        <v>11.0</v>
      </c>
      <c r="Q6" s="185" t="s">
        <v>286</v>
      </c>
      <c r="R6" s="186" t="s">
        <v>170</v>
      </c>
      <c r="S6" s="190">
        <v>2.0</v>
      </c>
      <c r="T6" s="190">
        <v>3.0</v>
      </c>
      <c r="U6" s="190">
        <v>3.0</v>
      </c>
      <c r="V6" s="190">
        <v>3.0</v>
      </c>
      <c r="W6" s="187" t="s">
        <v>273</v>
      </c>
      <c r="X6" s="180" t="s">
        <v>274</v>
      </c>
      <c r="Y6" s="178" t="s">
        <v>275</v>
      </c>
      <c r="Z6" s="180" t="s">
        <v>276</v>
      </c>
      <c r="AA6" s="178" t="s">
        <v>159</v>
      </c>
      <c r="AB6" s="178" t="s">
        <v>180</v>
      </c>
      <c r="AC6" s="178" t="s">
        <v>135</v>
      </c>
      <c r="AD6" s="178" t="s">
        <v>228</v>
      </c>
      <c r="AE6" s="178" t="s">
        <v>228</v>
      </c>
      <c r="AF6" s="188" t="s">
        <v>138</v>
      </c>
      <c r="AG6" s="191">
        <v>3.0</v>
      </c>
      <c r="AH6" s="133" t="s">
        <v>287</v>
      </c>
      <c r="AI6" s="205" t="s">
        <v>288</v>
      </c>
      <c r="AJ6" s="224">
        <v>11.0</v>
      </c>
      <c r="AK6" s="133" t="s">
        <v>289</v>
      </c>
      <c r="AL6" s="134">
        <f t="shared" si="1"/>
        <v>44582</v>
      </c>
      <c r="AM6" s="135">
        <f t="shared" si="2"/>
        <v>-132</v>
      </c>
      <c r="AN6" s="136" t="str">
        <f t="shared" si="3"/>
        <v>Reporte ok</v>
      </c>
      <c r="AO6" s="137"/>
      <c r="AP6" s="138"/>
    </row>
    <row r="7" ht="67.5" customHeight="1">
      <c r="A7" s="118"/>
      <c r="B7" s="177"/>
      <c r="C7" s="178"/>
      <c r="D7" s="178"/>
      <c r="E7" s="178"/>
      <c r="F7" s="179"/>
      <c r="G7" s="180"/>
      <c r="H7" s="178"/>
      <c r="I7" s="178"/>
      <c r="J7" s="178"/>
      <c r="K7" s="181"/>
      <c r="L7" s="181"/>
      <c r="M7" s="181"/>
      <c r="N7" s="182"/>
      <c r="O7" s="183"/>
      <c r="P7" s="190"/>
      <c r="Q7" s="185"/>
      <c r="R7" s="186"/>
      <c r="S7" s="190"/>
      <c r="T7" s="190"/>
      <c r="U7" s="190"/>
      <c r="V7" s="190"/>
      <c r="W7" s="187"/>
      <c r="X7" s="180"/>
      <c r="Y7" s="178"/>
      <c r="Z7" s="180"/>
      <c r="AA7" s="178"/>
      <c r="AB7" s="178"/>
      <c r="AC7" s="178"/>
      <c r="AD7" s="178"/>
      <c r="AE7" s="178"/>
      <c r="AF7" s="188"/>
      <c r="AG7" s="146"/>
      <c r="AH7" s="147"/>
      <c r="AI7" s="148"/>
      <c r="AJ7" s="149"/>
      <c r="AK7" s="133"/>
      <c r="AL7" s="134"/>
      <c r="AM7" s="135"/>
      <c r="AN7" s="136"/>
      <c r="AO7" s="137"/>
      <c r="AP7" s="138"/>
    </row>
    <row r="8" ht="67.5" customHeight="1">
      <c r="A8" s="118"/>
      <c r="B8" s="177"/>
      <c r="C8" s="178"/>
      <c r="D8" s="178"/>
      <c r="E8" s="178"/>
      <c r="F8" s="179"/>
      <c r="G8" s="180"/>
      <c r="H8" s="178"/>
      <c r="I8" s="178"/>
      <c r="J8" s="178"/>
      <c r="K8" s="181"/>
      <c r="L8" s="181"/>
      <c r="M8" s="181"/>
      <c r="N8" s="182"/>
      <c r="O8" s="183"/>
      <c r="P8" s="190"/>
      <c r="Q8" s="185"/>
      <c r="R8" s="186"/>
      <c r="S8" s="190"/>
      <c r="T8" s="190"/>
      <c r="U8" s="190"/>
      <c r="V8" s="190"/>
      <c r="W8" s="187"/>
      <c r="X8" s="180"/>
      <c r="Y8" s="178"/>
      <c r="Z8" s="180"/>
      <c r="AA8" s="178"/>
      <c r="AB8" s="178"/>
      <c r="AC8" s="178"/>
      <c r="AD8" s="178"/>
      <c r="AE8" s="178"/>
      <c r="AF8" s="188"/>
      <c r="AG8" s="146"/>
      <c r="AH8" s="147"/>
      <c r="AI8" s="148"/>
      <c r="AJ8" s="149"/>
      <c r="AK8" s="133"/>
      <c r="AL8" s="134"/>
      <c r="AM8" s="135"/>
      <c r="AN8" s="136"/>
      <c r="AO8" s="137"/>
      <c r="AP8" s="138"/>
    </row>
    <row r="9" ht="67.5" customHeight="1">
      <c r="A9" s="118"/>
      <c r="B9" s="177"/>
      <c r="C9" s="178"/>
      <c r="D9" s="178"/>
      <c r="E9" s="178"/>
      <c r="F9" s="179"/>
      <c r="G9" s="180"/>
      <c r="H9" s="178"/>
      <c r="I9" s="178"/>
      <c r="J9" s="178"/>
      <c r="K9" s="181"/>
      <c r="L9" s="181"/>
      <c r="M9" s="181"/>
      <c r="N9" s="182"/>
      <c r="O9" s="183"/>
      <c r="P9" s="190"/>
      <c r="Q9" s="185"/>
      <c r="R9" s="186"/>
      <c r="S9" s="190"/>
      <c r="T9" s="190"/>
      <c r="U9" s="190"/>
      <c r="V9" s="190"/>
      <c r="W9" s="187"/>
      <c r="X9" s="180"/>
      <c r="Y9" s="178"/>
      <c r="Z9" s="180"/>
      <c r="AA9" s="178"/>
      <c r="AB9" s="178"/>
      <c r="AC9" s="178"/>
      <c r="AD9" s="178"/>
      <c r="AE9" s="178"/>
      <c r="AF9" s="188"/>
      <c r="AG9" s="146"/>
      <c r="AH9" s="147"/>
      <c r="AI9" s="148"/>
      <c r="AJ9" s="149"/>
      <c r="AK9" s="133"/>
      <c r="AL9" s="134"/>
      <c r="AM9" s="135"/>
      <c r="AN9" s="136"/>
      <c r="AO9" s="137"/>
      <c r="AP9" s="138"/>
    </row>
    <row r="10" ht="67.5" customHeight="1">
      <c r="A10" s="118"/>
      <c r="B10" s="177"/>
      <c r="C10" s="178"/>
      <c r="D10" s="178"/>
      <c r="E10" s="178"/>
      <c r="F10" s="179"/>
      <c r="G10" s="180"/>
      <c r="H10" s="178"/>
      <c r="I10" s="178"/>
      <c r="J10" s="178"/>
      <c r="K10" s="181"/>
      <c r="L10" s="181"/>
      <c r="M10" s="181"/>
      <c r="N10" s="182"/>
      <c r="O10" s="183"/>
      <c r="P10" s="190"/>
      <c r="Q10" s="185"/>
      <c r="R10" s="186"/>
      <c r="S10" s="190"/>
      <c r="T10" s="190"/>
      <c r="U10" s="190"/>
      <c r="V10" s="190"/>
      <c r="W10" s="187"/>
      <c r="X10" s="180"/>
      <c r="Y10" s="178"/>
      <c r="Z10" s="180"/>
      <c r="AA10" s="178"/>
      <c r="AB10" s="178"/>
      <c r="AC10" s="178"/>
      <c r="AD10" s="178"/>
      <c r="AE10" s="178"/>
      <c r="AF10" s="188"/>
      <c r="AG10" s="146"/>
      <c r="AH10" s="147"/>
      <c r="AI10" s="148"/>
      <c r="AJ10" s="149"/>
      <c r="AK10" s="133"/>
      <c r="AL10" s="134"/>
      <c r="AM10" s="135"/>
      <c r="AN10" s="136"/>
      <c r="AO10" s="137"/>
      <c r="AP10" s="138"/>
    </row>
    <row r="11" ht="67.5" customHeight="1">
      <c r="A11" s="118"/>
      <c r="B11" s="177"/>
      <c r="C11" s="178"/>
      <c r="D11" s="178"/>
      <c r="E11" s="178"/>
      <c r="F11" s="179"/>
      <c r="G11" s="180"/>
      <c r="H11" s="178"/>
      <c r="I11" s="178"/>
      <c r="J11" s="178"/>
      <c r="K11" s="181"/>
      <c r="L11" s="181"/>
      <c r="M11" s="181"/>
      <c r="N11" s="182"/>
      <c r="O11" s="183"/>
      <c r="P11" s="190"/>
      <c r="Q11" s="185"/>
      <c r="R11" s="186"/>
      <c r="S11" s="190"/>
      <c r="T11" s="190"/>
      <c r="U11" s="190"/>
      <c r="V11" s="190"/>
      <c r="W11" s="187"/>
      <c r="X11" s="180"/>
      <c r="Y11" s="178"/>
      <c r="Z11" s="180"/>
      <c r="AA11" s="178"/>
      <c r="AB11" s="178"/>
      <c r="AC11" s="178"/>
      <c r="AD11" s="178"/>
      <c r="AE11" s="178"/>
      <c r="AF11" s="188"/>
      <c r="AG11" s="146"/>
      <c r="AH11" s="147"/>
      <c r="AI11" s="148"/>
      <c r="AJ11" s="149"/>
      <c r="AK11" s="133"/>
      <c r="AL11" s="134"/>
      <c r="AM11" s="135"/>
      <c r="AN11" s="136"/>
      <c r="AO11" s="137"/>
      <c r="AP11" s="138"/>
    </row>
    <row r="12" ht="67.5" customHeight="1">
      <c r="A12" s="118"/>
      <c r="B12" s="177"/>
      <c r="C12" s="178"/>
      <c r="D12" s="178"/>
      <c r="E12" s="178"/>
      <c r="F12" s="179"/>
      <c r="G12" s="180"/>
      <c r="H12" s="178"/>
      <c r="I12" s="178"/>
      <c r="J12" s="178"/>
      <c r="K12" s="181"/>
      <c r="L12" s="181"/>
      <c r="M12" s="181"/>
      <c r="N12" s="182"/>
      <c r="O12" s="183"/>
      <c r="P12" s="190"/>
      <c r="Q12" s="185"/>
      <c r="R12" s="186"/>
      <c r="S12" s="190"/>
      <c r="T12" s="190"/>
      <c r="U12" s="190"/>
      <c r="V12" s="190"/>
      <c r="W12" s="187"/>
      <c r="X12" s="180"/>
      <c r="Y12" s="178"/>
      <c r="Z12" s="180"/>
      <c r="AA12" s="178"/>
      <c r="AB12" s="178"/>
      <c r="AC12" s="178"/>
      <c r="AD12" s="178"/>
      <c r="AE12" s="178"/>
      <c r="AF12" s="188"/>
      <c r="AG12" s="146"/>
      <c r="AH12" s="147"/>
      <c r="AI12" s="148"/>
      <c r="AJ12" s="149"/>
      <c r="AK12" s="133"/>
      <c r="AL12" s="134"/>
      <c r="AM12" s="135"/>
      <c r="AN12" s="136"/>
      <c r="AO12" s="137"/>
      <c r="AP12" s="138"/>
    </row>
    <row r="13" ht="67.5" customHeight="1">
      <c r="A13" s="118"/>
      <c r="B13" s="177"/>
      <c r="C13" s="178"/>
      <c r="D13" s="178"/>
      <c r="E13" s="178"/>
      <c r="F13" s="179"/>
      <c r="G13" s="180"/>
      <c r="H13" s="178"/>
      <c r="I13" s="178"/>
      <c r="J13" s="178"/>
      <c r="K13" s="181"/>
      <c r="L13" s="181"/>
      <c r="M13" s="181"/>
      <c r="N13" s="182"/>
      <c r="O13" s="183"/>
      <c r="P13" s="190"/>
      <c r="Q13" s="185"/>
      <c r="R13" s="186"/>
      <c r="S13" s="190"/>
      <c r="T13" s="190"/>
      <c r="U13" s="190"/>
      <c r="V13" s="190"/>
      <c r="W13" s="187"/>
      <c r="X13" s="180"/>
      <c r="Y13" s="178"/>
      <c r="Z13" s="180"/>
      <c r="AA13" s="178"/>
      <c r="AB13" s="178"/>
      <c r="AC13" s="178"/>
      <c r="AD13" s="178"/>
      <c r="AE13" s="178"/>
      <c r="AF13" s="188"/>
      <c r="AG13" s="146"/>
      <c r="AH13" s="147"/>
      <c r="AI13" s="148"/>
      <c r="AJ13" s="149"/>
      <c r="AK13" s="133"/>
      <c r="AL13" s="134"/>
      <c r="AM13" s="135"/>
      <c r="AN13" s="136"/>
      <c r="AO13" s="137"/>
      <c r="AP13" s="138"/>
    </row>
    <row r="14" ht="67.5" customHeight="1">
      <c r="A14" s="118"/>
      <c r="B14" s="177"/>
      <c r="C14" s="178"/>
      <c r="D14" s="178"/>
      <c r="E14" s="178"/>
      <c r="F14" s="179"/>
      <c r="G14" s="180"/>
      <c r="H14" s="178"/>
      <c r="I14" s="178"/>
      <c r="J14" s="178"/>
      <c r="K14" s="181"/>
      <c r="L14" s="181"/>
      <c r="M14" s="181"/>
      <c r="N14" s="182"/>
      <c r="O14" s="183"/>
      <c r="P14" s="190"/>
      <c r="Q14" s="185"/>
      <c r="R14" s="186"/>
      <c r="S14" s="190"/>
      <c r="T14" s="190"/>
      <c r="U14" s="190"/>
      <c r="V14" s="190"/>
      <c r="W14" s="187"/>
      <c r="X14" s="180"/>
      <c r="Y14" s="178"/>
      <c r="Z14" s="180"/>
      <c r="AA14" s="178"/>
      <c r="AB14" s="178"/>
      <c r="AC14" s="178"/>
      <c r="AD14" s="178"/>
      <c r="AE14" s="178"/>
      <c r="AF14" s="188"/>
      <c r="AG14" s="146"/>
      <c r="AH14" s="147"/>
      <c r="AI14" s="148"/>
      <c r="AJ14" s="149"/>
      <c r="AK14" s="133"/>
      <c r="AL14" s="134"/>
      <c r="AM14" s="135"/>
      <c r="AN14" s="136"/>
      <c r="AO14" s="137"/>
      <c r="AP14" s="138"/>
    </row>
    <row r="15" ht="67.5" customHeight="1">
      <c r="A15" s="118"/>
      <c r="B15" s="177"/>
      <c r="C15" s="178"/>
      <c r="D15" s="178"/>
      <c r="E15" s="178"/>
      <c r="F15" s="179"/>
      <c r="G15" s="180"/>
      <c r="H15" s="178"/>
      <c r="I15" s="178"/>
      <c r="J15" s="178"/>
      <c r="K15" s="181"/>
      <c r="L15" s="181"/>
      <c r="M15" s="181"/>
      <c r="N15" s="182"/>
      <c r="O15" s="183"/>
      <c r="P15" s="190"/>
      <c r="Q15" s="185"/>
      <c r="R15" s="186"/>
      <c r="S15" s="190"/>
      <c r="T15" s="190"/>
      <c r="U15" s="190"/>
      <c r="V15" s="190"/>
      <c r="W15" s="187"/>
      <c r="X15" s="180"/>
      <c r="Y15" s="178"/>
      <c r="Z15" s="180"/>
      <c r="AA15" s="178"/>
      <c r="AB15" s="178"/>
      <c r="AC15" s="178"/>
      <c r="AD15" s="178"/>
      <c r="AE15" s="178"/>
      <c r="AF15" s="188"/>
      <c r="AG15" s="146"/>
      <c r="AH15" s="147"/>
      <c r="AI15" s="148"/>
      <c r="AJ15" s="149"/>
      <c r="AK15" s="133"/>
      <c r="AL15" s="134"/>
      <c r="AM15" s="135"/>
      <c r="AN15" s="136"/>
      <c r="AO15" s="137"/>
      <c r="AP15" s="138"/>
    </row>
    <row r="16" ht="67.5" customHeight="1">
      <c r="A16" s="118"/>
      <c r="B16" s="177"/>
      <c r="C16" s="178"/>
      <c r="D16" s="178"/>
      <c r="E16" s="178"/>
      <c r="F16" s="179"/>
      <c r="G16" s="180"/>
      <c r="H16" s="178"/>
      <c r="I16" s="178"/>
      <c r="J16" s="178"/>
      <c r="K16" s="181"/>
      <c r="L16" s="181"/>
      <c r="M16" s="181"/>
      <c r="N16" s="182"/>
      <c r="O16" s="183"/>
      <c r="P16" s="190"/>
      <c r="Q16" s="185"/>
      <c r="R16" s="186"/>
      <c r="S16" s="190"/>
      <c r="T16" s="190"/>
      <c r="U16" s="190"/>
      <c r="V16" s="190"/>
      <c r="W16" s="187"/>
      <c r="X16" s="180"/>
      <c r="Y16" s="178"/>
      <c r="Z16" s="180"/>
      <c r="AA16" s="178"/>
      <c r="AB16" s="178"/>
      <c r="AC16" s="178"/>
      <c r="AD16" s="178"/>
      <c r="AE16" s="178"/>
      <c r="AF16" s="188"/>
      <c r="AG16" s="146"/>
      <c r="AH16" s="147"/>
      <c r="AI16" s="148"/>
      <c r="AJ16" s="149"/>
      <c r="AK16" s="133"/>
      <c r="AL16" s="134"/>
      <c r="AM16" s="135"/>
      <c r="AN16" s="136"/>
      <c r="AO16" s="137"/>
      <c r="AP16" s="138"/>
    </row>
    <row r="17" ht="67.5" customHeight="1">
      <c r="A17" s="118"/>
      <c r="B17" s="192"/>
      <c r="C17" s="193"/>
      <c r="D17" s="193"/>
      <c r="E17" s="193"/>
      <c r="F17" s="194"/>
      <c r="G17" s="195"/>
      <c r="H17" s="193"/>
      <c r="I17" s="193"/>
      <c r="J17" s="193"/>
      <c r="K17" s="196"/>
      <c r="L17" s="196"/>
      <c r="M17" s="196"/>
      <c r="N17" s="197"/>
      <c r="O17" s="198"/>
      <c r="P17" s="199"/>
      <c r="Q17" s="200"/>
      <c r="R17" s="201"/>
      <c r="S17" s="199"/>
      <c r="T17" s="199"/>
      <c r="U17" s="199"/>
      <c r="V17" s="199"/>
      <c r="W17" s="202"/>
      <c r="X17" s="195"/>
      <c r="Y17" s="193"/>
      <c r="Z17" s="195"/>
      <c r="AA17" s="193"/>
      <c r="AB17" s="193"/>
      <c r="AC17" s="193"/>
      <c r="AD17" s="193"/>
      <c r="AE17" s="193"/>
      <c r="AF17" s="203"/>
      <c r="AG17" s="161"/>
      <c r="AH17" s="162"/>
      <c r="AI17" s="163"/>
      <c r="AJ17" s="164"/>
      <c r="AK17" s="165"/>
      <c r="AL17" s="166"/>
      <c r="AM17" s="167"/>
      <c r="AN17" s="168"/>
      <c r="AO17" s="169"/>
      <c r="AP17" s="138"/>
    </row>
    <row r="18" ht="15.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170"/>
      <c r="AH18" s="170"/>
      <c r="AI18" s="170"/>
      <c r="AJ18" s="88"/>
      <c r="AK18" s="88"/>
      <c r="AL18" s="88"/>
      <c r="AM18" s="88"/>
      <c r="AN18" s="88"/>
      <c r="AO18" s="88"/>
      <c r="AP18" s="88"/>
    </row>
  </sheetData>
  <autoFilter ref="$A$3:$AP$6"/>
  <mergeCells count="4">
    <mergeCell ref="B1:C1"/>
    <mergeCell ref="AG2:AI2"/>
    <mergeCell ref="AJ2:AK2"/>
    <mergeCell ref="AL2:AO2"/>
  </mergeCells>
  <conditionalFormatting sqref="AH4:AH6 AK4:AK17 AM4:AM17">
    <cfRule type="cellIs" dxfId="2" priority="1" operator="greaterThan">
      <formula>0</formula>
    </cfRule>
  </conditionalFormatting>
  <conditionalFormatting sqref="AH4:AH6 AK4:AK17 AM4:AM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AJ4:AJ17">
      <formula1>0.0</formula1>
      <formula2>5000000.0</formula2>
    </dataValidation>
  </dataValidations>
  <hyperlinks>
    <hyperlink display="Home" location="Home!A1" ref="B1"/>
    <hyperlink r:id="rId1" ref="AI4"/>
    <hyperlink r:id="rId2" ref="AI5"/>
    <hyperlink r:id="rId3" ref="AI6"/>
  </hyperlinks>
  <printOptions gridLines="1" horizontalCentered="1"/>
  <pageMargins bottom="0.75" footer="0.0" header="0.0" left="0.7" right="0.7" top="0.75"/>
  <pageSetup cellComments="atEnd" orientation="portrait" pageOrder="overThenDown"/>
  <drawing r:id="rId4"/>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21" width="15.75"/>
    <col customWidth="1" min="22" max="22" width="15.75"/>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4" width="21.0"/>
    <col customWidth="1" min="35" max="35" width="22.88"/>
    <col customWidth="1" min="36" max="36" width="21.75"/>
    <col customWidth="1" min="37" max="37" width="20.25"/>
    <col customWidth="1" min="38" max="38" width="15.75"/>
    <col customWidth="1" min="39" max="39" width="15.63"/>
    <col customWidth="1" min="40" max="40" width="16.38"/>
    <col customWidth="1" min="41" max="41" width="18.25"/>
    <col customWidth="1" min="42" max="42" width="3.88"/>
  </cols>
  <sheetData>
    <row r="1" ht="33.75" customHeight="1">
      <c r="A1" s="85"/>
      <c r="B1" s="86" t="s">
        <v>108</v>
      </c>
      <c r="C1" s="87"/>
      <c r="D1" s="88"/>
      <c r="E1" s="89"/>
      <c r="F1" s="90"/>
      <c r="G1" s="90"/>
      <c r="H1" s="90"/>
      <c r="I1" s="90"/>
      <c r="J1" s="90"/>
      <c r="K1" s="90"/>
      <c r="L1" s="90"/>
      <c r="M1" s="90"/>
      <c r="N1" s="90"/>
      <c r="O1" s="90"/>
      <c r="P1" s="90"/>
      <c r="Q1" s="90"/>
      <c r="R1" s="90"/>
      <c r="S1" s="90"/>
      <c r="T1" s="90"/>
      <c r="U1" s="90"/>
      <c r="V1" s="90"/>
      <c r="W1" s="90"/>
      <c r="X1" s="90"/>
      <c r="Y1" s="90"/>
      <c r="Z1" s="90"/>
      <c r="AA1" s="90"/>
      <c r="AB1" s="90"/>
      <c r="AC1" s="90"/>
      <c r="AD1" s="90"/>
      <c r="AE1" s="90"/>
      <c r="AF1" s="88"/>
      <c r="AG1" s="91" t="s">
        <v>109</v>
      </c>
      <c r="AH1" s="92">
        <v>1.0</v>
      </c>
      <c r="AI1" s="93" t="s">
        <v>110</v>
      </c>
      <c r="AJ1" s="94"/>
      <c r="AK1" s="95"/>
      <c r="AL1" s="96">
        <v>43466.0</v>
      </c>
      <c r="AM1" s="97">
        <f>Alertas!B6</f>
        <v>44582</v>
      </c>
      <c r="AN1" s="96">
        <f>TODAY()-1</f>
        <v>44714</v>
      </c>
      <c r="AO1" s="93"/>
      <c r="AP1" s="93"/>
    </row>
    <row r="2" ht="33.75" customHeight="1">
      <c r="A2" s="85"/>
      <c r="B2" s="88"/>
      <c r="C2" s="98"/>
      <c r="D2" s="99"/>
      <c r="E2" s="88"/>
      <c r="F2" s="100"/>
      <c r="G2" s="88"/>
      <c r="H2" s="88"/>
      <c r="I2" s="88"/>
      <c r="J2" s="88"/>
      <c r="K2" s="88"/>
      <c r="L2" s="88"/>
      <c r="M2" s="88"/>
      <c r="N2" s="88"/>
      <c r="O2" s="88"/>
      <c r="P2" s="88"/>
      <c r="Q2" s="88"/>
      <c r="R2" s="88"/>
      <c r="S2" s="88"/>
      <c r="T2" s="88"/>
      <c r="U2" s="88"/>
      <c r="V2" s="88"/>
      <c r="W2" s="88"/>
      <c r="X2" s="88"/>
      <c r="Y2" s="88"/>
      <c r="Z2" s="88"/>
      <c r="AA2" s="88"/>
      <c r="AB2" s="88"/>
      <c r="AC2" s="88"/>
      <c r="AD2" s="88"/>
      <c r="AE2" s="88"/>
      <c r="AF2" s="17"/>
      <c r="AG2" s="101" t="s">
        <v>111</v>
      </c>
      <c r="AH2" s="102"/>
      <c r="AI2" s="103"/>
      <c r="AJ2" s="104" t="s">
        <v>112</v>
      </c>
      <c r="AK2" s="103"/>
      <c r="AL2" s="104" t="s">
        <v>113</v>
      </c>
      <c r="AM2" s="102"/>
      <c r="AN2" s="102"/>
      <c r="AO2" s="103"/>
      <c r="AP2" s="105"/>
    </row>
    <row r="3" ht="33.75" customHeight="1">
      <c r="A3" s="106"/>
      <c r="B3" s="171" t="s">
        <v>40</v>
      </c>
      <c r="C3" s="172" t="s">
        <v>41</v>
      </c>
      <c r="D3" s="173" t="s">
        <v>42</v>
      </c>
      <c r="E3" s="173" t="s">
        <v>43</v>
      </c>
      <c r="F3" s="174" t="s">
        <v>44</v>
      </c>
      <c r="G3" s="175" t="s">
        <v>45</v>
      </c>
      <c r="H3" s="173" t="s">
        <v>46</v>
      </c>
      <c r="I3" s="175" t="s">
        <v>47</v>
      </c>
      <c r="J3" s="175" t="s">
        <v>48</v>
      </c>
      <c r="K3" s="175" t="s">
        <v>49</v>
      </c>
      <c r="L3" s="175" t="s">
        <v>50</v>
      </c>
      <c r="M3" s="173" t="s">
        <v>51</v>
      </c>
      <c r="N3" s="173" t="s">
        <v>52</v>
      </c>
      <c r="O3" s="175" t="s">
        <v>53</v>
      </c>
      <c r="P3" s="175" t="s">
        <v>54</v>
      </c>
      <c r="Q3" s="173" t="s">
        <v>55</v>
      </c>
      <c r="R3" s="173" t="s">
        <v>56</v>
      </c>
      <c r="S3" s="175" t="s">
        <v>57</v>
      </c>
      <c r="T3" s="175" t="s">
        <v>58</v>
      </c>
      <c r="U3" s="175" t="s">
        <v>59</v>
      </c>
      <c r="V3" s="175" t="s">
        <v>60</v>
      </c>
      <c r="W3" s="173" t="s">
        <v>61</v>
      </c>
      <c r="X3" s="172" t="s">
        <v>62</v>
      </c>
      <c r="Y3" s="172" t="s">
        <v>63</v>
      </c>
      <c r="Z3" s="172" t="s">
        <v>64</v>
      </c>
      <c r="AA3" s="172" t="s">
        <v>65</v>
      </c>
      <c r="AB3" s="172" t="s">
        <v>66</v>
      </c>
      <c r="AC3" s="172" t="s">
        <v>67</v>
      </c>
      <c r="AD3" s="172" t="s">
        <v>68</v>
      </c>
      <c r="AE3" s="172" t="s">
        <v>69</v>
      </c>
      <c r="AF3" s="176" t="s">
        <v>70</v>
      </c>
      <c r="AG3" s="113" t="s">
        <v>71</v>
      </c>
      <c r="AH3" s="114" t="s">
        <v>72</v>
      </c>
      <c r="AI3" s="115" t="s">
        <v>73</v>
      </c>
      <c r="AJ3" s="116" t="s">
        <v>114</v>
      </c>
      <c r="AK3" s="117" t="s">
        <v>115</v>
      </c>
      <c r="AL3" s="113" t="s">
        <v>74</v>
      </c>
      <c r="AM3" s="114" t="s">
        <v>116</v>
      </c>
      <c r="AN3" s="114" t="s">
        <v>76</v>
      </c>
      <c r="AO3" s="117" t="s">
        <v>117</v>
      </c>
      <c r="AP3" s="105"/>
    </row>
    <row r="4" ht="67.5" customHeight="1">
      <c r="A4" s="118"/>
      <c r="B4" s="177">
        <v>23.0</v>
      </c>
      <c r="C4" s="178" t="s">
        <v>290</v>
      </c>
      <c r="D4" s="178" t="s">
        <v>291</v>
      </c>
      <c r="E4" s="178" t="s">
        <v>292</v>
      </c>
      <c r="F4" s="179">
        <v>2.01901100028E12</v>
      </c>
      <c r="G4" s="180" t="s">
        <v>293</v>
      </c>
      <c r="H4" s="178" t="s">
        <v>294</v>
      </c>
      <c r="I4" s="178" t="s">
        <v>295</v>
      </c>
      <c r="J4" s="178" t="s">
        <v>296</v>
      </c>
      <c r="K4" s="181" t="s">
        <v>124</v>
      </c>
      <c r="L4" s="181" t="s">
        <v>125</v>
      </c>
      <c r="M4" s="181" t="s">
        <v>126</v>
      </c>
      <c r="N4" s="182" t="s">
        <v>297</v>
      </c>
      <c r="O4" s="183"/>
      <c r="P4" s="190">
        <v>14000.0</v>
      </c>
      <c r="Q4" s="185" t="s">
        <v>298</v>
      </c>
      <c r="R4" s="190" t="s">
        <v>157</v>
      </c>
      <c r="S4" s="190">
        <v>0.0</v>
      </c>
      <c r="T4" s="190">
        <v>7000.0</v>
      </c>
      <c r="U4" s="190">
        <v>0.0</v>
      </c>
      <c r="V4" s="190">
        <v>7000.0</v>
      </c>
      <c r="W4" s="187" t="s">
        <v>19</v>
      </c>
      <c r="X4" s="180" t="s">
        <v>299</v>
      </c>
      <c r="Y4" s="178" t="s">
        <v>300</v>
      </c>
      <c r="Z4" s="180" t="s">
        <v>301</v>
      </c>
      <c r="AA4" s="178" t="s">
        <v>302</v>
      </c>
      <c r="AB4" s="178" t="s">
        <v>180</v>
      </c>
      <c r="AC4" s="178" t="s">
        <v>303</v>
      </c>
      <c r="AD4" s="178" t="s">
        <v>161</v>
      </c>
      <c r="AE4" s="178" t="s">
        <v>304</v>
      </c>
      <c r="AF4" s="188" t="s">
        <v>183</v>
      </c>
      <c r="AG4" s="191">
        <v>9999.0</v>
      </c>
      <c r="AH4" s="139" t="s">
        <v>305</v>
      </c>
      <c r="AI4" s="204" t="s">
        <v>306</v>
      </c>
      <c r="AJ4" s="191">
        <v>19990.0</v>
      </c>
      <c r="AK4" s="133" t="s">
        <v>307</v>
      </c>
      <c r="AL4" s="134">
        <f t="shared" ref="AL4:AL6" si="1">$AM$1</f>
        <v>44582</v>
      </c>
      <c r="AM4" s="135">
        <f t="shared" ref="AM4:AM6" si="2">AL4-$AN$1</f>
        <v>-132</v>
      </c>
      <c r="AN4" s="136" t="str">
        <f t="shared" ref="AN4:AN6" si="3">IF(ISBLANK(AG4),"Pend. Ejec. Trim."&amp;CHAR(10),)&amp;
IF(ISBLANK(AH4),"Pend. Just. Trim."&amp;CHAR(10),)&amp;
IF(ISBLANK(AI4),"Pend. Evid. Trim."&amp;CHAR(10),)&amp;
IF(ISBLANK(AJ4),"Pend. Ejec. Año"&amp;CHAR(10),)&amp;
IF(ISBLANK(AK4),"Pend. Evid. Año",)&amp;
IF(OR(ISBLANK(AG4),ISBLANK(AH4),ISBLANK(AI4),ISBLANK(AJ4),ISBLANK(AK4)),,"Reporte ok")</f>
        <v>Reporte ok</v>
      </c>
      <c r="AO4" s="137"/>
      <c r="AP4" s="138"/>
    </row>
    <row r="5" ht="67.5" customHeight="1">
      <c r="A5" s="118"/>
      <c r="B5" s="177">
        <v>24.0</v>
      </c>
      <c r="C5" s="178" t="s">
        <v>290</v>
      </c>
      <c r="D5" s="178" t="s">
        <v>291</v>
      </c>
      <c r="E5" s="178" t="s">
        <v>292</v>
      </c>
      <c r="F5" s="179">
        <v>2.01901100028E12</v>
      </c>
      <c r="G5" s="180" t="s">
        <v>293</v>
      </c>
      <c r="H5" s="178" t="s">
        <v>294</v>
      </c>
      <c r="I5" s="178" t="s">
        <v>308</v>
      </c>
      <c r="J5" s="178" t="s">
        <v>309</v>
      </c>
      <c r="K5" s="181" t="s">
        <v>124</v>
      </c>
      <c r="L5" s="181" t="s">
        <v>125</v>
      </c>
      <c r="M5" s="181" t="s">
        <v>126</v>
      </c>
      <c r="N5" s="182" t="s">
        <v>310</v>
      </c>
      <c r="O5" s="183">
        <v>-3.0</v>
      </c>
      <c r="P5" s="190">
        <v>4.0</v>
      </c>
      <c r="Q5" s="185" t="s">
        <v>309</v>
      </c>
      <c r="R5" s="190" t="s">
        <v>157</v>
      </c>
      <c r="S5" s="190">
        <v>0.0</v>
      </c>
      <c r="T5" s="190">
        <v>1.0</v>
      </c>
      <c r="U5" s="190">
        <v>0.0</v>
      </c>
      <c r="V5" s="190">
        <v>3.0</v>
      </c>
      <c r="W5" s="187" t="s">
        <v>19</v>
      </c>
      <c r="X5" s="180" t="s">
        <v>299</v>
      </c>
      <c r="Y5" s="178" t="s">
        <v>300</v>
      </c>
      <c r="Z5" s="180" t="s">
        <v>301</v>
      </c>
      <c r="AA5" s="178" t="s">
        <v>302</v>
      </c>
      <c r="AB5" s="178" t="s">
        <v>180</v>
      </c>
      <c r="AC5" s="178" t="s">
        <v>303</v>
      </c>
      <c r="AD5" s="178" t="s">
        <v>161</v>
      </c>
      <c r="AE5" s="178" t="s">
        <v>304</v>
      </c>
      <c r="AF5" s="188" t="s">
        <v>183</v>
      </c>
      <c r="AG5" s="191">
        <v>3.0</v>
      </c>
      <c r="AH5" s="139" t="s">
        <v>311</v>
      </c>
      <c r="AI5" s="204" t="s">
        <v>312</v>
      </c>
      <c r="AJ5" s="191">
        <v>4.0</v>
      </c>
      <c r="AK5" s="133" t="s">
        <v>313</v>
      </c>
      <c r="AL5" s="134">
        <f t="shared" si="1"/>
        <v>44582</v>
      </c>
      <c r="AM5" s="135">
        <f t="shared" si="2"/>
        <v>-132</v>
      </c>
      <c r="AN5" s="136" t="str">
        <f t="shared" si="3"/>
        <v>Reporte ok</v>
      </c>
      <c r="AO5" s="137"/>
      <c r="AP5" s="138"/>
    </row>
    <row r="6" ht="67.5" customHeight="1">
      <c r="A6" s="118"/>
      <c r="B6" s="177">
        <v>25.0</v>
      </c>
      <c r="C6" s="178" t="s">
        <v>290</v>
      </c>
      <c r="D6" s="178" t="s">
        <v>291</v>
      </c>
      <c r="E6" s="178" t="s">
        <v>292</v>
      </c>
      <c r="F6" s="179">
        <v>2.01901100028E12</v>
      </c>
      <c r="G6" s="180" t="s">
        <v>293</v>
      </c>
      <c r="H6" s="178" t="s">
        <v>314</v>
      </c>
      <c r="I6" s="178" t="s">
        <v>315</v>
      </c>
      <c r="J6" s="178" t="s">
        <v>316</v>
      </c>
      <c r="K6" s="181" t="s">
        <v>124</v>
      </c>
      <c r="L6" s="181" t="s">
        <v>125</v>
      </c>
      <c r="M6" s="181" t="s">
        <v>126</v>
      </c>
      <c r="N6" s="182" t="s">
        <v>317</v>
      </c>
      <c r="O6" s="183">
        <v>-61.0</v>
      </c>
      <c r="P6" s="190">
        <v>200.0</v>
      </c>
      <c r="Q6" s="185" t="s">
        <v>318</v>
      </c>
      <c r="R6" s="190" t="s">
        <v>128</v>
      </c>
      <c r="S6" s="190">
        <v>0.0</v>
      </c>
      <c r="T6" s="190">
        <v>0.0</v>
      </c>
      <c r="U6" s="190">
        <v>0.0</v>
      </c>
      <c r="V6" s="190">
        <v>200.0</v>
      </c>
      <c r="W6" s="187" t="s">
        <v>19</v>
      </c>
      <c r="X6" s="180" t="s">
        <v>299</v>
      </c>
      <c r="Y6" s="178" t="s">
        <v>300</v>
      </c>
      <c r="Z6" s="180" t="s">
        <v>301</v>
      </c>
      <c r="AA6" s="178" t="s">
        <v>302</v>
      </c>
      <c r="AB6" s="178" t="s">
        <v>180</v>
      </c>
      <c r="AC6" s="178" t="s">
        <v>303</v>
      </c>
      <c r="AD6" s="178" t="s">
        <v>161</v>
      </c>
      <c r="AE6" s="178" t="s">
        <v>304</v>
      </c>
      <c r="AF6" s="188" t="s">
        <v>183</v>
      </c>
      <c r="AG6" s="191">
        <f>44+157</f>
        <v>201</v>
      </c>
      <c r="AH6" s="144" t="s">
        <v>318</v>
      </c>
      <c r="AI6" s="205" t="s">
        <v>319</v>
      </c>
      <c r="AJ6" s="191">
        <f>AG6</f>
        <v>201</v>
      </c>
      <c r="AK6" s="144" t="s">
        <v>318</v>
      </c>
      <c r="AL6" s="134">
        <f t="shared" si="1"/>
        <v>44582</v>
      </c>
      <c r="AM6" s="135">
        <f t="shared" si="2"/>
        <v>-132</v>
      </c>
      <c r="AN6" s="136" t="str">
        <f t="shared" si="3"/>
        <v>Reporte ok</v>
      </c>
      <c r="AO6" s="137"/>
      <c r="AP6" s="138"/>
    </row>
    <row r="7" ht="67.5" customHeight="1">
      <c r="A7" s="118"/>
      <c r="B7" s="177">
        <v>26.0</v>
      </c>
      <c r="C7" s="178" t="s">
        <v>290</v>
      </c>
      <c r="D7" s="178" t="s">
        <v>291</v>
      </c>
      <c r="E7" s="178" t="s">
        <v>292</v>
      </c>
      <c r="F7" s="179">
        <v>2.01901100028E12</v>
      </c>
      <c r="G7" s="180" t="s">
        <v>293</v>
      </c>
      <c r="H7" s="178" t="s">
        <v>314</v>
      </c>
      <c r="I7" s="178" t="s">
        <v>320</v>
      </c>
      <c r="J7" s="178" t="s">
        <v>321</v>
      </c>
      <c r="K7" s="181" t="s">
        <v>124</v>
      </c>
      <c r="L7" s="181" t="s">
        <v>125</v>
      </c>
      <c r="M7" s="181" t="s">
        <v>126</v>
      </c>
      <c r="N7" s="182" t="s">
        <v>322</v>
      </c>
      <c r="O7" s="183">
        <v>-1.0</v>
      </c>
      <c r="P7" s="190">
        <v>3.0</v>
      </c>
      <c r="Q7" s="185" t="s">
        <v>323</v>
      </c>
      <c r="R7" s="190" t="s">
        <v>128</v>
      </c>
      <c r="S7" s="190">
        <v>0.0</v>
      </c>
      <c r="T7" s="190">
        <v>0.0</v>
      </c>
      <c r="U7" s="190">
        <v>0.0</v>
      </c>
      <c r="V7" s="190">
        <v>3.0</v>
      </c>
      <c r="W7" s="187" t="s">
        <v>19</v>
      </c>
      <c r="X7" s="180" t="s">
        <v>299</v>
      </c>
      <c r="Y7" s="178" t="s">
        <v>300</v>
      </c>
      <c r="Z7" s="180" t="s">
        <v>301</v>
      </c>
      <c r="AA7" s="178" t="s">
        <v>302</v>
      </c>
      <c r="AB7" s="178" t="s">
        <v>180</v>
      </c>
      <c r="AC7" s="178" t="s">
        <v>303</v>
      </c>
      <c r="AD7" s="178" t="s">
        <v>161</v>
      </c>
      <c r="AE7" s="178" t="s">
        <v>304</v>
      </c>
      <c r="AF7" s="188" t="s">
        <v>183</v>
      </c>
      <c r="AG7" s="191">
        <v>3.0</v>
      </c>
      <c r="AH7" s="144" t="s">
        <v>324</v>
      </c>
      <c r="AI7" s="205" t="s">
        <v>325</v>
      </c>
      <c r="AJ7" s="191">
        <v>3.0</v>
      </c>
      <c r="AK7" s="144" t="s">
        <v>324</v>
      </c>
      <c r="AL7" s="134"/>
      <c r="AM7" s="135"/>
      <c r="AN7" s="136"/>
      <c r="AO7" s="137"/>
      <c r="AP7" s="138"/>
    </row>
    <row r="8" ht="67.5" customHeight="1">
      <c r="A8" s="118"/>
      <c r="B8" s="177">
        <v>27.0</v>
      </c>
      <c r="C8" s="178" t="s">
        <v>290</v>
      </c>
      <c r="D8" s="178" t="s">
        <v>291</v>
      </c>
      <c r="E8" s="178" t="s">
        <v>292</v>
      </c>
      <c r="F8" s="179">
        <v>2.01901100028E12</v>
      </c>
      <c r="G8" s="180" t="s">
        <v>293</v>
      </c>
      <c r="H8" s="178" t="s">
        <v>314</v>
      </c>
      <c r="I8" s="178" t="s">
        <v>320</v>
      </c>
      <c r="J8" s="178" t="s">
        <v>326</v>
      </c>
      <c r="K8" s="181" t="s">
        <v>327</v>
      </c>
      <c r="L8" s="181" t="s">
        <v>328</v>
      </c>
      <c r="M8" s="181" t="s">
        <v>126</v>
      </c>
      <c r="N8" s="182" t="s">
        <v>329</v>
      </c>
      <c r="O8" s="183">
        <v>15.0</v>
      </c>
      <c r="P8" s="190">
        <v>15.0</v>
      </c>
      <c r="Q8" s="185" t="s">
        <v>330</v>
      </c>
      <c r="R8" s="190" t="s">
        <v>128</v>
      </c>
      <c r="S8" s="190">
        <v>0.0</v>
      </c>
      <c r="T8" s="190">
        <v>0.0</v>
      </c>
      <c r="U8" s="190">
        <v>0.0</v>
      </c>
      <c r="V8" s="190">
        <v>15.0</v>
      </c>
      <c r="W8" s="187" t="s">
        <v>19</v>
      </c>
      <c r="X8" s="180" t="s">
        <v>299</v>
      </c>
      <c r="Y8" s="178" t="s">
        <v>300</v>
      </c>
      <c r="Z8" s="180" t="s">
        <v>301</v>
      </c>
      <c r="AA8" s="178" t="s">
        <v>302</v>
      </c>
      <c r="AB8" s="178" t="s">
        <v>180</v>
      </c>
      <c r="AC8" s="178" t="s">
        <v>303</v>
      </c>
      <c r="AD8" s="178" t="s">
        <v>161</v>
      </c>
      <c r="AE8" s="178" t="s">
        <v>304</v>
      </c>
      <c r="AF8" s="188" t="s">
        <v>183</v>
      </c>
      <c r="AG8" s="191">
        <v>15.0</v>
      </c>
      <c r="AH8" s="144" t="s">
        <v>331</v>
      </c>
      <c r="AI8" s="145" t="s">
        <v>332</v>
      </c>
      <c r="AJ8" s="191">
        <v>15.0</v>
      </c>
      <c r="AK8" s="144" t="s">
        <v>331</v>
      </c>
      <c r="AL8" s="134"/>
      <c r="AM8" s="135"/>
      <c r="AN8" s="136"/>
      <c r="AO8" s="137"/>
      <c r="AP8" s="138"/>
    </row>
    <row r="9" ht="67.5" customHeight="1">
      <c r="A9" s="118"/>
      <c r="B9" s="177">
        <v>28.0</v>
      </c>
      <c r="C9" s="178" t="s">
        <v>290</v>
      </c>
      <c r="D9" s="178" t="s">
        <v>291</v>
      </c>
      <c r="E9" s="178" t="s">
        <v>292</v>
      </c>
      <c r="F9" s="179">
        <v>2.01901100028E12</v>
      </c>
      <c r="G9" s="180" t="s">
        <v>293</v>
      </c>
      <c r="H9" s="178" t="s">
        <v>294</v>
      </c>
      <c r="I9" s="178" t="s">
        <v>308</v>
      </c>
      <c r="J9" s="178" t="s">
        <v>333</v>
      </c>
      <c r="K9" s="181" t="s">
        <v>124</v>
      </c>
      <c r="L9" s="181" t="s">
        <v>125</v>
      </c>
      <c r="M9" s="181" t="s">
        <v>126</v>
      </c>
      <c r="N9" s="182" t="s">
        <v>334</v>
      </c>
      <c r="O9" s="183">
        <v>-3.0</v>
      </c>
      <c r="P9" s="190">
        <v>11.0</v>
      </c>
      <c r="Q9" s="185" t="s">
        <v>335</v>
      </c>
      <c r="R9" s="190" t="s">
        <v>157</v>
      </c>
      <c r="S9" s="190">
        <v>0.0</v>
      </c>
      <c r="T9" s="190">
        <v>5.0</v>
      </c>
      <c r="U9" s="190">
        <v>0.0</v>
      </c>
      <c r="V9" s="190">
        <v>6.0</v>
      </c>
      <c r="W9" s="187" t="s">
        <v>19</v>
      </c>
      <c r="X9" s="180" t="s">
        <v>299</v>
      </c>
      <c r="Y9" s="178" t="s">
        <v>300</v>
      </c>
      <c r="Z9" s="180" t="s">
        <v>301</v>
      </c>
      <c r="AA9" s="178" t="s">
        <v>302</v>
      </c>
      <c r="AB9" s="178" t="s">
        <v>180</v>
      </c>
      <c r="AC9" s="178" t="s">
        <v>303</v>
      </c>
      <c r="AD9" s="178" t="s">
        <v>161</v>
      </c>
      <c r="AE9" s="178" t="s">
        <v>304</v>
      </c>
      <c r="AF9" s="188" t="s">
        <v>183</v>
      </c>
      <c r="AG9" s="191">
        <v>6.0</v>
      </c>
      <c r="AH9" s="144" t="s">
        <v>336</v>
      </c>
      <c r="AI9" s="145" t="s">
        <v>337</v>
      </c>
      <c r="AJ9" s="191">
        <v>11.0</v>
      </c>
      <c r="AK9" s="144" t="s">
        <v>338</v>
      </c>
      <c r="AL9" s="134"/>
      <c r="AM9" s="135"/>
      <c r="AN9" s="136"/>
      <c r="AO9" s="137"/>
      <c r="AP9" s="138"/>
    </row>
    <row r="10" ht="67.5" customHeight="1">
      <c r="A10" s="118"/>
      <c r="B10" s="177">
        <v>29.0</v>
      </c>
      <c r="C10" s="178" t="s">
        <v>290</v>
      </c>
      <c r="D10" s="178" t="s">
        <v>291</v>
      </c>
      <c r="E10" s="178" t="s">
        <v>292</v>
      </c>
      <c r="F10" s="179">
        <v>2.01901100028E12</v>
      </c>
      <c r="G10" s="180" t="s">
        <v>293</v>
      </c>
      <c r="H10" s="178" t="s">
        <v>314</v>
      </c>
      <c r="I10" s="178" t="s">
        <v>315</v>
      </c>
      <c r="J10" s="178" t="s">
        <v>339</v>
      </c>
      <c r="K10" s="181" t="s">
        <v>327</v>
      </c>
      <c r="L10" s="181" t="s">
        <v>328</v>
      </c>
      <c r="M10" s="181" t="s">
        <v>126</v>
      </c>
      <c r="N10" s="182" t="s">
        <v>340</v>
      </c>
      <c r="O10" s="183">
        <v>15.0</v>
      </c>
      <c r="P10" s="190">
        <v>5000.0</v>
      </c>
      <c r="Q10" s="185" t="s">
        <v>341</v>
      </c>
      <c r="R10" s="190" t="s">
        <v>128</v>
      </c>
      <c r="S10" s="190">
        <v>0.0</v>
      </c>
      <c r="T10" s="190">
        <v>0.0</v>
      </c>
      <c r="U10" s="190">
        <v>0.0</v>
      </c>
      <c r="V10" s="190">
        <v>5000.0</v>
      </c>
      <c r="W10" s="187" t="s">
        <v>19</v>
      </c>
      <c r="X10" s="180" t="s">
        <v>299</v>
      </c>
      <c r="Y10" s="178" t="s">
        <v>300</v>
      </c>
      <c r="Z10" s="180" t="s">
        <v>301</v>
      </c>
      <c r="AA10" s="178" t="s">
        <v>302</v>
      </c>
      <c r="AB10" s="178" t="s">
        <v>180</v>
      </c>
      <c r="AC10" s="178" t="s">
        <v>303</v>
      </c>
      <c r="AD10" s="178" t="s">
        <v>161</v>
      </c>
      <c r="AE10" s="178" t="s">
        <v>304</v>
      </c>
      <c r="AF10" s="188" t="s">
        <v>183</v>
      </c>
      <c r="AG10" s="191">
        <v>18512.0</v>
      </c>
      <c r="AH10" s="144" t="s">
        <v>342</v>
      </c>
      <c r="AI10" s="205" t="s">
        <v>343</v>
      </c>
      <c r="AJ10" s="191">
        <v>34010.0</v>
      </c>
      <c r="AK10" s="144" t="s">
        <v>344</v>
      </c>
      <c r="AL10" s="134"/>
      <c r="AM10" s="135"/>
      <c r="AN10" s="136"/>
      <c r="AO10" s="137"/>
      <c r="AP10" s="138"/>
    </row>
    <row r="11" ht="67.5" customHeight="1">
      <c r="A11" s="118"/>
      <c r="B11" s="177">
        <v>30.0</v>
      </c>
      <c r="C11" s="178" t="s">
        <v>290</v>
      </c>
      <c r="D11" s="178" t="s">
        <v>291</v>
      </c>
      <c r="E11" s="178" t="s">
        <v>292</v>
      </c>
      <c r="F11" s="179">
        <v>2.01901100028E12</v>
      </c>
      <c r="G11" s="180" t="s">
        <v>293</v>
      </c>
      <c r="H11" s="178" t="s">
        <v>314</v>
      </c>
      <c r="I11" s="178" t="s">
        <v>315</v>
      </c>
      <c r="J11" s="178" t="s">
        <v>316</v>
      </c>
      <c r="K11" s="181" t="s">
        <v>327</v>
      </c>
      <c r="L11" s="181" t="s">
        <v>328</v>
      </c>
      <c r="M11" s="181" t="s">
        <v>126</v>
      </c>
      <c r="N11" s="182" t="s">
        <v>345</v>
      </c>
      <c r="O11" s="183">
        <v>15.0</v>
      </c>
      <c r="P11" s="190">
        <v>6.0</v>
      </c>
      <c r="Q11" s="185" t="s">
        <v>346</v>
      </c>
      <c r="R11" s="190" t="s">
        <v>170</v>
      </c>
      <c r="S11" s="190">
        <v>1.0</v>
      </c>
      <c r="T11" s="190">
        <v>1.0</v>
      </c>
      <c r="U11" s="190">
        <v>2.0</v>
      </c>
      <c r="V11" s="190">
        <v>2.0</v>
      </c>
      <c r="W11" s="187" t="s">
        <v>19</v>
      </c>
      <c r="X11" s="180" t="s">
        <v>299</v>
      </c>
      <c r="Y11" s="178" t="s">
        <v>300</v>
      </c>
      <c r="Z11" s="180" t="s">
        <v>301</v>
      </c>
      <c r="AA11" s="178" t="s">
        <v>302</v>
      </c>
      <c r="AB11" s="178" t="s">
        <v>180</v>
      </c>
      <c r="AC11" s="178" t="s">
        <v>303</v>
      </c>
      <c r="AD11" s="178" t="s">
        <v>161</v>
      </c>
      <c r="AE11" s="178" t="s">
        <v>304</v>
      </c>
      <c r="AF11" s="188" t="s">
        <v>183</v>
      </c>
      <c r="AG11" s="191">
        <v>2.0</v>
      </c>
      <c r="AH11" s="144" t="s">
        <v>347</v>
      </c>
      <c r="AI11" s="145" t="s">
        <v>348</v>
      </c>
      <c r="AJ11" s="191">
        <v>6.0</v>
      </c>
      <c r="AK11" s="144" t="s">
        <v>349</v>
      </c>
      <c r="AL11" s="134"/>
      <c r="AM11" s="135"/>
      <c r="AN11" s="136"/>
      <c r="AO11" s="137"/>
      <c r="AP11" s="138"/>
    </row>
    <row r="12" ht="67.5" customHeight="1">
      <c r="A12" s="118"/>
      <c r="B12" s="177">
        <v>31.0</v>
      </c>
      <c r="C12" s="178" t="s">
        <v>290</v>
      </c>
      <c r="D12" s="178" t="s">
        <v>291</v>
      </c>
      <c r="E12" s="178" t="s">
        <v>292</v>
      </c>
      <c r="F12" s="179">
        <v>2.01901100028E12</v>
      </c>
      <c r="G12" s="180" t="s">
        <v>293</v>
      </c>
      <c r="H12" s="178" t="s">
        <v>294</v>
      </c>
      <c r="I12" s="178" t="s">
        <v>295</v>
      </c>
      <c r="J12" s="178" t="s">
        <v>350</v>
      </c>
      <c r="K12" s="181" t="s">
        <v>327</v>
      </c>
      <c r="L12" s="181" t="s">
        <v>328</v>
      </c>
      <c r="M12" s="181" t="s">
        <v>126</v>
      </c>
      <c r="N12" s="182" t="s">
        <v>351</v>
      </c>
      <c r="O12" s="183">
        <v>15.0</v>
      </c>
      <c r="P12" s="190">
        <v>1.0</v>
      </c>
      <c r="Q12" s="185" t="s">
        <v>352</v>
      </c>
      <c r="R12" s="190" t="s">
        <v>128</v>
      </c>
      <c r="S12" s="190">
        <v>0.0</v>
      </c>
      <c r="T12" s="190">
        <v>0.0</v>
      </c>
      <c r="U12" s="190">
        <v>0.0</v>
      </c>
      <c r="V12" s="190">
        <v>1.0</v>
      </c>
      <c r="W12" s="187" t="s">
        <v>19</v>
      </c>
      <c r="X12" s="180" t="s">
        <v>299</v>
      </c>
      <c r="Y12" s="178" t="s">
        <v>300</v>
      </c>
      <c r="Z12" s="180" t="s">
        <v>301</v>
      </c>
      <c r="AA12" s="178" t="s">
        <v>302</v>
      </c>
      <c r="AB12" s="178" t="s">
        <v>180</v>
      </c>
      <c r="AC12" s="178" t="s">
        <v>303</v>
      </c>
      <c r="AD12" s="178" t="s">
        <v>161</v>
      </c>
      <c r="AE12" s="178" t="s">
        <v>304</v>
      </c>
      <c r="AF12" s="188" t="s">
        <v>183</v>
      </c>
      <c r="AG12" s="191">
        <v>1.0</v>
      </c>
      <c r="AH12" s="144" t="s">
        <v>353</v>
      </c>
      <c r="AI12" s="205" t="s">
        <v>354</v>
      </c>
      <c r="AJ12" s="191">
        <v>1.0</v>
      </c>
      <c r="AK12" s="144" t="s">
        <v>353</v>
      </c>
      <c r="AL12" s="134"/>
      <c r="AM12" s="135"/>
      <c r="AN12" s="136"/>
      <c r="AO12" s="137"/>
      <c r="AP12" s="138"/>
    </row>
    <row r="13" ht="67.5" customHeight="1">
      <c r="A13" s="118"/>
      <c r="B13" s="177">
        <v>32.0</v>
      </c>
      <c r="C13" s="178" t="s">
        <v>290</v>
      </c>
      <c r="D13" s="178" t="s">
        <v>291</v>
      </c>
      <c r="E13" s="178" t="s">
        <v>292</v>
      </c>
      <c r="F13" s="179">
        <v>2.01901100028E12</v>
      </c>
      <c r="G13" s="180" t="s">
        <v>293</v>
      </c>
      <c r="H13" s="178" t="s">
        <v>294</v>
      </c>
      <c r="I13" s="178" t="s">
        <v>295</v>
      </c>
      <c r="J13" s="178" t="s">
        <v>350</v>
      </c>
      <c r="K13" s="181" t="s">
        <v>327</v>
      </c>
      <c r="L13" s="181" t="s">
        <v>328</v>
      </c>
      <c r="M13" s="181" t="s">
        <v>126</v>
      </c>
      <c r="N13" s="182" t="s">
        <v>355</v>
      </c>
      <c r="O13" s="183">
        <v>15.0</v>
      </c>
      <c r="P13" s="190">
        <v>1.0</v>
      </c>
      <c r="Q13" s="185" t="s">
        <v>356</v>
      </c>
      <c r="R13" s="190" t="s">
        <v>128</v>
      </c>
      <c r="S13" s="190">
        <v>0.0</v>
      </c>
      <c r="T13" s="190">
        <v>0.0</v>
      </c>
      <c r="U13" s="190">
        <v>0.0</v>
      </c>
      <c r="V13" s="190">
        <v>1.0</v>
      </c>
      <c r="W13" s="187" t="s">
        <v>19</v>
      </c>
      <c r="X13" s="180" t="s">
        <v>299</v>
      </c>
      <c r="Y13" s="178" t="s">
        <v>300</v>
      </c>
      <c r="Z13" s="180" t="s">
        <v>301</v>
      </c>
      <c r="AA13" s="178" t="s">
        <v>302</v>
      </c>
      <c r="AB13" s="178" t="s">
        <v>180</v>
      </c>
      <c r="AC13" s="178" t="s">
        <v>303</v>
      </c>
      <c r="AD13" s="178" t="s">
        <v>161</v>
      </c>
      <c r="AE13" s="178" t="s">
        <v>304</v>
      </c>
      <c r="AF13" s="188" t="s">
        <v>183</v>
      </c>
      <c r="AG13" s="191">
        <v>1.0</v>
      </c>
      <c r="AH13" s="144" t="s">
        <v>357</v>
      </c>
      <c r="AI13" s="145" t="s">
        <v>358</v>
      </c>
      <c r="AJ13" s="191">
        <v>1.0</v>
      </c>
      <c r="AK13" s="144" t="s">
        <v>357</v>
      </c>
      <c r="AL13" s="134"/>
      <c r="AM13" s="135"/>
      <c r="AN13" s="136"/>
      <c r="AO13" s="137"/>
      <c r="AP13" s="138"/>
    </row>
    <row r="14" ht="67.5" customHeight="1">
      <c r="A14" s="118"/>
      <c r="B14" s="177">
        <v>33.0</v>
      </c>
      <c r="C14" s="178" t="s">
        <v>290</v>
      </c>
      <c r="D14" s="178" t="s">
        <v>291</v>
      </c>
      <c r="E14" s="178" t="s">
        <v>292</v>
      </c>
      <c r="F14" s="179">
        <v>2.01901100028E12</v>
      </c>
      <c r="G14" s="180" t="s">
        <v>293</v>
      </c>
      <c r="H14" s="178" t="s">
        <v>294</v>
      </c>
      <c r="I14" s="178" t="s">
        <v>295</v>
      </c>
      <c r="J14" s="178" t="s">
        <v>296</v>
      </c>
      <c r="K14" s="181" t="s">
        <v>327</v>
      </c>
      <c r="L14" s="181" t="s">
        <v>328</v>
      </c>
      <c r="M14" s="181" t="s">
        <v>126</v>
      </c>
      <c r="N14" s="182" t="s">
        <v>359</v>
      </c>
      <c r="O14" s="183">
        <v>15.0</v>
      </c>
      <c r="P14" s="190">
        <v>1.0</v>
      </c>
      <c r="Q14" s="185" t="s">
        <v>360</v>
      </c>
      <c r="R14" s="190" t="s">
        <v>128</v>
      </c>
      <c r="S14" s="190">
        <v>0.0</v>
      </c>
      <c r="T14" s="190">
        <v>0.0</v>
      </c>
      <c r="U14" s="190">
        <v>0.0</v>
      </c>
      <c r="V14" s="190">
        <v>1.0</v>
      </c>
      <c r="W14" s="187" t="s">
        <v>19</v>
      </c>
      <c r="X14" s="180" t="s">
        <v>299</v>
      </c>
      <c r="Y14" s="178" t="s">
        <v>300</v>
      </c>
      <c r="Z14" s="180" t="s">
        <v>301</v>
      </c>
      <c r="AA14" s="178" t="s">
        <v>302</v>
      </c>
      <c r="AB14" s="178" t="s">
        <v>180</v>
      </c>
      <c r="AC14" s="178" t="s">
        <v>303</v>
      </c>
      <c r="AD14" s="178" t="s">
        <v>161</v>
      </c>
      <c r="AE14" s="178" t="s">
        <v>304</v>
      </c>
      <c r="AF14" s="188" t="s">
        <v>183</v>
      </c>
      <c r="AG14" s="191">
        <v>1.0</v>
      </c>
      <c r="AH14" s="144" t="s">
        <v>361</v>
      </c>
      <c r="AI14" s="205" t="s">
        <v>362</v>
      </c>
      <c r="AJ14" s="191">
        <v>1.0</v>
      </c>
      <c r="AK14" s="144" t="s">
        <v>361</v>
      </c>
      <c r="AL14" s="134"/>
      <c r="AM14" s="135"/>
      <c r="AN14" s="136"/>
      <c r="AO14" s="137"/>
      <c r="AP14" s="138"/>
    </row>
    <row r="15" ht="67.5" customHeight="1">
      <c r="A15" s="118"/>
      <c r="B15" s="177">
        <v>34.0</v>
      </c>
      <c r="C15" s="178" t="s">
        <v>290</v>
      </c>
      <c r="D15" s="178" t="s">
        <v>291</v>
      </c>
      <c r="E15" s="178" t="s">
        <v>292</v>
      </c>
      <c r="F15" s="179">
        <v>2.01901100028E12</v>
      </c>
      <c r="G15" s="180" t="s">
        <v>293</v>
      </c>
      <c r="H15" s="178" t="s">
        <v>294</v>
      </c>
      <c r="I15" s="178" t="s">
        <v>295</v>
      </c>
      <c r="J15" s="178" t="s">
        <v>296</v>
      </c>
      <c r="K15" s="181" t="s">
        <v>124</v>
      </c>
      <c r="L15" s="181" t="s">
        <v>125</v>
      </c>
      <c r="M15" s="181" t="s">
        <v>126</v>
      </c>
      <c r="N15" s="182" t="s">
        <v>363</v>
      </c>
      <c r="O15" s="183">
        <v>-7140.0</v>
      </c>
      <c r="P15" s="190">
        <v>12.0</v>
      </c>
      <c r="Q15" s="185" t="s">
        <v>364</v>
      </c>
      <c r="R15" s="190" t="s">
        <v>157</v>
      </c>
      <c r="S15" s="190">
        <v>0.0</v>
      </c>
      <c r="T15" s="190">
        <v>7.0</v>
      </c>
      <c r="U15" s="190">
        <v>0.0</v>
      </c>
      <c r="V15" s="190">
        <v>5.0</v>
      </c>
      <c r="W15" s="187" t="s">
        <v>19</v>
      </c>
      <c r="X15" s="180" t="s">
        <v>299</v>
      </c>
      <c r="Y15" s="178" t="s">
        <v>300</v>
      </c>
      <c r="Z15" s="180" t="s">
        <v>301</v>
      </c>
      <c r="AA15" s="178" t="s">
        <v>302</v>
      </c>
      <c r="AB15" s="178" t="s">
        <v>180</v>
      </c>
      <c r="AC15" s="178" t="s">
        <v>303</v>
      </c>
      <c r="AD15" s="178" t="s">
        <v>161</v>
      </c>
      <c r="AE15" s="178" t="s">
        <v>304</v>
      </c>
      <c r="AF15" s="188" t="s">
        <v>183</v>
      </c>
      <c r="AG15" s="191">
        <v>5.0</v>
      </c>
      <c r="AH15" s="144" t="s">
        <v>365</v>
      </c>
      <c r="AI15" s="205" t="s">
        <v>366</v>
      </c>
      <c r="AJ15" s="191">
        <v>12.0</v>
      </c>
      <c r="AK15" s="144" t="s">
        <v>367</v>
      </c>
      <c r="AL15" s="134"/>
      <c r="AM15" s="135"/>
      <c r="AN15" s="136"/>
      <c r="AO15" s="137"/>
      <c r="AP15" s="138"/>
    </row>
    <row r="16" ht="67.5" customHeight="1">
      <c r="A16" s="118"/>
      <c r="B16" s="177">
        <v>35.0</v>
      </c>
      <c r="C16" s="178" t="s">
        <v>290</v>
      </c>
      <c r="D16" s="178" t="s">
        <v>291</v>
      </c>
      <c r="E16" s="178" t="s">
        <v>292</v>
      </c>
      <c r="F16" s="179">
        <v>2.01901100028E12</v>
      </c>
      <c r="G16" s="180" t="s">
        <v>293</v>
      </c>
      <c r="H16" s="178" t="s">
        <v>294</v>
      </c>
      <c r="I16" s="178" t="s">
        <v>295</v>
      </c>
      <c r="J16" s="178" t="s">
        <v>296</v>
      </c>
      <c r="K16" s="181" t="s">
        <v>327</v>
      </c>
      <c r="L16" s="181" t="s">
        <v>328</v>
      </c>
      <c r="M16" s="181" t="s">
        <v>126</v>
      </c>
      <c r="N16" s="182" t="s">
        <v>368</v>
      </c>
      <c r="O16" s="183">
        <v>15.0</v>
      </c>
      <c r="P16" s="190">
        <v>11500.0</v>
      </c>
      <c r="Q16" s="185" t="s">
        <v>369</v>
      </c>
      <c r="R16" s="190" t="s">
        <v>128</v>
      </c>
      <c r="S16" s="190">
        <v>0.0</v>
      </c>
      <c r="T16" s="190">
        <v>0.0</v>
      </c>
      <c r="U16" s="190">
        <v>0.0</v>
      </c>
      <c r="V16" s="190">
        <v>11500.0</v>
      </c>
      <c r="W16" s="187" t="s">
        <v>19</v>
      </c>
      <c r="X16" s="180" t="s">
        <v>299</v>
      </c>
      <c r="Y16" s="178" t="s">
        <v>300</v>
      </c>
      <c r="Z16" s="180" t="s">
        <v>301</v>
      </c>
      <c r="AA16" s="178" t="s">
        <v>302</v>
      </c>
      <c r="AB16" s="178" t="s">
        <v>180</v>
      </c>
      <c r="AC16" s="178" t="s">
        <v>303</v>
      </c>
      <c r="AD16" s="178" t="s">
        <v>161</v>
      </c>
      <c r="AE16" s="178" t="s">
        <v>304</v>
      </c>
      <c r="AF16" s="188" t="s">
        <v>183</v>
      </c>
      <c r="AG16" s="191">
        <v>23839.0</v>
      </c>
      <c r="AH16" s="144" t="s">
        <v>370</v>
      </c>
      <c r="AI16" s="145" t="s">
        <v>371</v>
      </c>
      <c r="AJ16" s="191">
        <v>23839.0</v>
      </c>
      <c r="AK16" s="144" t="s">
        <v>370</v>
      </c>
      <c r="AL16" s="134"/>
      <c r="AM16" s="135"/>
      <c r="AN16" s="136"/>
      <c r="AO16" s="137"/>
      <c r="AP16" s="138"/>
    </row>
    <row r="17" ht="67.5" customHeight="1">
      <c r="A17" s="118"/>
      <c r="B17" s="192"/>
      <c r="C17" s="193"/>
      <c r="D17" s="193"/>
      <c r="E17" s="193"/>
      <c r="F17" s="194"/>
      <c r="G17" s="195"/>
      <c r="H17" s="193"/>
      <c r="I17" s="193"/>
      <c r="J17" s="193"/>
      <c r="K17" s="196"/>
      <c r="L17" s="196"/>
      <c r="M17" s="196"/>
      <c r="N17" s="197"/>
      <c r="O17" s="198"/>
      <c r="P17" s="199"/>
      <c r="Q17" s="200"/>
      <c r="R17" s="201"/>
      <c r="S17" s="199"/>
      <c r="T17" s="199"/>
      <c r="U17" s="199"/>
      <c r="V17" s="199"/>
      <c r="W17" s="202"/>
      <c r="X17" s="195"/>
      <c r="Y17" s="193"/>
      <c r="Z17" s="195"/>
      <c r="AA17" s="193"/>
      <c r="AB17" s="193"/>
      <c r="AC17" s="193"/>
      <c r="AD17" s="193"/>
      <c r="AE17" s="193"/>
      <c r="AF17" s="203"/>
      <c r="AG17" s="161"/>
      <c r="AH17" s="162"/>
      <c r="AI17" s="163"/>
      <c r="AJ17" s="164"/>
      <c r="AK17" s="165"/>
      <c r="AL17" s="166"/>
      <c r="AM17" s="167"/>
      <c r="AN17" s="168"/>
      <c r="AO17" s="169"/>
      <c r="AP17" s="138"/>
    </row>
    <row r="18" ht="15.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170"/>
      <c r="AH18" s="170"/>
      <c r="AI18" s="170"/>
      <c r="AJ18" s="88"/>
      <c r="AK18" s="88"/>
      <c r="AL18" s="88"/>
      <c r="AM18" s="88"/>
      <c r="AN18" s="88"/>
      <c r="AO18" s="88"/>
      <c r="AP18" s="88"/>
    </row>
  </sheetData>
  <autoFilter ref="$A$3:$AP$16"/>
  <mergeCells count="4">
    <mergeCell ref="B1:C1"/>
    <mergeCell ref="AG2:AI2"/>
    <mergeCell ref="AJ2:AK2"/>
    <mergeCell ref="AL2:AO2"/>
  </mergeCells>
  <conditionalFormatting sqref="AK4:AK5 AM4:AM17 AK17:AK18">
    <cfRule type="cellIs" dxfId="2" priority="1" operator="greaterThan">
      <formula>0</formula>
    </cfRule>
  </conditionalFormatting>
  <conditionalFormatting sqref="AK4:AK5 AM4:AM17 AK17:AK18">
    <cfRule type="cellIs" dxfId="3" priority="2" operator="lessThan">
      <formula>0</formula>
    </cfRule>
  </conditionalFormatting>
  <conditionalFormatting sqref="AK5">
    <cfRule type="cellIs" dxfId="2" priority="3" operator="greaterThan">
      <formula>0</formula>
    </cfRule>
  </conditionalFormatting>
  <conditionalFormatting sqref="AK5">
    <cfRule type="cellIs" dxfId="3" priority="4" operator="lessThan">
      <formula>0</formula>
    </cfRule>
  </conditionalFormatting>
  <dataValidations>
    <dataValidation type="decimal" allowBlank="1" showDropDown="1" showInputMessage="1" showErrorMessage="1" prompt="Recuerde que debe ingresar un valor numérico o porcentaje" sqref="AG4:AG17 AJ4:AJ17">
      <formula1>0.0</formula1>
      <formula2>5000000.0</formula2>
    </dataValidation>
  </dataValidations>
  <hyperlinks>
    <hyperlink display="Home" location="Home!A1" ref="B1"/>
    <hyperlink r:id="rId1" ref="AI4"/>
    <hyperlink r:id="rId2" ref="AI5"/>
    <hyperlink r:id="rId3" ref="AI6"/>
    <hyperlink r:id="rId4" ref="AI7"/>
    <hyperlink r:id="rId5" ref="AI8"/>
    <hyperlink r:id="rId6" ref="AI9"/>
    <hyperlink r:id="rId7" ref="AI10"/>
    <hyperlink r:id="rId8" ref="AI11"/>
    <hyperlink r:id="rId9" ref="AI12"/>
    <hyperlink r:id="rId10" ref="AI13"/>
    <hyperlink r:id="rId11" ref="AI14"/>
    <hyperlink r:id="rId12" ref="AI15"/>
    <hyperlink r:id="rId13" ref="AI16"/>
  </hyperlinks>
  <printOptions gridLines="1" horizontalCentered="1"/>
  <pageMargins bottom="0.75" footer="0.0" header="0.0" left="0.7" right="0.7" top="0.75"/>
  <pageSetup cellComments="atEnd" orientation="portrait" pageOrder="overThenDown"/>
  <drawing r:id="rId14"/>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21" width="15.75"/>
    <col customWidth="1" min="22" max="22" width="15.75"/>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4" width="21.0"/>
    <col customWidth="1" min="35" max="35" width="22.88"/>
    <col customWidth="1" min="36" max="36" width="21.75"/>
    <col customWidth="1" min="37" max="37" width="20.25"/>
    <col customWidth="1" min="38" max="38" width="15.75"/>
    <col customWidth="1" min="39" max="39" width="15.63"/>
    <col customWidth="1" min="40" max="40" width="16.38"/>
    <col customWidth="1" min="41" max="41" width="18.25"/>
    <col customWidth="1" min="42" max="42" width="3.88"/>
  </cols>
  <sheetData>
    <row r="1" ht="33.75" customHeight="1">
      <c r="A1" s="85"/>
      <c r="B1" s="86" t="s">
        <v>108</v>
      </c>
      <c r="C1" s="87"/>
      <c r="D1" s="88"/>
      <c r="E1" s="89"/>
      <c r="F1" s="90"/>
      <c r="G1" s="90"/>
      <c r="H1" s="90"/>
      <c r="I1" s="90"/>
      <c r="J1" s="90"/>
      <c r="K1" s="90"/>
      <c r="L1" s="90"/>
      <c r="M1" s="90"/>
      <c r="N1" s="90"/>
      <c r="O1" s="90"/>
      <c r="P1" s="90"/>
      <c r="Q1" s="90"/>
      <c r="R1" s="90"/>
      <c r="S1" s="90"/>
      <c r="T1" s="90"/>
      <c r="U1" s="90"/>
      <c r="V1" s="90"/>
      <c r="W1" s="90"/>
      <c r="X1" s="90"/>
      <c r="Y1" s="90"/>
      <c r="Z1" s="90"/>
      <c r="AA1" s="90"/>
      <c r="AB1" s="90"/>
      <c r="AC1" s="90"/>
      <c r="AD1" s="90"/>
      <c r="AE1" s="90"/>
      <c r="AF1" s="88"/>
      <c r="AG1" s="91" t="s">
        <v>109</v>
      </c>
      <c r="AH1" s="92">
        <v>1.0</v>
      </c>
      <c r="AI1" s="93" t="s">
        <v>110</v>
      </c>
      <c r="AJ1" s="94"/>
      <c r="AK1" s="95"/>
      <c r="AL1" s="96">
        <v>43466.0</v>
      </c>
      <c r="AM1" s="97">
        <f>Alertas!B6</f>
        <v>44582</v>
      </c>
      <c r="AN1" s="96">
        <f>TODAY()-1</f>
        <v>44714</v>
      </c>
      <c r="AO1" s="93"/>
      <c r="AP1" s="93"/>
    </row>
    <row r="2" ht="33.75" customHeight="1">
      <c r="A2" s="85"/>
      <c r="B2" s="88"/>
      <c r="C2" s="98"/>
      <c r="D2" s="99"/>
      <c r="E2" s="88"/>
      <c r="F2" s="100"/>
      <c r="G2" s="88"/>
      <c r="H2" s="88"/>
      <c r="I2" s="88"/>
      <c r="J2" s="88"/>
      <c r="K2" s="88"/>
      <c r="L2" s="88"/>
      <c r="M2" s="88"/>
      <c r="N2" s="88"/>
      <c r="O2" s="88"/>
      <c r="P2" s="88"/>
      <c r="Q2" s="88"/>
      <c r="R2" s="88"/>
      <c r="S2" s="88"/>
      <c r="T2" s="88"/>
      <c r="U2" s="88"/>
      <c r="V2" s="88"/>
      <c r="W2" s="88"/>
      <c r="X2" s="88"/>
      <c r="Y2" s="88"/>
      <c r="Z2" s="88"/>
      <c r="AA2" s="88"/>
      <c r="AB2" s="88"/>
      <c r="AC2" s="88"/>
      <c r="AD2" s="88"/>
      <c r="AE2" s="88"/>
      <c r="AF2" s="17"/>
      <c r="AG2" s="101" t="s">
        <v>111</v>
      </c>
      <c r="AH2" s="102"/>
      <c r="AI2" s="103"/>
      <c r="AJ2" s="104" t="s">
        <v>112</v>
      </c>
      <c r="AK2" s="103"/>
      <c r="AL2" s="104" t="s">
        <v>113</v>
      </c>
      <c r="AM2" s="102"/>
      <c r="AN2" s="102"/>
      <c r="AO2" s="103"/>
      <c r="AP2" s="105"/>
    </row>
    <row r="3" ht="33.75" customHeight="1">
      <c r="A3" s="106"/>
      <c r="B3" s="171" t="s">
        <v>40</v>
      </c>
      <c r="C3" s="172" t="s">
        <v>41</v>
      </c>
      <c r="D3" s="173" t="s">
        <v>42</v>
      </c>
      <c r="E3" s="173" t="s">
        <v>43</v>
      </c>
      <c r="F3" s="174" t="s">
        <v>44</v>
      </c>
      <c r="G3" s="175" t="s">
        <v>45</v>
      </c>
      <c r="H3" s="173" t="s">
        <v>46</v>
      </c>
      <c r="I3" s="175" t="s">
        <v>47</v>
      </c>
      <c r="J3" s="175" t="s">
        <v>48</v>
      </c>
      <c r="K3" s="175" t="s">
        <v>49</v>
      </c>
      <c r="L3" s="175" t="s">
        <v>50</v>
      </c>
      <c r="M3" s="173" t="s">
        <v>51</v>
      </c>
      <c r="N3" s="173" t="s">
        <v>52</v>
      </c>
      <c r="O3" s="175" t="s">
        <v>53</v>
      </c>
      <c r="P3" s="175" t="s">
        <v>54</v>
      </c>
      <c r="Q3" s="173" t="s">
        <v>55</v>
      </c>
      <c r="R3" s="173" t="s">
        <v>56</v>
      </c>
      <c r="S3" s="175" t="s">
        <v>57</v>
      </c>
      <c r="T3" s="175" t="s">
        <v>58</v>
      </c>
      <c r="U3" s="175" t="s">
        <v>59</v>
      </c>
      <c r="V3" s="175" t="s">
        <v>60</v>
      </c>
      <c r="W3" s="173" t="s">
        <v>61</v>
      </c>
      <c r="X3" s="172" t="s">
        <v>62</v>
      </c>
      <c r="Y3" s="172" t="s">
        <v>63</v>
      </c>
      <c r="Z3" s="172" t="s">
        <v>64</v>
      </c>
      <c r="AA3" s="172" t="s">
        <v>65</v>
      </c>
      <c r="AB3" s="172" t="s">
        <v>66</v>
      </c>
      <c r="AC3" s="172" t="s">
        <v>67</v>
      </c>
      <c r="AD3" s="172" t="s">
        <v>68</v>
      </c>
      <c r="AE3" s="172" t="s">
        <v>69</v>
      </c>
      <c r="AF3" s="176" t="s">
        <v>70</v>
      </c>
      <c r="AG3" s="113" t="s">
        <v>71</v>
      </c>
      <c r="AH3" s="114" t="s">
        <v>72</v>
      </c>
      <c r="AI3" s="115" t="s">
        <v>73</v>
      </c>
      <c r="AJ3" s="116" t="s">
        <v>114</v>
      </c>
      <c r="AK3" s="117" t="s">
        <v>115</v>
      </c>
      <c r="AL3" s="113" t="s">
        <v>74</v>
      </c>
      <c r="AM3" s="114" t="s">
        <v>116</v>
      </c>
      <c r="AN3" s="114" t="s">
        <v>76</v>
      </c>
      <c r="AO3" s="117" t="s">
        <v>117</v>
      </c>
      <c r="AP3" s="105"/>
    </row>
    <row r="4" ht="67.5" customHeight="1">
      <c r="A4" s="118"/>
      <c r="B4" s="177">
        <v>39.0</v>
      </c>
      <c r="C4" s="178" t="s">
        <v>372</v>
      </c>
      <c r="D4" s="178" t="s">
        <v>373</v>
      </c>
      <c r="E4" s="178" t="s">
        <v>374</v>
      </c>
      <c r="F4" s="179">
        <v>2.019011000276E12</v>
      </c>
      <c r="G4" s="180" t="s">
        <v>375</v>
      </c>
      <c r="H4" s="178" t="s">
        <v>376</v>
      </c>
      <c r="I4" s="178" t="s">
        <v>377</v>
      </c>
      <c r="J4" s="178" t="s">
        <v>378</v>
      </c>
      <c r="K4" s="181" t="s">
        <v>124</v>
      </c>
      <c r="L4" s="181" t="s">
        <v>125</v>
      </c>
      <c r="M4" s="181" t="s">
        <v>126</v>
      </c>
      <c r="N4" s="182" t="s">
        <v>379</v>
      </c>
      <c r="O4" s="183">
        <v>110.0</v>
      </c>
      <c r="P4" s="190">
        <v>70.0</v>
      </c>
      <c r="Q4" s="185" t="s">
        <v>380</v>
      </c>
      <c r="R4" s="186" t="s">
        <v>128</v>
      </c>
      <c r="S4" s="190">
        <v>0.0</v>
      </c>
      <c r="T4" s="190">
        <v>18.0</v>
      </c>
      <c r="U4" s="190">
        <v>35.0</v>
      </c>
      <c r="V4" s="190">
        <v>17.0</v>
      </c>
      <c r="W4" s="187" t="s">
        <v>373</v>
      </c>
      <c r="X4" s="180" t="s">
        <v>381</v>
      </c>
      <c r="Y4" s="178" t="s">
        <v>382</v>
      </c>
      <c r="Z4" s="180" t="s">
        <v>383</v>
      </c>
      <c r="AA4" s="178" t="s">
        <v>159</v>
      </c>
      <c r="AB4" s="178" t="s">
        <v>180</v>
      </c>
      <c r="AC4" s="178" t="s">
        <v>384</v>
      </c>
      <c r="AD4" s="178" t="s">
        <v>161</v>
      </c>
      <c r="AE4" s="178" t="s">
        <v>304</v>
      </c>
      <c r="AF4" s="188" t="s">
        <v>183</v>
      </c>
      <c r="AG4" s="225">
        <v>17.0</v>
      </c>
      <c r="AH4" s="139" t="s">
        <v>385</v>
      </c>
      <c r="AI4" s="140" t="s">
        <v>386</v>
      </c>
      <c r="AJ4" s="191">
        <v>70.0</v>
      </c>
      <c r="AK4" s="133" t="s">
        <v>387</v>
      </c>
      <c r="AL4" s="134">
        <f t="shared" ref="AL4:AL10" si="1">$AM$1</f>
        <v>44582</v>
      </c>
      <c r="AM4" s="135">
        <f t="shared" ref="AM4:AM6" si="2">AL4-$AN$1</f>
        <v>-132</v>
      </c>
      <c r="AN4" s="136" t="str">
        <f t="shared" ref="AN4:AN6" si="3">IF(ISBLANK(AG4),"Pend. Ejec. Trim."&amp;CHAR(10),)&amp;
IF(ISBLANK(AH4),"Pend. Just. Trim."&amp;CHAR(10),)&amp;
IF(ISBLANK(AI4),"Pend. Evid. Trim."&amp;CHAR(10),)&amp;
IF(ISBLANK(AJ4),"Pend. Ejec. Año"&amp;CHAR(10),)&amp;
IF(ISBLANK(AK4),"Pend. Evid. Año",)&amp;
IF(OR(ISBLANK(AG4),ISBLANK(AH4),ISBLANK(AI4),ISBLANK(AJ4),ISBLANK(AK4)),,"Reporte ok")</f>
        <v>Reporte ok</v>
      </c>
      <c r="AO4" s="137"/>
      <c r="AP4" s="138"/>
    </row>
    <row r="5" ht="67.5" customHeight="1">
      <c r="A5" s="118"/>
      <c r="B5" s="177">
        <v>40.0</v>
      </c>
      <c r="C5" s="178" t="s">
        <v>372</v>
      </c>
      <c r="D5" s="178" t="s">
        <v>373</v>
      </c>
      <c r="E5" s="178" t="s">
        <v>374</v>
      </c>
      <c r="F5" s="179">
        <v>2.019011000276E12</v>
      </c>
      <c r="G5" s="180" t="s">
        <v>375</v>
      </c>
      <c r="H5" s="178" t="s">
        <v>388</v>
      </c>
      <c r="I5" s="178" t="s">
        <v>389</v>
      </c>
      <c r="J5" s="178" t="s">
        <v>390</v>
      </c>
      <c r="K5" s="181" t="s">
        <v>124</v>
      </c>
      <c r="L5" s="181" t="s">
        <v>125</v>
      </c>
      <c r="M5" s="181" t="s">
        <v>126</v>
      </c>
      <c r="N5" s="182" t="s">
        <v>391</v>
      </c>
      <c r="O5" s="183">
        <v>157.0</v>
      </c>
      <c r="P5" s="190">
        <v>380.0</v>
      </c>
      <c r="Q5" s="185" t="s">
        <v>392</v>
      </c>
      <c r="R5" s="186" t="s">
        <v>128</v>
      </c>
      <c r="S5" s="190">
        <v>70.0</v>
      </c>
      <c r="T5" s="190">
        <v>106.0</v>
      </c>
      <c r="U5" s="190">
        <v>106.0</v>
      </c>
      <c r="V5" s="190">
        <v>98.0</v>
      </c>
      <c r="W5" s="187" t="s">
        <v>373</v>
      </c>
      <c r="X5" s="180" t="s">
        <v>381</v>
      </c>
      <c r="Y5" s="178" t="s">
        <v>382</v>
      </c>
      <c r="Z5" s="180" t="s">
        <v>383</v>
      </c>
      <c r="AA5" s="178" t="s">
        <v>159</v>
      </c>
      <c r="AB5" s="178" t="s">
        <v>180</v>
      </c>
      <c r="AC5" s="178" t="s">
        <v>384</v>
      </c>
      <c r="AD5" s="178" t="s">
        <v>161</v>
      </c>
      <c r="AE5" s="178" t="s">
        <v>304</v>
      </c>
      <c r="AF5" s="188" t="s">
        <v>183</v>
      </c>
      <c r="AG5" s="191">
        <v>117.0</v>
      </c>
      <c r="AH5" s="139" t="s">
        <v>393</v>
      </c>
      <c r="AI5" s="140" t="s">
        <v>394</v>
      </c>
      <c r="AJ5" s="191">
        <v>380.0</v>
      </c>
      <c r="AK5" s="133" t="s">
        <v>387</v>
      </c>
      <c r="AL5" s="134">
        <f t="shared" si="1"/>
        <v>44582</v>
      </c>
      <c r="AM5" s="135">
        <f t="shared" si="2"/>
        <v>-132</v>
      </c>
      <c r="AN5" s="136" t="str">
        <f t="shared" si="3"/>
        <v>Reporte ok</v>
      </c>
      <c r="AO5" s="137"/>
      <c r="AP5" s="138"/>
    </row>
    <row r="6" ht="67.5" customHeight="1">
      <c r="A6" s="118"/>
      <c r="B6" s="177">
        <v>41.0</v>
      </c>
      <c r="C6" s="178" t="s">
        <v>372</v>
      </c>
      <c r="D6" s="178" t="s">
        <v>373</v>
      </c>
      <c r="E6" s="178" t="s">
        <v>374</v>
      </c>
      <c r="F6" s="179">
        <v>2.019011000276E12</v>
      </c>
      <c r="G6" s="180" t="s">
        <v>375</v>
      </c>
      <c r="H6" s="178" t="s">
        <v>388</v>
      </c>
      <c r="I6" s="178" t="s">
        <v>389</v>
      </c>
      <c r="J6" s="178" t="s">
        <v>395</v>
      </c>
      <c r="K6" s="181" t="s">
        <v>147</v>
      </c>
      <c r="L6" s="181" t="s">
        <v>125</v>
      </c>
      <c r="M6" s="181" t="s">
        <v>126</v>
      </c>
      <c r="N6" s="182" t="s">
        <v>396</v>
      </c>
      <c r="O6" s="183"/>
      <c r="P6" s="190">
        <v>3.0</v>
      </c>
      <c r="Q6" s="185" t="s">
        <v>397</v>
      </c>
      <c r="R6" s="186" t="s">
        <v>170</v>
      </c>
      <c r="S6" s="190">
        <v>0.0</v>
      </c>
      <c r="T6" s="190">
        <v>1.0</v>
      </c>
      <c r="U6" s="190">
        <v>1.0</v>
      </c>
      <c r="V6" s="190">
        <v>1.0</v>
      </c>
      <c r="W6" s="187" t="s">
        <v>373</v>
      </c>
      <c r="X6" s="180" t="s">
        <v>381</v>
      </c>
      <c r="Y6" s="178" t="s">
        <v>382</v>
      </c>
      <c r="Z6" s="180" t="s">
        <v>383</v>
      </c>
      <c r="AA6" s="178" t="s">
        <v>159</v>
      </c>
      <c r="AB6" s="178" t="s">
        <v>180</v>
      </c>
      <c r="AC6" s="178" t="s">
        <v>384</v>
      </c>
      <c r="AD6" s="178" t="s">
        <v>161</v>
      </c>
      <c r="AE6" s="178" t="s">
        <v>304</v>
      </c>
      <c r="AF6" s="188" t="s">
        <v>183</v>
      </c>
      <c r="AG6" s="191">
        <v>1.0</v>
      </c>
      <c r="AH6" s="144" t="s">
        <v>385</v>
      </c>
      <c r="AI6" s="145" t="s">
        <v>398</v>
      </c>
      <c r="AJ6" s="191">
        <v>2.0</v>
      </c>
      <c r="AK6" s="133" t="s">
        <v>399</v>
      </c>
      <c r="AL6" s="134">
        <f t="shared" si="1"/>
        <v>44582</v>
      </c>
      <c r="AM6" s="135">
        <f t="shared" si="2"/>
        <v>-132</v>
      </c>
      <c r="AN6" s="136" t="str">
        <f t="shared" si="3"/>
        <v>Reporte ok</v>
      </c>
      <c r="AO6" s="137"/>
      <c r="AP6" s="138"/>
    </row>
    <row r="7" ht="67.5" customHeight="1">
      <c r="A7" s="118"/>
      <c r="B7" s="177">
        <v>42.0</v>
      </c>
      <c r="C7" s="178" t="s">
        <v>372</v>
      </c>
      <c r="D7" s="178" t="s">
        <v>373</v>
      </c>
      <c r="E7" s="178" t="s">
        <v>374</v>
      </c>
      <c r="F7" s="179">
        <v>2.019011000276E12</v>
      </c>
      <c r="G7" s="180" t="s">
        <v>375</v>
      </c>
      <c r="H7" s="178" t="s">
        <v>388</v>
      </c>
      <c r="I7" s="178" t="s">
        <v>389</v>
      </c>
      <c r="J7" s="178" t="s">
        <v>400</v>
      </c>
      <c r="K7" s="181" t="s">
        <v>147</v>
      </c>
      <c r="L7" s="181" t="s">
        <v>125</v>
      </c>
      <c r="M7" s="181" t="s">
        <v>126</v>
      </c>
      <c r="N7" s="182" t="s">
        <v>401</v>
      </c>
      <c r="O7" s="183"/>
      <c r="P7" s="190">
        <v>1.0</v>
      </c>
      <c r="Q7" s="185" t="s">
        <v>402</v>
      </c>
      <c r="R7" s="186" t="s">
        <v>128</v>
      </c>
      <c r="S7" s="190">
        <v>0.0</v>
      </c>
      <c r="T7" s="190">
        <v>0.0</v>
      </c>
      <c r="U7" s="190">
        <v>1.0</v>
      </c>
      <c r="V7" s="190">
        <v>0.0</v>
      </c>
      <c r="W7" s="187" t="s">
        <v>373</v>
      </c>
      <c r="X7" s="180" t="s">
        <v>381</v>
      </c>
      <c r="Y7" s="178" t="s">
        <v>382</v>
      </c>
      <c r="Z7" s="180" t="s">
        <v>383</v>
      </c>
      <c r="AA7" s="178" t="s">
        <v>159</v>
      </c>
      <c r="AB7" s="178" t="s">
        <v>180</v>
      </c>
      <c r="AC7" s="178" t="s">
        <v>384</v>
      </c>
      <c r="AD7" s="178" t="s">
        <v>161</v>
      </c>
      <c r="AE7" s="178" t="s">
        <v>304</v>
      </c>
      <c r="AF7" s="188" t="s">
        <v>183</v>
      </c>
      <c r="AG7" s="191">
        <v>0.0</v>
      </c>
      <c r="AH7" s="144" t="s">
        <v>403</v>
      </c>
      <c r="AI7" s="226" t="s">
        <v>403</v>
      </c>
      <c r="AJ7" s="191">
        <v>0.0</v>
      </c>
      <c r="AK7" s="133" t="s">
        <v>403</v>
      </c>
      <c r="AL7" s="134">
        <f t="shared" si="1"/>
        <v>44582</v>
      </c>
      <c r="AM7" s="135"/>
      <c r="AN7" s="136"/>
      <c r="AO7" s="137"/>
      <c r="AP7" s="138"/>
    </row>
    <row r="8" ht="67.5" customHeight="1">
      <c r="A8" s="118"/>
      <c r="B8" s="177">
        <v>43.0</v>
      </c>
      <c r="C8" s="178" t="s">
        <v>372</v>
      </c>
      <c r="D8" s="178" t="s">
        <v>373</v>
      </c>
      <c r="E8" s="178" t="s">
        <v>374</v>
      </c>
      <c r="F8" s="179">
        <v>2.019011000276E12</v>
      </c>
      <c r="G8" s="180" t="s">
        <v>375</v>
      </c>
      <c r="H8" s="178" t="s">
        <v>388</v>
      </c>
      <c r="I8" s="178" t="s">
        <v>389</v>
      </c>
      <c r="J8" s="178" t="s">
        <v>404</v>
      </c>
      <c r="K8" s="181" t="s">
        <v>147</v>
      </c>
      <c r="L8" s="181" t="s">
        <v>125</v>
      </c>
      <c r="M8" s="181" t="s">
        <v>126</v>
      </c>
      <c r="N8" s="182" t="s">
        <v>405</v>
      </c>
      <c r="O8" s="183"/>
      <c r="P8" s="190">
        <v>12.0</v>
      </c>
      <c r="Q8" s="185" t="s">
        <v>406</v>
      </c>
      <c r="R8" s="186" t="s">
        <v>176</v>
      </c>
      <c r="S8" s="190">
        <v>3.0</v>
      </c>
      <c r="T8" s="190">
        <v>3.0</v>
      </c>
      <c r="U8" s="190">
        <v>3.0</v>
      </c>
      <c r="V8" s="190">
        <v>3.0</v>
      </c>
      <c r="W8" s="187" t="s">
        <v>373</v>
      </c>
      <c r="X8" s="180" t="s">
        <v>381</v>
      </c>
      <c r="Y8" s="178" t="s">
        <v>382</v>
      </c>
      <c r="Z8" s="180" t="s">
        <v>383</v>
      </c>
      <c r="AA8" s="178" t="s">
        <v>159</v>
      </c>
      <c r="AB8" s="178" t="s">
        <v>180</v>
      </c>
      <c r="AC8" s="178" t="s">
        <v>384</v>
      </c>
      <c r="AD8" s="178" t="s">
        <v>161</v>
      </c>
      <c r="AE8" s="178" t="s">
        <v>304</v>
      </c>
      <c r="AF8" s="188" t="s">
        <v>183</v>
      </c>
      <c r="AG8" s="191">
        <v>3.0</v>
      </c>
      <c r="AH8" s="144" t="s">
        <v>407</v>
      </c>
      <c r="AI8" s="145" t="s">
        <v>408</v>
      </c>
      <c r="AJ8" s="191">
        <v>12.0</v>
      </c>
      <c r="AK8" s="133" t="s">
        <v>409</v>
      </c>
      <c r="AL8" s="134">
        <f t="shared" si="1"/>
        <v>44582</v>
      </c>
      <c r="AM8" s="135"/>
      <c r="AN8" s="136"/>
      <c r="AO8" s="137"/>
      <c r="AP8" s="138"/>
    </row>
    <row r="9" ht="67.5" customHeight="1">
      <c r="A9" s="118"/>
      <c r="B9" s="177">
        <v>44.0</v>
      </c>
      <c r="C9" s="178" t="s">
        <v>372</v>
      </c>
      <c r="D9" s="178" t="s">
        <v>373</v>
      </c>
      <c r="E9" s="178" t="s">
        <v>410</v>
      </c>
      <c r="F9" s="179">
        <v>2.019011000275E12</v>
      </c>
      <c r="G9" s="180" t="s">
        <v>411</v>
      </c>
      <c r="H9" s="178" t="s">
        <v>412</v>
      </c>
      <c r="I9" s="178" t="s">
        <v>413</v>
      </c>
      <c r="J9" s="178" t="s">
        <v>414</v>
      </c>
      <c r="K9" s="181" t="s">
        <v>124</v>
      </c>
      <c r="L9" s="181" t="s">
        <v>125</v>
      </c>
      <c r="M9" s="181" t="s">
        <v>126</v>
      </c>
      <c r="N9" s="182" t="s">
        <v>415</v>
      </c>
      <c r="O9" s="183">
        <v>3.0</v>
      </c>
      <c r="P9" s="190">
        <v>5.0</v>
      </c>
      <c r="Q9" s="185" t="s">
        <v>416</v>
      </c>
      <c r="R9" s="186" t="s">
        <v>417</v>
      </c>
      <c r="S9" s="190">
        <v>1.0</v>
      </c>
      <c r="T9" s="190">
        <v>1.0</v>
      </c>
      <c r="U9" s="190">
        <v>2.0</v>
      </c>
      <c r="V9" s="190">
        <v>1.0</v>
      </c>
      <c r="W9" s="187" t="s">
        <v>373</v>
      </c>
      <c r="X9" s="180" t="s">
        <v>381</v>
      </c>
      <c r="Y9" s="178" t="s">
        <v>382</v>
      </c>
      <c r="Z9" s="180" t="s">
        <v>383</v>
      </c>
      <c r="AA9" s="178" t="s">
        <v>159</v>
      </c>
      <c r="AB9" s="178" t="s">
        <v>180</v>
      </c>
      <c r="AC9" s="178" t="s">
        <v>384</v>
      </c>
      <c r="AD9" s="178" t="s">
        <v>161</v>
      </c>
      <c r="AE9" s="178" t="s">
        <v>304</v>
      </c>
      <c r="AF9" s="188" t="s">
        <v>183</v>
      </c>
      <c r="AG9" s="191">
        <v>1.0</v>
      </c>
      <c r="AH9" s="144" t="s">
        <v>418</v>
      </c>
      <c r="AI9" s="145" t="s">
        <v>419</v>
      </c>
      <c r="AJ9" s="191">
        <v>5.0</v>
      </c>
      <c r="AK9" s="133" t="s">
        <v>409</v>
      </c>
      <c r="AL9" s="134">
        <f t="shared" si="1"/>
        <v>44582</v>
      </c>
      <c r="AM9" s="135"/>
      <c r="AN9" s="136"/>
      <c r="AO9" s="137"/>
      <c r="AP9" s="138"/>
    </row>
    <row r="10" ht="67.5" customHeight="1">
      <c r="A10" s="118"/>
      <c r="B10" s="177">
        <v>45.0</v>
      </c>
      <c r="C10" s="178" t="s">
        <v>372</v>
      </c>
      <c r="D10" s="178" t="s">
        <v>373</v>
      </c>
      <c r="E10" s="178" t="s">
        <v>374</v>
      </c>
      <c r="F10" s="179">
        <v>2.019011000276E12</v>
      </c>
      <c r="G10" s="180" t="s">
        <v>375</v>
      </c>
      <c r="H10" s="178" t="s">
        <v>388</v>
      </c>
      <c r="I10" s="178" t="s">
        <v>389</v>
      </c>
      <c r="J10" s="178" t="s">
        <v>395</v>
      </c>
      <c r="K10" s="181" t="s">
        <v>147</v>
      </c>
      <c r="L10" s="181" t="s">
        <v>125</v>
      </c>
      <c r="M10" s="181" t="s">
        <v>126</v>
      </c>
      <c r="N10" s="182" t="s">
        <v>420</v>
      </c>
      <c r="O10" s="183"/>
      <c r="P10" s="190">
        <v>8.0</v>
      </c>
      <c r="Q10" s="185" t="s">
        <v>421</v>
      </c>
      <c r="R10" s="186" t="s">
        <v>176</v>
      </c>
      <c r="S10" s="190">
        <v>1.0</v>
      </c>
      <c r="T10" s="190">
        <v>0.0</v>
      </c>
      <c r="U10" s="190">
        <v>4.0</v>
      </c>
      <c r="V10" s="190">
        <v>3.0</v>
      </c>
      <c r="W10" s="187" t="s">
        <v>373</v>
      </c>
      <c r="X10" s="180" t="s">
        <v>381</v>
      </c>
      <c r="Y10" s="178" t="s">
        <v>382</v>
      </c>
      <c r="Z10" s="180" t="s">
        <v>383</v>
      </c>
      <c r="AA10" s="178" t="s">
        <v>159</v>
      </c>
      <c r="AB10" s="178" t="s">
        <v>180</v>
      </c>
      <c r="AC10" s="178" t="s">
        <v>384</v>
      </c>
      <c r="AD10" s="178" t="s">
        <v>161</v>
      </c>
      <c r="AE10" s="178" t="s">
        <v>304</v>
      </c>
      <c r="AF10" s="188" t="s">
        <v>183</v>
      </c>
      <c r="AG10" s="191">
        <v>3.0</v>
      </c>
      <c r="AH10" s="144" t="s">
        <v>422</v>
      </c>
      <c r="AI10" s="145" t="s">
        <v>423</v>
      </c>
      <c r="AJ10" s="191">
        <v>8.0</v>
      </c>
      <c r="AK10" s="133" t="s">
        <v>409</v>
      </c>
      <c r="AL10" s="134">
        <f t="shared" si="1"/>
        <v>44582</v>
      </c>
      <c r="AM10" s="135"/>
      <c r="AN10" s="136"/>
      <c r="AO10" s="137"/>
      <c r="AP10" s="138"/>
    </row>
    <row r="11" ht="67.5" customHeight="1">
      <c r="A11" s="118"/>
      <c r="B11" s="177"/>
      <c r="C11" s="178"/>
      <c r="D11" s="178"/>
      <c r="E11" s="178"/>
      <c r="F11" s="179"/>
      <c r="G11" s="180"/>
      <c r="H11" s="178"/>
      <c r="I11" s="178"/>
      <c r="J11" s="178"/>
      <c r="K11" s="181"/>
      <c r="L11" s="181"/>
      <c r="M11" s="181"/>
      <c r="N11" s="182"/>
      <c r="O11" s="183"/>
      <c r="P11" s="190"/>
      <c r="Q11" s="185"/>
      <c r="R11" s="186"/>
      <c r="S11" s="190"/>
      <c r="T11" s="190"/>
      <c r="U11" s="190"/>
      <c r="V11" s="190"/>
      <c r="W11" s="187"/>
      <c r="X11" s="180"/>
      <c r="Y11" s="178"/>
      <c r="Z11" s="180"/>
      <c r="AA11" s="178"/>
      <c r="AB11" s="178"/>
      <c r="AC11" s="178"/>
      <c r="AD11" s="178"/>
      <c r="AE11" s="178"/>
      <c r="AF11" s="188"/>
      <c r="AG11" s="146"/>
      <c r="AH11" s="147"/>
      <c r="AI11" s="148"/>
      <c r="AJ11" s="149"/>
      <c r="AK11" s="133"/>
      <c r="AL11" s="134"/>
      <c r="AM11" s="135"/>
      <c r="AN11" s="136"/>
      <c r="AO11" s="137"/>
      <c r="AP11" s="138"/>
    </row>
    <row r="12" ht="67.5" customHeight="1">
      <c r="A12" s="118"/>
      <c r="B12" s="177"/>
      <c r="C12" s="178"/>
      <c r="D12" s="178"/>
      <c r="E12" s="178"/>
      <c r="F12" s="179"/>
      <c r="G12" s="180"/>
      <c r="H12" s="178"/>
      <c r="I12" s="178"/>
      <c r="J12" s="178"/>
      <c r="K12" s="181"/>
      <c r="L12" s="181"/>
      <c r="M12" s="181"/>
      <c r="N12" s="182"/>
      <c r="O12" s="183"/>
      <c r="P12" s="190"/>
      <c r="Q12" s="185"/>
      <c r="R12" s="186"/>
      <c r="S12" s="190"/>
      <c r="T12" s="190"/>
      <c r="U12" s="190"/>
      <c r="V12" s="190"/>
      <c r="W12" s="187"/>
      <c r="X12" s="180"/>
      <c r="Y12" s="178"/>
      <c r="Z12" s="180"/>
      <c r="AA12" s="178"/>
      <c r="AB12" s="178"/>
      <c r="AC12" s="178"/>
      <c r="AD12" s="178"/>
      <c r="AE12" s="178"/>
      <c r="AF12" s="188"/>
      <c r="AG12" s="146"/>
      <c r="AH12" s="147"/>
      <c r="AI12" s="148"/>
      <c r="AJ12" s="149"/>
      <c r="AK12" s="133"/>
      <c r="AL12" s="134"/>
      <c r="AM12" s="135"/>
      <c r="AN12" s="136"/>
      <c r="AO12" s="137"/>
      <c r="AP12" s="138"/>
    </row>
    <row r="13" ht="67.5" customHeight="1">
      <c r="A13" s="118"/>
      <c r="B13" s="177"/>
      <c r="C13" s="178"/>
      <c r="D13" s="178"/>
      <c r="E13" s="178"/>
      <c r="F13" s="179"/>
      <c r="G13" s="180"/>
      <c r="H13" s="178"/>
      <c r="I13" s="178"/>
      <c r="J13" s="178"/>
      <c r="K13" s="181"/>
      <c r="L13" s="181"/>
      <c r="M13" s="181"/>
      <c r="N13" s="182"/>
      <c r="O13" s="183"/>
      <c r="P13" s="190"/>
      <c r="Q13" s="185"/>
      <c r="R13" s="186"/>
      <c r="S13" s="190"/>
      <c r="T13" s="190"/>
      <c r="U13" s="190"/>
      <c r="V13" s="190"/>
      <c r="W13" s="187"/>
      <c r="X13" s="180"/>
      <c r="Y13" s="178"/>
      <c r="Z13" s="180"/>
      <c r="AA13" s="178"/>
      <c r="AB13" s="178"/>
      <c r="AC13" s="178"/>
      <c r="AD13" s="178"/>
      <c r="AE13" s="178"/>
      <c r="AF13" s="188"/>
      <c r="AG13" s="146"/>
      <c r="AH13" s="147"/>
      <c r="AI13" s="148"/>
      <c r="AJ13" s="149"/>
      <c r="AK13" s="133"/>
      <c r="AL13" s="134"/>
      <c r="AM13" s="135"/>
      <c r="AN13" s="136"/>
      <c r="AO13" s="137"/>
      <c r="AP13" s="138"/>
    </row>
    <row r="14" ht="67.5" customHeight="1">
      <c r="A14" s="118"/>
      <c r="B14" s="177"/>
      <c r="C14" s="178"/>
      <c r="D14" s="178"/>
      <c r="E14" s="178"/>
      <c r="F14" s="179"/>
      <c r="G14" s="180"/>
      <c r="H14" s="178"/>
      <c r="I14" s="178"/>
      <c r="J14" s="178"/>
      <c r="K14" s="181"/>
      <c r="L14" s="181"/>
      <c r="M14" s="181"/>
      <c r="N14" s="182"/>
      <c r="O14" s="183"/>
      <c r="P14" s="190"/>
      <c r="Q14" s="185"/>
      <c r="R14" s="186"/>
      <c r="S14" s="190"/>
      <c r="T14" s="190"/>
      <c r="U14" s="190"/>
      <c r="V14" s="190"/>
      <c r="W14" s="187"/>
      <c r="X14" s="180"/>
      <c r="Y14" s="178"/>
      <c r="Z14" s="180"/>
      <c r="AA14" s="178"/>
      <c r="AB14" s="178"/>
      <c r="AC14" s="178"/>
      <c r="AD14" s="178"/>
      <c r="AE14" s="178"/>
      <c r="AF14" s="188"/>
      <c r="AG14" s="146"/>
      <c r="AH14" s="147"/>
      <c r="AI14" s="148"/>
      <c r="AJ14" s="149"/>
      <c r="AK14" s="133"/>
      <c r="AL14" s="134"/>
      <c r="AM14" s="135"/>
      <c r="AN14" s="136"/>
      <c r="AO14" s="137"/>
      <c r="AP14" s="138"/>
    </row>
    <row r="15" ht="67.5" customHeight="1">
      <c r="A15" s="118"/>
      <c r="B15" s="177"/>
      <c r="C15" s="178"/>
      <c r="D15" s="178"/>
      <c r="E15" s="178"/>
      <c r="F15" s="179"/>
      <c r="G15" s="180"/>
      <c r="H15" s="178"/>
      <c r="I15" s="178"/>
      <c r="J15" s="178"/>
      <c r="K15" s="181"/>
      <c r="L15" s="181"/>
      <c r="M15" s="181"/>
      <c r="N15" s="182"/>
      <c r="O15" s="183"/>
      <c r="P15" s="190"/>
      <c r="Q15" s="185"/>
      <c r="R15" s="186"/>
      <c r="S15" s="190"/>
      <c r="T15" s="190"/>
      <c r="U15" s="190"/>
      <c r="V15" s="190"/>
      <c r="W15" s="187"/>
      <c r="X15" s="180"/>
      <c r="Y15" s="178"/>
      <c r="Z15" s="180"/>
      <c r="AA15" s="178"/>
      <c r="AB15" s="178"/>
      <c r="AC15" s="178"/>
      <c r="AD15" s="178"/>
      <c r="AE15" s="178"/>
      <c r="AF15" s="188"/>
      <c r="AG15" s="146"/>
      <c r="AH15" s="147"/>
      <c r="AI15" s="148"/>
      <c r="AJ15" s="149"/>
      <c r="AK15" s="133"/>
      <c r="AL15" s="134"/>
      <c r="AM15" s="135"/>
      <c r="AN15" s="136"/>
      <c r="AO15" s="137"/>
      <c r="AP15" s="138"/>
    </row>
    <row r="16" ht="67.5" customHeight="1">
      <c r="A16" s="118"/>
      <c r="B16" s="177"/>
      <c r="C16" s="178"/>
      <c r="D16" s="178"/>
      <c r="E16" s="178"/>
      <c r="F16" s="179"/>
      <c r="G16" s="180"/>
      <c r="H16" s="178"/>
      <c r="I16" s="178"/>
      <c r="J16" s="178"/>
      <c r="K16" s="181"/>
      <c r="L16" s="181"/>
      <c r="M16" s="181"/>
      <c r="N16" s="182"/>
      <c r="O16" s="183"/>
      <c r="P16" s="190"/>
      <c r="Q16" s="185"/>
      <c r="R16" s="186"/>
      <c r="S16" s="190"/>
      <c r="T16" s="190"/>
      <c r="U16" s="190"/>
      <c r="V16" s="190"/>
      <c r="W16" s="187"/>
      <c r="X16" s="180"/>
      <c r="Y16" s="178"/>
      <c r="Z16" s="180"/>
      <c r="AA16" s="178"/>
      <c r="AB16" s="178"/>
      <c r="AC16" s="178"/>
      <c r="AD16" s="178"/>
      <c r="AE16" s="178"/>
      <c r="AF16" s="188"/>
      <c r="AG16" s="146"/>
      <c r="AH16" s="147"/>
      <c r="AI16" s="148"/>
      <c r="AJ16" s="149"/>
      <c r="AK16" s="133"/>
      <c r="AL16" s="134"/>
      <c r="AM16" s="135"/>
      <c r="AN16" s="136"/>
      <c r="AO16" s="137"/>
      <c r="AP16" s="138"/>
    </row>
    <row r="17" ht="67.5" customHeight="1">
      <c r="A17" s="118"/>
      <c r="B17" s="192"/>
      <c r="C17" s="193"/>
      <c r="D17" s="193"/>
      <c r="E17" s="193"/>
      <c r="F17" s="194"/>
      <c r="G17" s="195"/>
      <c r="H17" s="193"/>
      <c r="I17" s="193"/>
      <c r="J17" s="193"/>
      <c r="K17" s="196"/>
      <c r="L17" s="196"/>
      <c r="M17" s="196"/>
      <c r="N17" s="197"/>
      <c r="O17" s="198"/>
      <c r="P17" s="199"/>
      <c r="Q17" s="200"/>
      <c r="R17" s="201"/>
      <c r="S17" s="199"/>
      <c r="T17" s="199"/>
      <c r="U17" s="199"/>
      <c r="V17" s="199"/>
      <c r="W17" s="202"/>
      <c r="X17" s="195"/>
      <c r="Y17" s="193"/>
      <c r="Z17" s="195"/>
      <c r="AA17" s="193"/>
      <c r="AB17" s="193"/>
      <c r="AC17" s="193"/>
      <c r="AD17" s="193"/>
      <c r="AE17" s="193"/>
      <c r="AF17" s="203"/>
      <c r="AG17" s="161"/>
      <c r="AH17" s="162"/>
      <c r="AI17" s="163"/>
      <c r="AJ17" s="164"/>
      <c r="AK17" s="165"/>
      <c r="AL17" s="166"/>
      <c r="AM17" s="167"/>
      <c r="AN17" s="168"/>
      <c r="AO17" s="169"/>
      <c r="AP17" s="138"/>
    </row>
    <row r="18" ht="15.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170"/>
      <c r="AH18" s="170"/>
      <c r="AI18" s="170"/>
      <c r="AJ18" s="88"/>
      <c r="AK18" s="88"/>
      <c r="AL18" s="88"/>
      <c r="AM18" s="88"/>
      <c r="AN18" s="88"/>
      <c r="AO18" s="88"/>
      <c r="AP18" s="88"/>
    </row>
  </sheetData>
  <autoFilter ref="$A$3:$AP$10"/>
  <mergeCells count="4">
    <mergeCell ref="B1:C1"/>
    <mergeCell ref="AG2:AI2"/>
    <mergeCell ref="AJ2:AK2"/>
    <mergeCell ref="AL2:AO2"/>
  </mergeCells>
  <conditionalFormatting sqref="AK4:AK17 AM4:AM17">
    <cfRule type="cellIs" dxfId="2" priority="1" operator="greaterThan">
      <formula>0</formula>
    </cfRule>
  </conditionalFormatting>
  <conditionalFormatting sqref="AK4:AK17 AM4:AM17">
    <cfRule type="cellIs" dxfId="3" priority="2" operator="lessThan">
      <formula>0</formula>
    </cfRule>
  </conditionalFormatting>
  <dataValidations>
    <dataValidation type="decimal" allowBlank="1" showDropDown="1" showInputMessage="1" showErrorMessage="1" prompt="Recuerde que debe ingresar un valor numérico o porcentaje" sqref="AG5:AG17 AJ4:AJ17">
      <formula1>0.0</formula1>
      <formula2>5000000.0</formula2>
    </dataValidation>
  </dataValidations>
  <hyperlinks>
    <hyperlink display="Home" location="Home!A1" ref="B1"/>
    <hyperlink r:id="rId1" ref="AI4"/>
    <hyperlink r:id="rId2" ref="AI5"/>
    <hyperlink r:id="rId3" ref="AI6"/>
    <hyperlink r:id="rId4" ref="AI8"/>
    <hyperlink r:id="rId5" ref="AI9"/>
    <hyperlink r:id="rId6" ref="AI10"/>
  </hyperlinks>
  <printOptions gridLines="1" horizontalCentered="1"/>
  <pageMargins bottom="0.75" footer="0.0" header="0.0" left="0.7" right="0.7" top="0.75"/>
  <pageSetup cellComments="atEnd" orientation="portrait" pageOrder="overThenDown"/>
  <drawing r:id="rId7"/>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21" width="15.75"/>
    <col customWidth="1" min="22" max="22" width="15.75"/>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4" width="21.0"/>
    <col customWidth="1" min="35" max="35" width="22.88"/>
    <col customWidth="1" min="36" max="36" width="21.75"/>
    <col customWidth="1" min="37" max="37" width="20.25"/>
    <col customWidth="1" min="38" max="38" width="15.75"/>
    <col customWidth="1" min="39" max="39" width="15.63"/>
    <col customWidth="1" min="40" max="40" width="16.38"/>
    <col customWidth="1" min="41" max="41" width="18.25"/>
    <col customWidth="1" min="42" max="42" width="3.88"/>
  </cols>
  <sheetData>
    <row r="1" ht="33.75" customHeight="1">
      <c r="A1" s="85"/>
      <c r="B1" s="86" t="s">
        <v>108</v>
      </c>
      <c r="C1" s="87"/>
      <c r="D1" s="88"/>
      <c r="E1" s="89"/>
      <c r="F1" s="90"/>
      <c r="G1" s="90"/>
      <c r="H1" s="90"/>
      <c r="I1" s="90"/>
      <c r="J1" s="90"/>
      <c r="K1" s="90"/>
      <c r="L1" s="90"/>
      <c r="M1" s="90"/>
      <c r="N1" s="90"/>
      <c r="O1" s="90"/>
      <c r="P1" s="90"/>
      <c r="Q1" s="90"/>
      <c r="R1" s="90"/>
      <c r="S1" s="90"/>
      <c r="T1" s="90"/>
      <c r="U1" s="90"/>
      <c r="V1" s="90"/>
      <c r="W1" s="90"/>
      <c r="X1" s="90"/>
      <c r="Y1" s="90"/>
      <c r="Z1" s="90"/>
      <c r="AA1" s="90"/>
      <c r="AB1" s="90"/>
      <c r="AC1" s="90"/>
      <c r="AD1" s="90"/>
      <c r="AE1" s="90"/>
      <c r="AF1" s="88"/>
      <c r="AG1" s="91" t="s">
        <v>109</v>
      </c>
      <c r="AH1" s="92">
        <v>1.0</v>
      </c>
      <c r="AI1" s="93" t="s">
        <v>110</v>
      </c>
      <c r="AJ1" s="94"/>
      <c r="AK1" s="95"/>
      <c r="AL1" s="96">
        <v>43466.0</v>
      </c>
      <c r="AM1" s="97">
        <f>Alertas!B6</f>
        <v>44582</v>
      </c>
      <c r="AN1" s="96">
        <f>TODAY()-1</f>
        <v>44714</v>
      </c>
      <c r="AO1" s="93"/>
      <c r="AP1" s="93"/>
    </row>
    <row r="2" ht="33.75" customHeight="1">
      <c r="A2" s="85"/>
      <c r="B2" s="88"/>
      <c r="C2" s="98"/>
      <c r="D2" s="99"/>
      <c r="E2" s="88"/>
      <c r="F2" s="100"/>
      <c r="G2" s="88"/>
      <c r="H2" s="88"/>
      <c r="I2" s="88"/>
      <c r="J2" s="88"/>
      <c r="K2" s="88"/>
      <c r="L2" s="88"/>
      <c r="M2" s="88"/>
      <c r="N2" s="88"/>
      <c r="O2" s="88"/>
      <c r="P2" s="88"/>
      <c r="Q2" s="88"/>
      <c r="R2" s="88"/>
      <c r="S2" s="88"/>
      <c r="T2" s="88"/>
      <c r="U2" s="88"/>
      <c r="V2" s="88"/>
      <c r="W2" s="88"/>
      <c r="X2" s="88"/>
      <c r="Y2" s="88"/>
      <c r="Z2" s="88"/>
      <c r="AA2" s="88"/>
      <c r="AB2" s="88"/>
      <c r="AC2" s="88"/>
      <c r="AD2" s="88"/>
      <c r="AE2" s="88"/>
      <c r="AF2" s="17"/>
      <c r="AG2" s="101" t="s">
        <v>111</v>
      </c>
      <c r="AH2" s="102"/>
      <c r="AI2" s="103"/>
      <c r="AJ2" s="104" t="s">
        <v>112</v>
      </c>
      <c r="AK2" s="103"/>
      <c r="AL2" s="104" t="s">
        <v>113</v>
      </c>
      <c r="AM2" s="102"/>
      <c r="AN2" s="102"/>
      <c r="AO2" s="103"/>
      <c r="AP2" s="105"/>
    </row>
    <row r="3" ht="33.75" customHeight="1">
      <c r="A3" s="106"/>
      <c r="B3" s="171" t="s">
        <v>40</v>
      </c>
      <c r="C3" s="172" t="s">
        <v>41</v>
      </c>
      <c r="D3" s="173" t="s">
        <v>42</v>
      </c>
      <c r="E3" s="173" t="s">
        <v>43</v>
      </c>
      <c r="F3" s="174" t="s">
        <v>44</v>
      </c>
      <c r="G3" s="175" t="s">
        <v>45</v>
      </c>
      <c r="H3" s="173" t="s">
        <v>46</v>
      </c>
      <c r="I3" s="175" t="s">
        <v>47</v>
      </c>
      <c r="J3" s="175" t="s">
        <v>48</v>
      </c>
      <c r="K3" s="175" t="s">
        <v>49</v>
      </c>
      <c r="L3" s="175" t="s">
        <v>50</v>
      </c>
      <c r="M3" s="173" t="s">
        <v>51</v>
      </c>
      <c r="N3" s="173" t="s">
        <v>52</v>
      </c>
      <c r="O3" s="175" t="s">
        <v>53</v>
      </c>
      <c r="P3" s="175" t="s">
        <v>54</v>
      </c>
      <c r="Q3" s="173" t="s">
        <v>55</v>
      </c>
      <c r="R3" s="173" t="s">
        <v>56</v>
      </c>
      <c r="S3" s="175" t="s">
        <v>57</v>
      </c>
      <c r="T3" s="175" t="s">
        <v>58</v>
      </c>
      <c r="U3" s="175" t="s">
        <v>59</v>
      </c>
      <c r="V3" s="175" t="s">
        <v>60</v>
      </c>
      <c r="W3" s="173" t="s">
        <v>61</v>
      </c>
      <c r="X3" s="172" t="s">
        <v>62</v>
      </c>
      <c r="Y3" s="172" t="s">
        <v>63</v>
      </c>
      <c r="Z3" s="172" t="s">
        <v>64</v>
      </c>
      <c r="AA3" s="172" t="s">
        <v>65</v>
      </c>
      <c r="AB3" s="172" t="s">
        <v>66</v>
      </c>
      <c r="AC3" s="172" t="s">
        <v>67</v>
      </c>
      <c r="AD3" s="172" t="s">
        <v>68</v>
      </c>
      <c r="AE3" s="172" t="s">
        <v>69</v>
      </c>
      <c r="AF3" s="176" t="s">
        <v>70</v>
      </c>
      <c r="AG3" s="113" t="s">
        <v>71</v>
      </c>
      <c r="AH3" s="114" t="s">
        <v>72</v>
      </c>
      <c r="AI3" s="115" t="s">
        <v>73</v>
      </c>
      <c r="AJ3" s="116" t="s">
        <v>114</v>
      </c>
      <c r="AK3" s="117" t="s">
        <v>115</v>
      </c>
      <c r="AL3" s="113" t="s">
        <v>74</v>
      </c>
      <c r="AM3" s="114" t="s">
        <v>116</v>
      </c>
      <c r="AN3" s="114" t="s">
        <v>76</v>
      </c>
      <c r="AO3" s="117" t="s">
        <v>117</v>
      </c>
      <c r="AP3" s="105"/>
    </row>
    <row r="4" ht="67.5" customHeight="1">
      <c r="A4" s="118"/>
      <c r="B4" s="177">
        <v>49.0</v>
      </c>
      <c r="C4" s="178" t="s">
        <v>424</v>
      </c>
      <c r="D4" s="178" t="s">
        <v>425</v>
      </c>
      <c r="E4" s="178" t="s">
        <v>119</v>
      </c>
      <c r="F4" s="179">
        <v>2.018011000241E12</v>
      </c>
      <c r="G4" s="180" t="s">
        <v>120</v>
      </c>
      <c r="H4" s="178" t="s">
        <v>144</v>
      </c>
      <c r="I4" s="178" t="s">
        <v>426</v>
      </c>
      <c r="J4" s="178" t="s">
        <v>427</v>
      </c>
      <c r="K4" s="181" t="s">
        <v>147</v>
      </c>
      <c r="L4" s="181" t="s">
        <v>125</v>
      </c>
      <c r="M4" s="181" t="s">
        <v>126</v>
      </c>
      <c r="N4" s="182" t="s">
        <v>428</v>
      </c>
      <c r="O4" s="183"/>
      <c r="P4" s="190">
        <v>2.0</v>
      </c>
      <c r="Q4" s="185" t="s">
        <v>429</v>
      </c>
      <c r="R4" s="186" t="s">
        <v>157</v>
      </c>
      <c r="S4" s="190">
        <v>0.0</v>
      </c>
      <c r="T4" s="190">
        <v>1.0</v>
      </c>
      <c r="U4" s="190">
        <v>0.0</v>
      </c>
      <c r="V4" s="190">
        <v>1.0</v>
      </c>
      <c r="W4" s="187" t="s">
        <v>425</v>
      </c>
      <c r="X4" s="180" t="s">
        <v>130</v>
      </c>
      <c r="Y4" s="178" t="s">
        <v>430</v>
      </c>
      <c r="Z4" s="180" t="s">
        <v>132</v>
      </c>
      <c r="AA4" s="178" t="s">
        <v>431</v>
      </c>
      <c r="AB4" s="178" t="s">
        <v>432</v>
      </c>
      <c r="AC4" s="178" t="s">
        <v>135</v>
      </c>
      <c r="AD4" s="178" t="s">
        <v>181</v>
      </c>
      <c r="AE4" s="178" t="s">
        <v>425</v>
      </c>
      <c r="AF4" s="188" t="s">
        <v>138</v>
      </c>
      <c r="AG4" s="189">
        <v>0.45</v>
      </c>
      <c r="AH4" s="221" t="s">
        <v>433</v>
      </c>
      <c r="AI4" s="227" t="s">
        <v>434</v>
      </c>
      <c r="AJ4" s="189">
        <v>1.0</v>
      </c>
      <c r="AK4" s="133" t="s">
        <v>435</v>
      </c>
      <c r="AL4" s="134">
        <f t="shared" ref="AL4:AL6" si="1">$AM$1</f>
        <v>44582</v>
      </c>
      <c r="AM4" s="135">
        <f t="shared" ref="AM4:AM6" si="2">AL4-$AN$1</f>
        <v>-132</v>
      </c>
      <c r="AN4" s="136" t="str">
        <f t="shared" ref="AN4:AN6" si="3">IF(ISBLANK(AG4),"Pend. Ejec. Trim."&amp;CHAR(10),)&amp;
IF(ISBLANK(AH4),"Pend. Just. Trim."&amp;CHAR(10),)&amp;
IF(ISBLANK(AI4),"Pend. Evid. Trim."&amp;CHAR(10),)&amp;
IF(ISBLANK(AJ4),"Pend. Ejec. Año"&amp;CHAR(10),)&amp;
IF(ISBLANK(AK4),"Pend. Evid. Año",)&amp;
IF(OR(ISBLANK(AG4),ISBLANK(AH4),ISBLANK(AI4),ISBLANK(AJ4),ISBLANK(AK4)),,"Reporte ok")</f>
        <v>Reporte ok</v>
      </c>
      <c r="AO4" s="137"/>
      <c r="AP4" s="138"/>
    </row>
    <row r="5" ht="67.5" customHeight="1">
      <c r="A5" s="118"/>
      <c r="B5" s="177">
        <v>50.0</v>
      </c>
      <c r="C5" s="178" t="s">
        <v>424</v>
      </c>
      <c r="D5" s="178" t="s">
        <v>425</v>
      </c>
      <c r="E5" s="178" t="s">
        <v>119</v>
      </c>
      <c r="F5" s="179">
        <v>2.018011000241E12</v>
      </c>
      <c r="G5" s="180" t="s">
        <v>120</v>
      </c>
      <c r="H5" s="178" t="s">
        <v>144</v>
      </c>
      <c r="I5" s="178" t="s">
        <v>426</v>
      </c>
      <c r="J5" s="178" t="s">
        <v>427</v>
      </c>
      <c r="K5" s="181" t="s">
        <v>147</v>
      </c>
      <c r="L5" s="181" t="s">
        <v>125</v>
      </c>
      <c r="M5" s="181" t="s">
        <v>126</v>
      </c>
      <c r="N5" s="182" t="s">
        <v>428</v>
      </c>
      <c r="O5" s="183"/>
      <c r="P5" s="190">
        <v>2.0</v>
      </c>
      <c r="Q5" s="185" t="s">
        <v>436</v>
      </c>
      <c r="R5" s="186" t="s">
        <v>157</v>
      </c>
      <c r="S5" s="190">
        <v>0.0</v>
      </c>
      <c r="T5" s="190">
        <v>1.0</v>
      </c>
      <c r="U5" s="190">
        <v>0.0</v>
      </c>
      <c r="V5" s="190">
        <v>1.0</v>
      </c>
      <c r="W5" s="187" t="s">
        <v>425</v>
      </c>
      <c r="X5" s="180" t="s">
        <v>130</v>
      </c>
      <c r="Y5" s="178" t="s">
        <v>430</v>
      </c>
      <c r="Z5" s="180" t="s">
        <v>132</v>
      </c>
      <c r="AA5" s="178" t="s">
        <v>431</v>
      </c>
      <c r="AB5" s="178" t="s">
        <v>432</v>
      </c>
      <c r="AC5" s="178" t="s">
        <v>135</v>
      </c>
      <c r="AD5" s="178" t="s">
        <v>181</v>
      </c>
      <c r="AE5" s="178" t="s">
        <v>425</v>
      </c>
      <c r="AF5" s="188" t="s">
        <v>138</v>
      </c>
      <c r="AG5" s="189">
        <v>0.45</v>
      </c>
      <c r="AH5" s="221" t="s">
        <v>437</v>
      </c>
      <c r="AI5" s="228" t="s">
        <v>438</v>
      </c>
      <c r="AJ5" s="189">
        <v>1.0</v>
      </c>
      <c r="AK5" s="133" t="s">
        <v>435</v>
      </c>
      <c r="AL5" s="134">
        <f t="shared" si="1"/>
        <v>44582</v>
      </c>
      <c r="AM5" s="135">
        <f t="shared" si="2"/>
        <v>-132</v>
      </c>
      <c r="AN5" s="136" t="str">
        <f t="shared" si="3"/>
        <v>Reporte ok</v>
      </c>
      <c r="AO5" s="137"/>
      <c r="AP5" s="138"/>
    </row>
    <row r="6" ht="67.5" customHeight="1">
      <c r="A6" s="118"/>
      <c r="B6" s="177">
        <v>51.0</v>
      </c>
      <c r="C6" s="178" t="s">
        <v>424</v>
      </c>
      <c r="D6" s="178" t="s">
        <v>425</v>
      </c>
      <c r="E6" s="178" t="s">
        <v>119</v>
      </c>
      <c r="F6" s="179">
        <v>2.018011000241E12</v>
      </c>
      <c r="G6" s="180" t="s">
        <v>120</v>
      </c>
      <c r="H6" s="178" t="s">
        <v>144</v>
      </c>
      <c r="I6" s="178" t="s">
        <v>426</v>
      </c>
      <c r="J6" s="178" t="s">
        <v>427</v>
      </c>
      <c r="K6" s="181" t="s">
        <v>147</v>
      </c>
      <c r="L6" s="181" t="s">
        <v>125</v>
      </c>
      <c r="M6" s="181" t="s">
        <v>126</v>
      </c>
      <c r="N6" s="182" t="s">
        <v>428</v>
      </c>
      <c r="O6" s="183"/>
      <c r="P6" s="190">
        <v>4.0</v>
      </c>
      <c r="Q6" s="185" t="s">
        <v>439</v>
      </c>
      <c r="R6" s="186" t="s">
        <v>170</v>
      </c>
      <c r="S6" s="190">
        <v>1.0</v>
      </c>
      <c r="T6" s="190">
        <v>1.0</v>
      </c>
      <c r="U6" s="190">
        <v>1.0</v>
      </c>
      <c r="V6" s="190">
        <v>1.0</v>
      </c>
      <c r="W6" s="187" t="s">
        <v>425</v>
      </c>
      <c r="X6" s="180" t="s">
        <v>130</v>
      </c>
      <c r="Y6" s="178" t="s">
        <v>430</v>
      </c>
      <c r="Z6" s="180" t="s">
        <v>132</v>
      </c>
      <c r="AA6" s="178" t="s">
        <v>431</v>
      </c>
      <c r="AB6" s="178" t="s">
        <v>432</v>
      </c>
      <c r="AC6" s="178" t="s">
        <v>135</v>
      </c>
      <c r="AD6" s="178" t="s">
        <v>181</v>
      </c>
      <c r="AE6" s="178" t="s">
        <v>425</v>
      </c>
      <c r="AF6" s="188" t="s">
        <v>138</v>
      </c>
      <c r="AG6" s="189">
        <v>0.25</v>
      </c>
      <c r="AH6" s="229" t="s">
        <v>440</v>
      </c>
      <c r="AI6" s="230" t="s">
        <v>434</v>
      </c>
      <c r="AJ6" s="189">
        <v>1.0</v>
      </c>
      <c r="AK6" s="133" t="s">
        <v>435</v>
      </c>
      <c r="AL6" s="134">
        <f t="shared" si="1"/>
        <v>44582</v>
      </c>
      <c r="AM6" s="135">
        <f t="shared" si="2"/>
        <v>-132</v>
      </c>
      <c r="AN6" s="136" t="str">
        <f t="shared" si="3"/>
        <v>Reporte ok</v>
      </c>
      <c r="AO6" s="137"/>
      <c r="AP6" s="138"/>
    </row>
    <row r="7" ht="67.5" customHeight="1">
      <c r="A7" s="118"/>
      <c r="B7" s="177"/>
      <c r="C7" s="178"/>
      <c r="D7" s="178"/>
      <c r="E7" s="178"/>
      <c r="F7" s="179"/>
      <c r="G7" s="180"/>
      <c r="H7" s="178"/>
      <c r="I7" s="178"/>
      <c r="J7" s="178"/>
      <c r="K7" s="181"/>
      <c r="L7" s="181"/>
      <c r="M7" s="181"/>
      <c r="N7" s="182"/>
      <c r="O7" s="183"/>
      <c r="P7" s="190"/>
      <c r="Q7" s="185"/>
      <c r="R7" s="186"/>
      <c r="S7" s="190"/>
      <c r="T7" s="190"/>
      <c r="U7" s="190"/>
      <c r="V7" s="190"/>
      <c r="W7" s="187"/>
      <c r="X7" s="180"/>
      <c r="Y7" s="178"/>
      <c r="Z7" s="180"/>
      <c r="AA7" s="178"/>
      <c r="AB7" s="178"/>
      <c r="AC7" s="178"/>
      <c r="AD7" s="178"/>
      <c r="AE7" s="178"/>
      <c r="AF7" s="188"/>
      <c r="AG7" s="146"/>
      <c r="AH7" s="147"/>
      <c r="AI7" s="148"/>
      <c r="AJ7" s="149"/>
      <c r="AK7" s="133"/>
      <c r="AL7" s="134"/>
      <c r="AM7" s="135"/>
      <c r="AN7" s="136"/>
      <c r="AO7" s="137"/>
      <c r="AP7" s="138"/>
    </row>
    <row r="8" ht="67.5" customHeight="1">
      <c r="A8" s="118"/>
      <c r="B8" s="177"/>
      <c r="C8" s="178"/>
      <c r="D8" s="178"/>
      <c r="E8" s="178"/>
      <c r="F8" s="179"/>
      <c r="G8" s="180"/>
      <c r="H8" s="178"/>
      <c r="I8" s="178"/>
      <c r="J8" s="178"/>
      <c r="K8" s="181"/>
      <c r="L8" s="181"/>
      <c r="M8" s="181"/>
      <c r="N8" s="182"/>
      <c r="O8" s="183"/>
      <c r="P8" s="190"/>
      <c r="Q8" s="185"/>
      <c r="R8" s="186"/>
      <c r="S8" s="190"/>
      <c r="T8" s="190"/>
      <c r="U8" s="190"/>
      <c r="V8" s="190"/>
      <c r="W8" s="187"/>
      <c r="X8" s="180"/>
      <c r="Y8" s="178"/>
      <c r="Z8" s="180"/>
      <c r="AA8" s="178"/>
      <c r="AB8" s="178"/>
      <c r="AC8" s="178"/>
      <c r="AD8" s="178"/>
      <c r="AE8" s="178"/>
      <c r="AF8" s="188"/>
      <c r="AG8" s="146"/>
      <c r="AH8" s="147"/>
      <c r="AI8" s="148"/>
      <c r="AJ8" s="149"/>
      <c r="AK8" s="133"/>
      <c r="AL8" s="134"/>
      <c r="AM8" s="135"/>
      <c r="AN8" s="136"/>
      <c r="AO8" s="137"/>
      <c r="AP8" s="138"/>
    </row>
    <row r="9" ht="67.5" customHeight="1">
      <c r="A9" s="118"/>
      <c r="B9" s="177"/>
      <c r="C9" s="178"/>
      <c r="D9" s="178"/>
      <c r="E9" s="178"/>
      <c r="F9" s="179"/>
      <c r="G9" s="180"/>
      <c r="H9" s="178"/>
      <c r="I9" s="178"/>
      <c r="J9" s="178"/>
      <c r="K9" s="181"/>
      <c r="L9" s="181"/>
      <c r="M9" s="181"/>
      <c r="N9" s="182"/>
      <c r="O9" s="183"/>
      <c r="P9" s="190"/>
      <c r="Q9" s="185"/>
      <c r="R9" s="186"/>
      <c r="S9" s="190"/>
      <c r="T9" s="190"/>
      <c r="U9" s="190"/>
      <c r="V9" s="190"/>
      <c r="W9" s="187"/>
      <c r="X9" s="180"/>
      <c r="Y9" s="178"/>
      <c r="Z9" s="180"/>
      <c r="AA9" s="178"/>
      <c r="AB9" s="178"/>
      <c r="AC9" s="178"/>
      <c r="AD9" s="178"/>
      <c r="AE9" s="178"/>
      <c r="AF9" s="188"/>
      <c r="AG9" s="146"/>
      <c r="AH9" s="147"/>
      <c r="AI9" s="148"/>
      <c r="AJ9" s="149"/>
      <c r="AK9" s="133"/>
      <c r="AL9" s="134"/>
      <c r="AM9" s="135"/>
      <c r="AN9" s="136"/>
      <c r="AO9" s="137"/>
      <c r="AP9" s="138"/>
    </row>
    <row r="10" ht="67.5" customHeight="1">
      <c r="A10" s="118"/>
      <c r="B10" s="177"/>
      <c r="C10" s="178"/>
      <c r="D10" s="178"/>
      <c r="E10" s="178"/>
      <c r="F10" s="179"/>
      <c r="G10" s="180"/>
      <c r="H10" s="178"/>
      <c r="I10" s="178"/>
      <c r="J10" s="178"/>
      <c r="K10" s="181"/>
      <c r="L10" s="181"/>
      <c r="M10" s="181"/>
      <c r="N10" s="182"/>
      <c r="O10" s="183"/>
      <c r="P10" s="190"/>
      <c r="Q10" s="185"/>
      <c r="R10" s="186"/>
      <c r="S10" s="190"/>
      <c r="T10" s="190"/>
      <c r="U10" s="190"/>
      <c r="V10" s="190"/>
      <c r="W10" s="187"/>
      <c r="X10" s="180"/>
      <c r="Y10" s="178"/>
      <c r="Z10" s="180"/>
      <c r="AA10" s="178"/>
      <c r="AB10" s="178"/>
      <c r="AC10" s="178"/>
      <c r="AD10" s="178"/>
      <c r="AE10" s="178"/>
      <c r="AF10" s="188"/>
      <c r="AG10" s="146"/>
      <c r="AH10" s="147"/>
      <c r="AI10" s="148"/>
      <c r="AJ10" s="149"/>
      <c r="AK10" s="133"/>
      <c r="AL10" s="134"/>
      <c r="AM10" s="135"/>
      <c r="AN10" s="136"/>
      <c r="AO10" s="137"/>
      <c r="AP10" s="138"/>
    </row>
    <row r="11" ht="67.5" customHeight="1">
      <c r="A11" s="118"/>
      <c r="B11" s="177"/>
      <c r="C11" s="178"/>
      <c r="D11" s="178"/>
      <c r="E11" s="178"/>
      <c r="F11" s="179"/>
      <c r="G11" s="180"/>
      <c r="H11" s="178"/>
      <c r="I11" s="178"/>
      <c r="J11" s="178"/>
      <c r="K11" s="181"/>
      <c r="L11" s="181"/>
      <c r="M11" s="181"/>
      <c r="N11" s="182"/>
      <c r="O11" s="183"/>
      <c r="P11" s="190"/>
      <c r="Q11" s="185"/>
      <c r="R11" s="186"/>
      <c r="S11" s="190"/>
      <c r="T11" s="190"/>
      <c r="U11" s="190"/>
      <c r="V11" s="190"/>
      <c r="W11" s="187"/>
      <c r="X11" s="180"/>
      <c r="Y11" s="178"/>
      <c r="Z11" s="180"/>
      <c r="AA11" s="178"/>
      <c r="AB11" s="178"/>
      <c r="AC11" s="178"/>
      <c r="AD11" s="178"/>
      <c r="AE11" s="178"/>
      <c r="AF11" s="188"/>
      <c r="AG11" s="146"/>
      <c r="AH11" s="147"/>
      <c r="AI11" s="148"/>
      <c r="AJ11" s="149"/>
      <c r="AK11" s="133"/>
      <c r="AL11" s="134"/>
      <c r="AM11" s="135"/>
      <c r="AN11" s="136"/>
      <c r="AO11" s="137"/>
      <c r="AP11" s="138"/>
    </row>
    <row r="12" ht="67.5" customHeight="1">
      <c r="A12" s="118"/>
      <c r="B12" s="177"/>
      <c r="C12" s="178"/>
      <c r="D12" s="178"/>
      <c r="E12" s="178"/>
      <c r="F12" s="179"/>
      <c r="G12" s="180"/>
      <c r="H12" s="178"/>
      <c r="I12" s="178"/>
      <c r="J12" s="178"/>
      <c r="K12" s="181"/>
      <c r="L12" s="181"/>
      <c r="M12" s="181"/>
      <c r="N12" s="182"/>
      <c r="O12" s="183"/>
      <c r="P12" s="190"/>
      <c r="Q12" s="185"/>
      <c r="R12" s="186"/>
      <c r="S12" s="190"/>
      <c r="T12" s="190"/>
      <c r="U12" s="190"/>
      <c r="V12" s="190"/>
      <c r="W12" s="187"/>
      <c r="X12" s="180"/>
      <c r="Y12" s="178"/>
      <c r="Z12" s="180"/>
      <c r="AA12" s="178"/>
      <c r="AB12" s="178"/>
      <c r="AC12" s="178"/>
      <c r="AD12" s="178"/>
      <c r="AE12" s="178"/>
      <c r="AF12" s="188"/>
      <c r="AG12" s="146"/>
      <c r="AH12" s="147"/>
      <c r="AI12" s="148"/>
      <c r="AJ12" s="149"/>
      <c r="AK12" s="133"/>
      <c r="AL12" s="134"/>
      <c r="AM12" s="135"/>
      <c r="AN12" s="136"/>
      <c r="AO12" s="137"/>
      <c r="AP12" s="138"/>
    </row>
    <row r="13" ht="67.5" customHeight="1">
      <c r="A13" s="118"/>
      <c r="B13" s="177"/>
      <c r="C13" s="178"/>
      <c r="D13" s="178"/>
      <c r="E13" s="178"/>
      <c r="F13" s="179"/>
      <c r="G13" s="180"/>
      <c r="H13" s="178"/>
      <c r="I13" s="178"/>
      <c r="J13" s="178"/>
      <c r="K13" s="181"/>
      <c r="L13" s="181"/>
      <c r="M13" s="181"/>
      <c r="N13" s="182"/>
      <c r="O13" s="183"/>
      <c r="P13" s="190"/>
      <c r="Q13" s="185"/>
      <c r="R13" s="186"/>
      <c r="S13" s="190"/>
      <c r="T13" s="190"/>
      <c r="U13" s="190"/>
      <c r="V13" s="190"/>
      <c r="W13" s="187"/>
      <c r="X13" s="180"/>
      <c r="Y13" s="178"/>
      <c r="Z13" s="180"/>
      <c r="AA13" s="178"/>
      <c r="AB13" s="178"/>
      <c r="AC13" s="178"/>
      <c r="AD13" s="178"/>
      <c r="AE13" s="178"/>
      <c r="AF13" s="188"/>
      <c r="AG13" s="146"/>
      <c r="AH13" s="147"/>
      <c r="AI13" s="148"/>
      <c r="AJ13" s="149"/>
      <c r="AK13" s="133"/>
      <c r="AL13" s="134"/>
      <c r="AM13" s="135"/>
      <c r="AN13" s="136"/>
      <c r="AO13" s="137"/>
      <c r="AP13" s="138"/>
    </row>
    <row r="14" ht="67.5" customHeight="1">
      <c r="A14" s="118"/>
      <c r="B14" s="177"/>
      <c r="C14" s="178"/>
      <c r="D14" s="178"/>
      <c r="E14" s="178"/>
      <c r="F14" s="179"/>
      <c r="G14" s="180"/>
      <c r="H14" s="178"/>
      <c r="I14" s="178"/>
      <c r="J14" s="178"/>
      <c r="K14" s="181"/>
      <c r="L14" s="181"/>
      <c r="M14" s="181"/>
      <c r="N14" s="182"/>
      <c r="O14" s="183"/>
      <c r="P14" s="190"/>
      <c r="Q14" s="185"/>
      <c r="R14" s="186"/>
      <c r="S14" s="190"/>
      <c r="T14" s="190"/>
      <c r="U14" s="190"/>
      <c r="V14" s="190"/>
      <c r="W14" s="187"/>
      <c r="X14" s="180"/>
      <c r="Y14" s="178"/>
      <c r="Z14" s="180"/>
      <c r="AA14" s="178"/>
      <c r="AB14" s="178"/>
      <c r="AC14" s="178"/>
      <c r="AD14" s="178"/>
      <c r="AE14" s="178"/>
      <c r="AF14" s="188"/>
      <c r="AG14" s="146"/>
      <c r="AH14" s="147"/>
      <c r="AI14" s="148"/>
      <c r="AJ14" s="149"/>
      <c r="AK14" s="133"/>
      <c r="AL14" s="134"/>
      <c r="AM14" s="135"/>
      <c r="AN14" s="136"/>
      <c r="AO14" s="137"/>
      <c r="AP14" s="138"/>
    </row>
    <row r="15" ht="67.5" customHeight="1">
      <c r="A15" s="118"/>
      <c r="B15" s="177"/>
      <c r="C15" s="178"/>
      <c r="D15" s="178"/>
      <c r="E15" s="178"/>
      <c r="F15" s="179"/>
      <c r="G15" s="180"/>
      <c r="H15" s="178"/>
      <c r="I15" s="178"/>
      <c r="J15" s="178"/>
      <c r="K15" s="181"/>
      <c r="L15" s="181"/>
      <c r="M15" s="181"/>
      <c r="N15" s="182"/>
      <c r="O15" s="183"/>
      <c r="P15" s="190"/>
      <c r="Q15" s="185"/>
      <c r="R15" s="186"/>
      <c r="S15" s="190"/>
      <c r="T15" s="190"/>
      <c r="U15" s="190"/>
      <c r="V15" s="190"/>
      <c r="W15" s="187"/>
      <c r="X15" s="180"/>
      <c r="Y15" s="178"/>
      <c r="Z15" s="180"/>
      <c r="AA15" s="178"/>
      <c r="AB15" s="178"/>
      <c r="AC15" s="178"/>
      <c r="AD15" s="178"/>
      <c r="AE15" s="178"/>
      <c r="AF15" s="188"/>
      <c r="AG15" s="146"/>
      <c r="AH15" s="147"/>
      <c r="AI15" s="148"/>
      <c r="AJ15" s="149"/>
      <c r="AK15" s="133"/>
      <c r="AL15" s="134"/>
      <c r="AM15" s="135"/>
      <c r="AN15" s="136"/>
      <c r="AO15" s="137"/>
      <c r="AP15" s="138"/>
    </row>
    <row r="16" ht="67.5" customHeight="1">
      <c r="A16" s="118"/>
      <c r="B16" s="177"/>
      <c r="C16" s="178"/>
      <c r="D16" s="178"/>
      <c r="E16" s="178"/>
      <c r="F16" s="179"/>
      <c r="G16" s="180"/>
      <c r="H16" s="178"/>
      <c r="I16" s="178"/>
      <c r="J16" s="178"/>
      <c r="K16" s="181"/>
      <c r="L16" s="181"/>
      <c r="M16" s="181"/>
      <c r="N16" s="182"/>
      <c r="O16" s="183"/>
      <c r="P16" s="190"/>
      <c r="Q16" s="185"/>
      <c r="R16" s="186"/>
      <c r="S16" s="190"/>
      <c r="T16" s="190"/>
      <c r="U16" s="190"/>
      <c r="V16" s="190"/>
      <c r="W16" s="187"/>
      <c r="X16" s="180"/>
      <c r="Y16" s="178"/>
      <c r="Z16" s="180"/>
      <c r="AA16" s="178"/>
      <c r="AB16" s="178"/>
      <c r="AC16" s="178"/>
      <c r="AD16" s="178"/>
      <c r="AE16" s="178"/>
      <c r="AF16" s="188"/>
      <c r="AG16" s="146"/>
      <c r="AH16" s="147"/>
      <c r="AI16" s="148"/>
      <c r="AJ16" s="149"/>
      <c r="AK16" s="133"/>
      <c r="AL16" s="134"/>
      <c r="AM16" s="135"/>
      <c r="AN16" s="136"/>
      <c r="AO16" s="137"/>
      <c r="AP16" s="138"/>
    </row>
    <row r="17" ht="67.5" customHeight="1">
      <c r="A17" s="118"/>
      <c r="B17" s="192"/>
      <c r="C17" s="193"/>
      <c r="D17" s="193"/>
      <c r="E17" s="193"/>
      <c r="F17" s="194"/>
      <c r="G17" s="195"/>
      <c r="H17" s="193"/>
      <c r="I17" s="193"/>
      <c r="J17" s="193"/>
      <c r="K17" s="196"/>
      <c r="L17" s="196"/>
      <c r="M17" s="196"/>
      <c r="N17" s="197"/>
      <c r="O17" s="198"/>
      <c r="P17" s="199"/>
      <c r="Q17" s="200"/>
      <c r="R17" s="201"/>
      <c r="S17" s="199"/>
      <c r="T17" s="199"/>
      <c r="U17" s="199"/>
      <c r="V17" s="199"/>
      <c r="W17" s="202"/>
      <c r="X17" s="195"/>
      <c r="Y17" s="193"/>
      <c r="Z17" s="195"/>
      <c r="AA17" s="193"/>
      <c r="AB17" s="193"/>
      <c r="AC17" s="193"/>
      <c r="AD17" s="193"/>
      <c r="AE17" s="193"/>
      <c r="AF17" s="203"/>
      <c r="AG17" s="161"/>
      <c r="AH17" s="162"/>
      <c r="AI17" s="163"/>
      <c r="AJ17" s="164"/>
      <c r="AK17" s="165"/>
      <c r="AL17" s="166"/>
      <c r="AM17" s="167"/>
      <c r="AN17" s="168"/>
      <c r="AO17" s="169"/>
      <c r="AP17" s="138"/>
    </row>
    <row r="18" ht="15.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170"/>
      <c r="AH18" s="170"/>
      <c r="AI18" s="170"/>
      <c r="AJ18" s="88"/>
      <c r="AK18" s="88"/>
      <c r="AL18" s="88"/>
      <c r="AM18" s="88"/>
      <c r="AN18" s="88"/>
      <c r="AO18" s="88"/>
      <c r="AP18" s="88"/>
    </row>
  </sheetData>
  <autoFilter ref="$A$3:$AP$6"/>
  <mergeCells count="4">
    <mergeCell ref="B1:C1"/>
    <mergeCell ref="AG2:AI2"/>
    <mergeCell ref="AJ2:AK2"/>
    <mergeCell ref="AL2:AO2"/>
  </mergeCells>
  <conditionalFormatting sqref="AK4:AK17 AM4:AM17">
    <cfRule type="cellIs" dxfId="2" priority="1" operator="greaterThan">
      <formula>0</formula>
    </cfRule>
  </conditionalFormatting>
  <conditionalFormatting sqref="AK4:AK17 AM4:AM17">
    <cfRule type="cellIs" dxfId="3" priority="2" operator="lessThan">
      <formula>0</formula>
    </cfRule>
  </conditionalFormatting>
  <conditionalFormatting sqref="AK4:AK8">
    <cfRule type="cellIs" dxfId="2" priority="3" operator="greaterThan">
      <formula>0</formula>
    </cfRule>
  </conditionalFormatting>
  <conditionalFormatting sqref="AK4:AK8">
    <cfRule type="cellIs" dxfId="3" priority="4" operator="lessThan">
      <formula>0</formula>
    </cfRule>
  </conditionalFormatting>
  <dataValidations>
    <dataValidation type="decimal" allowBlank="1" showDropDown="1" showInputMessage="1" showErrorMessage="1" prompt="Recuerde que debe ingresar un valor numérico o porcentaje" sqref="AG4:AG17 AJ4:AJ17">
      <formula1>0.0</formula1>
      <formula2>5000000.0</formula2>
    </dataValidation>
  </dataValidations>
  <hyperlinks>
    <hyperlink display="Home" location="Home!A1" ref="B1"/>
    <hyperlink r:id="rId1" ref="AI4"/>
    <hyperlink r:id="rId2" ref="AI5"/>
    <hyperlink r:id="rId3" ref="AI6"/>
  </hyperlinks>
  <printOptions gridLines="1" horizontalCentered="1"/>
  <pageMargins bottom="0.75" footer="0.0" header="0.0" left="0.7" right="0.7" top="0.75"/>
  <pageSetup cellComments="atEnd" orientation="portrait" pageOrder="overThenDown"/>
  <drawing r:id="rId4"/>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21" width="15.75"/>
    <col customWidth="1" min="22" max="22" width="15.75"/>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4" width="21.0"/>
    <col customWidth="1" min="35" max="35" width="22.88"/>
    <col customWidth="1" min="36" max="36" width="21.75"/>
    <col customWidth="1" min="37" max="37" width="20.25"/>
    <col customWidth="1" min="38" max="38" width="15.75"/>
    <col customWidth="1" min="39" max="39" width="15.63"/>
    <col customWidth="1" min="40" max="40" width="16.38"/>
    <col customWidth="1" min="41" max="41" width="18.25"/>
    <col customWidth="1" min="42" max="42" width="3.88"/>
  </cols>
  <sheetData>
    <row r="1" ht="33.75" customHeight="1">
      <c r="A1" s="85"/>
      <c r="B1" s="86" t="s">
        <v>108</v>
      </c>
      <c r="C1" s="87"/>
      <c r="D1" s="88"/>
      <c r="E1" s="89"/>
      <c r="F1" s="90"/>
      <c r="G1" s="90"/>
      <c r="H1" s="90"/>
      <c r="I1" s="90"/>
      <c r="J1" s="90"/>
      <c r="K1" s="90"/>
      <c r="L1" s="90"/>
      <c r="M1" s="90"/>
      <c r="N1" s="90"/>
      <c r="O1" s="90"/>
      <c r="P1" s="90"/>
      <c r="Q1" s="90"/>
      <c r="R1" s="90"/>
      <c r="S1" s="90"/>
      <c r="T1" s="90"/>
      <c r="U1" s="90"/>
      <c r="V1" s="90"/>
      <c r="W1" s="90"/>
      <c r="X1" s="90"/>
      <c r="Y1" s="90"/>
      <c r="Z1" s="90"/>
      <c r="AA1" s="90"/>
      <c r="AB1" s="90"/>
      <c r="AC1" s="90"/>
      <c r="AD1" s="90"/>
      <c r="AE1" s="90"/>
      <c r="AF1" s="88"/>
      <c r="AG1" s="91" t="s">
        <v>109</v>
      </c>
      <c r="AH1" s="92">
        <v>1.0</v>
      </c>
      <c r="AI1" s="93" t="s">
        <v>110</v>
      </c>
      <c r="AJ1" s="94"/>
      <c r="AK1" s="95"/>
      <c r="AL1" s="96">
        <v>43466.0</v>
      </c>
      <c r="AM1" s="97">
        <f>Alertas!B6</f>
        <v>44582</v>
      </c>
      <c r="AN1" s="96">
        <f>TODAY()-1</f>
        <v>44714</v>
      </c>
      <c r="AO1" s="93"/>
      <c r="AP1" s="93"/>
    </row>
    <row r="2" ht="33.75" customHeight="1">
      <c r="A2" s="85"/>
      <c r="B2" s="88"/>
      <c r="C2" s="98"/>
      <c r="D2" s="99"/>
      <c r="E2" s="88"/>
      <c r="F2" s="100"/>
      <c r="G2" s="88"/>
      <c r="H2" s="88"/>
      <c r="I2" s="88"/>
      <c r="J2" s="88"/>
      <c r="K2" s="88"/>
      <c r="L2" s="88"/>
      <c r="M2" s="88"/>
      <c r="N2" s="88"/>
      <c r="O2" s="88"/>
      <c r="P2" s="88"/>
      <c r="Q2" s="88"/>
      <c r="R2" s="88"/>
      <c r="S2" s="88"/>
      <c r="T2" s="88"/>
      <c r="U2" s="88"/>
      <c r="V2" s="88"/>
      <c r="W2" s="88"/>
      <c r="X2" s="88"/>
      <c r="Y2" s="88"/>
      <c r="Z2" s="88"/>
      <c r="AA2" s="88"/>
      <c r="AB2" s="88"/>
      <c r="AC2" s="88"/>
      <c r="AD2" s="88"/>
      <c r="AE2" s="88"/>
      <c r="AF2" s="17"/>
      <c r="AG2" s="101" t="s">
        <v>111</v>
      </c>
      <c r="AH2" s="102"/>
      <c r="AI2" s="103"/>
      <c r="AJ2" s="104" t="s">
        <v>112</v>
      </c>
      <c r="AK2" s="103"/>
      <c r="AL2" s="104" t="s">
        <v>113</v>
      </c>
      <c r="AM2" s="102"/>
      <c r="AN2" s="102"/>
      <c r="AO2" s="103"/>
      <c r="AP2" s="105"/>
    </row>
    <row r="3" ht="33.75" customHeight="1">
      <c r="A3" s="106"/>
      <c r="B3" s="171" t="s">
        <v>40</v>
      </c>
      <c r="C3" s="172" t="s">
        <v>41</v>
      </c>
      <c r="D3" s="173" t="s">
        <v>42</v>
      </c>
      <c r="E3" s="173" t="s">
        <v>43</v>
      </c>
      <c r="F3" s="174" t="s">
        <v>44</v>
      </c>
      <c r="G3" s="175" t="s">
        <v>45</v>
      </c>
      <c r="H3" s="173" t="s">
        <v>46</v>
      </c>
      <c r="I3" s="175" t="s">
        <v>47</v>
      </c>
      <c r="J3" s="175" t="s">
        <v>48</v>
      </c>
      <c r="K3" s="175" t="s">
        <v>49</v>
      </c>
      <c r="L3" s="175" t="s">
        <v>50</v>
      </c>
      <c r="M3" s="173" t="s">
        <v>51</v>
      </c>
      <c r="N3" s="173" t="s">
        <v>52</v>
      </c>
      <c r="O3" s="175" t="s">
        <v>53</v>
      </c>
      <c r="P3" s="175" t="s">
        <v>54</v>
      </c>
      <c r="Q3" s="173" t="s">
        <v>55</v>
      </c>
      <c r="R3" s="173" t="s">
        <v>56</v>
      </c>
      <c r="S3" s="175" t="s">
        <v>57</v>
      </c>
      <c r="T3" s="175" t="s">
        <v>58</v>
      </c>
      <c r="U3" s="175" t="s">
        <v>59</v>
      </c>
      <c r="V3" s="175" t="s">
        <v>60</v>
      </c>
      <c r="W3" s="173" t="s">
        <v>61</v>
      </c>
      <c r="X3" s="172" t="s">
        <v>62</v>
      </c>
      <c r="Y3" s="172" t="s">
        <v>63</v>
      </c>
      <c r="Z3" s="172" t="s">
        <v>64</v>
      </c>
      <c r="AA3" s="172" t="s">
        <v>65</v>
      </c>
      <c r="AB3" s="172" t="s">
        <v>66</v>
      </c>
      <c r="AC3" s="172" t="s">
        <v>67</v>
      </c>
      <c r="AD3" s="172" t="s">
        <v>68</v>
      </c>
      <c r="AE3" s="172" t="s">
        <v>69</v>
      </c>
      <c r="AF3" s="176" t="s">
        <v>70</v>
      </c>
      <c r="AG3" s="113" t="s">
        <v>71</v>
      </c>
      <c r="AH3" s="114" t="s">
        <v>72</v>
      </c>
      <c r="AI3" s="115" t="s">
        <v>73</v>
      </c>
      <c r="AJ3" s="116" t="s">
        <v>114</v>
      </c>
      <c r="AK3" s="117" t="s">
        <v>115</v>
      </c>
      <c r="AL3" s="113" t="s">
        <v>74</v>
      </c>
      <c r="AM3" s="114" t="s">
        <v>116</v>
      </c>
      <c r="AN3" s="114" t="s">
        <v>76</v>
      </c>
      <c r="AO3" s="117" t="s">
        <v>117</v>
      </c>
      <c r="AP3" s="105"/>
    </row>
    <row r="4" ht="67.5" customHeight="1">
      <c r="A4" s="118"/>
      <c r="B4" s="177">
        <v>46.0</v>
      </c>
      <c r="C4" s="178" t="s">
        <v>441</v>
      </c>
      <c r="D4" s="178" t="s">
        <v>2</v>
      </c>
      <c r="E4" s="178" t="s">
        <v>119</v>
      </c>
      <c r="F4" s="179">
        <v>2.018011000241E12</v>
      </c>
      <c r="G4" s="180" t="s">
        <v>120</v>
      </c>
      <c r="H4" s="178" t="s">
        <v>144</v>
      </c>
      <c r="I4" s="178" t="s">
        <v>145</v>
      </c>
      <c r="J4" s="178" t="s">
        <v>146</v>
      </c>
      <c r="K4" s="181" t="s">
        <v>147</v>
      </c>
      <c r="L4" s="181" t="s">
        <v>125</v>
      </c>
      <c r="M4" s="181" t="s">
        <v>126</v>
      </c>
      <c r="N4" s="182" t="s">
        <v>442</v>
      </c>
      <c r="O4" s="183"/>
      <c r="P4" s="190">
        <v>12.0</v>
      </c>
      <c r="Q4" s="185" t="s">
        <v>443</v>
      </c>
      <c r="R4" s="186" t="s">
        <v>176</v>
      </c>
      <c r="S4" s="190">
        <v>3.0</v>
      </c>
      <c r="T4" s="190">
        <v>3.0</v>
      </c>
      <c r="U4" s="190">
        <v>3.0</v>
      </c>
      <c r="V4" s="190">
        <v>3.0</v>
      </c>
      <c r="W4" s="187" t="s">
        <v>2</v>
      </c>
      <c r="X4" s="180" t="s">
        <v>444</v>
      </c>
      <c r="Y4" s="178" t="s">
        <v>445</v>
      </c>
      <c r="Z4" s="180" t="s">
        <v>446</v>
      </c>
      <c r="AA4" s="178" t="s">
        <v>159</v>
      </c>
      <c r="AB4" s="178" t="s">
        <v>160</v>
      </c>
      <c r="AC4" s="178" t="s">
        <v>135</v>
      </c>
      <c r="AD4" s="178" t="s">
        <v>181</v>
      </c>
      <c r="AE4" s="178" t="s">
        <v>182</v>
      </c>
      <c r="AF4" s="188" t="s">
        <v>138</v>
      </c>
      <c r="AG4" s="191">
        <v>3.0</v>
      </c>
      <c r="AH4" s="221" t="s">
        <v>447</v>
      </c>
      <c r="AI4" s="210" t="s">
        <v>448</v>
      </c>
      <c r="AJ4" s="191">
        <v>12.0</v>
      </c>
      <c r="AK4" s="133" t="s">
        <v>449</v>
      </c>
      <c r="AL4" s="134">
        <f t="shared" ref="AL4:AL6" si="1">$AM$1</f>
        <v>44582</v>
      </c>
      <c r="AM4" s="135">
        <f t="shared" ref="AM4:AM6" si="2">AL4-$AN$1</f>
        <v>-132</v>
      </c>
      <c r="AN4" s="136" t="str">
        <f t="shared" ref="AN4:AN6" si="3">IF(ISBLANK(AG4),"Pend. Ejec. Trim."&amp;CHAR(10),)&amp;
IF(ISBLANK(AH4),"Pend. Just. Trim."&amp;CHAR(10),)&amp;
IF(ISBLANK(AI4),"Pend. Evid. Trim."&amp;CHAR(10),)&amp;
IF(ISBLANK(AJ4),"Pend. Ejec. Año"&amp;CHAR(10),)&amp;
IF(ISBLANK(AK4),"Pend. Evid. Año",)&amp;
IF(OR(ISBLANK(AG4),ISBLANK(AH4),ISBLANK(AI4),ISBLANK(AJ4),ISBLANK(AK4)),,"Reporte ok")</f>
        <v>Reporte ok</v>
      </c>
      <c r="AO4" s="137"/>
      <c r="AP4" s="138"/>
    </row>
    <row r="5" ht="67.5" customHeight="1">
      <c r="A5" s="118"/>
      <c r="B5" s="177">
        <v>47.0</v>
      </c>
      <c r="C5" s="178" t="s">
        <v>441</v>
      </c>
      <c r="D5" s="178" t="s">
        <v>2</v>
      </c>
      <c r="E5" s="178" t="s">
        <v>119</v>
      </c>
      <c r="F5" s="179">
        <v>2.018011000241E12</v>
      </c>
      <c r="G5" s="180" t="s">
        <v>120</v>
      </c>
      <c r="H5" s="178" t="s">
        <v>144</v>
      </c>
      <c r="I5" s="178" t="s">
        <v>145</v>
      </c>
      <c r="J5" s="178" t="s">
        <v>146</v>
      </c>
      <c r="K5" s="181" t="s">
        <v>147</v>
      </c>
      <c r="L5" s="181" t="s">
        <v>125</v>
      </c>
      <c r="M5" s="181" t="s">
        <v>126</v>
      </c>
      <c r="N5" s="182" t="s">
        <v>450</v>
      </c>
      <c r="O5" s="183"/>
      <c r="P5" s="190">
        <v>12.0</v>
      </c>
      <c r="Q5" s="185" t="s">
        <v>443</v>
      </c>
      <c r="R5" s="186" t="s">
        <v>176</v>
      </c>
      <c r="S5" s="190">
        <v>3.0</v>
      </c>
      <c r="T5" s="190">
        <v>3.0</v>
      </c>
      <c r="U5" s="190">
        <v>3.0</v>
      </c>
      <c r="V5" s="190">
        <v>3.0</v>
      </c>
      <c r="W5" s="187" t="s">
        <v>2</v>
      </c>
      <c r="X5" s="180" t="s">
        <v>444</v>
      </c>
      <c r="Y5" s="178" t="s">
        <v>445</v>
      </c>
      <c r="Z5" s="180" t="s">
        <v>446</v>
      </c>
      <c r="AA5" s="178" t="s">
        <v>159</v>
      </c>
      <c r="AB5" s="178" t="s">
        <v>160</v>
      </c>
      <c r="AC5" s="178" t="s">
        <v>135</v>
      </c>
      <c r="AD5" s="178" t="s">
        <v>181</v>
      </c>
      <c r="AE5" s="178" t="s">
        <v>182</v>
      </c>
      <c r="AF5" s="188" t="s">
        <v>138</v>
      </c>
      <c r="AG5" s="191">
        <v>3.0</v>
      </c>
      <c r="AH5" s="221" t="s">
        <v>447</v>
      </c>
      <c r="AI5" s="210" t="s">
        <v>448</v>
      </c>
      <c r="AJ5" s="191">
        <v>12.0</v>
      </c>
      <c r="AK5" s="133" t="s">
        <v>449</v>
      </c>
      <c r="AL5" s="134">
        <f t="shared" si="1"/>
        <v>44582</v>
      </c>
      <c r="AM5" s="135">
        <f t="shared" si="2"/>
        <v>-132</v>
      </c>
      <c r="AN5" s="136" t="str">
        <f t="shared" si="3"/>
        <v>Reporte ok</v>
      </c>
      <c r="AO5" s="137"/>
      <c r="AP5" s="138"/>
    </row>
    <row r="6" ht="67.5" customHeight="1">
      <c r="A6" s="118"/>
      <c r="B6" s="177">
        <v>48.0</v>
      </c>
      <c r="C6" s="178" t="s">
        <v>441</v>
      </c>
      <c r="D6" s="178" t="s">
        <v>2</v>
      </c>
      <c r="E6" s="178" t="s">
        <v>119</v>
      </c>
      <c r="F6" s="179">
        <v>2.018011000241E12</v>
      </c>
      <c r="G6" s="180" t="s">
        <v>120</v>
      </c>
      <c r="H6" s="178" t="s">
        <v>144</v>
      </c>
      <c r="I6" s="178" t="s">
        <v>145</v>
      </c>
      <c r="J6" s="178" t="s">
        <v>146</v>
      </c>
      <c r="K6" s="181" t="s">
        <v>147</v>
      </c>
      <c r="L6" s="181" t="s">
        <v>125</v>
      </c>
      <c r="M6" s="181" t="s">
        <v>126</v>
      </c>
      <c r="N6" s="182" t="s">
        <v>451</v>
      </c>
      <c r="O6" s="183"/>
      <c r="P6" s="190">
        <v>12.0</v>
      </c>
      <c r="Q6" s="185" t="s">
        <v>452</v>
      </c>
      <c r="R6" s="186" t="s">
        <v>176</v>
      </c>
      <c r="S6" s="190">
        <v>3.0</v>
      </c>
      <c r="T6" s="190">
        <v>3.0</v>
      </c>
      <c r="U6" s="190">
        <v>3.0</v>
      </c>
      <c r="V6" s="190">
        <v>3.0</v>
      </c>
      <c r="W6" s="187" t="s">
        <v>2</v>
      </c>
      <c r="X6" s="180" t="s">
        <v>444</v>
      </c>
      <c r="Y6" s="178" t="s">
        <v>445</v>
      </c>
      <c r="Z6" s="180" t="s">
        <v>446</v>
      </c>
      <c r="AA6" s="178" t="s">
        <v>159</v>
      </c>
      <c r="AB6" s="178" t="s">
        <v>160</v>
      </c>
      <c r="AC6" s="178" t="s">
        <v>135</v>
      </c>
      <c r="AD6" s="178" t="s">
        <v>181</v>
      </c>
      <c r="AE6" s="178" t="s">
        <v>137</v>
      </c>
      <c r="AF6" s="188" t="s">
        <v>138</v>
      </c>
      <c r="AG6" s="191">
        <v>3.0</v>
      </c>
      <c r="AH6" s="221" t="s">
        <v>453</v>
      </c>
      <c r="AI6" s="227" t="s">
        <v>454</v>
      </c>
      <c r="AJ6" s="191">
        <v>12.0</v>
      </c>
      <c r="AK6" s="133" t="s">
        <v>455</v>
      </c>
      <c r="AL6" s="134">
        <f t="shared" si="1"/>
        <v>44582</v>
      </c>
      <c r="AM6" s="135">
        <f t="shared" si="2"/>
        <v>-132</v>
      </c>
      <c r="AN6" s="136" t="str">
        <f t="shared" si="3"/>
        <v>Reporte ok</v>
      </c>
      <c r="AO6" s="137"/>
      <c r="AP6" s="138"/>
    </row>
    <row r="7" ht="67.5" customHeight="1">
      <c r="A7" s="118"/>
      <c r="B7" s="177"/>
      <c r="C7" s="178"/>
      <c r="D7" s="178"/>
      <c r="E7" s="178"/>
      <c r="F7" s="179"/>
      <c r="G7" s="180"/>
      <c r="H7" s="178"/>
      <c r="I7" s="178"/>
      <c r="J7" s="178"/>
      <c r="K7" s="181"/>
      <c r="L7" s="181"/>
      <c r="M7" s="181"/>
      <c r="N7" s="182"/>
      <c r="O7" s="183"/>
      <c r="P7" s="190"/>
      <c r="Q7" s="185"/>
      <c r="R7" s="186"/>
      <c r="S7" s="190"/>
      <c r="T7" s="190"/>
      <c r="U7" s="190"/>
      <c r="V7" s="190"/>
      <c r="W7" s="187"/>
      <c r="X7" s="180"/>
      <c r="Y7" s="178"/>
      <c r="Z7" s="180"/>
      <c r="AA7" s="178"/>
      <c r="AB7" s="178"/>
      <c r="AC7" s="178"/>
      <c r="AD7" s="178"/>
      <c r="AE7" s="178"/>
      <c r="AF7" s="188"/>
      <c r="AG7" s="146"/>
      <c r="AH7" s="147"/>
      <c r="AI7" s="148"/>
      <c r="AJ7" s="149"/>
      <c r="AK7" s="133"/>
      <c r="AL7" s="134"/>
      <c r="AM7" s="135"/>
      <c r="AN7" s="136"/>
      <c r="AO7" s="137"/>
      <c r="AP7" s="138"/>
    </row>
    <row r="8" ht="67.5" customHeight="1">
      <c r="A8" s="118"/>
      <c r="B8" s="177"/>
      <c r="C8" s="178"/>
      <c r="D8" s="178"/>
      <c r="E8" s="178"/>
      <c r="F8" s="179"/>
      <c r="G8" s="180"/>
      <c r="H8" s="178"/>
      <c r="I8" s="178"/>
      <c r="J8" s="178"/>
      <c r="K8" s="181"/>
      <c r="L8" s="181"/>
      <c r="M8" s="181"/>
      <c r="N8" s="182"/>
      <c r="O8" s="183"/>
      <c r="P8" s="190"/>
      <c r="Q8" s="185"/>
      <c r="R8" s="186"/>
      <c r="S8" s="190"/>
      <c r="T8" s="190"/>
      <c r="U8" s="190"/>
      <c r="V8" s="190"/>
      <c r="W8" s="187"/>
      <c r="X8" s="180"/>
      <c r="Y8" s="178"/>
      <c r="Z8" s="180"/>
      <c r="AA8" s="178"/>
      <c r="AB8" s="178"/>
      <c r="AC8" s="178"/>
      <c r="AD8" s="178"/>
      <c r="AE8" s="178"/>
      <c r="AF8" s="188"/>
      <c r="AG8" s="146"/>
      <c r="AH8" s="147"/>
      <c r="AI8" s="148"/>
      <c r="AJ8" s="149"/>
      <c r="AK8" s="133"/>
      <c r="AL8" s="134"/>
      <c r="AM8" s="135"/>
      <c r="AN8" s="136"/>
      <c r="AO8" s="137"/>
      <c r="AP8" s="138"/>
    </row>
    <row r="9" ht="67.5" customHeight="1">
      <c r="A9" s="118"/>
      <c r="B9" s="177"/>
      <c r="C9" s="178"/>
      <c r="D9" s="178"/>
      <c r="E9" s="178"/>
      <c r="F9" s="179"/>
      <c r="G9" s="180"/>
      <c r="H9" s="178"/>
      <c r="I9" s="178"/>
      <c r="J9" s="178"/>
      <c r="K9" s="181"/>
      <c r="L9" s="181"/>
      <c r="M9" s="181"/>
      <c r="N9" s="182"/>
      <c r="O9" s="183"/>
      <c r="P9" s="190"/>
      <c r="Q9" s="185"/>
      <c r="R9" s="186"/>
      <c r="S9" s="190"/>
      <c r="T9" s="190"/>
      <c r="U9" s="190"/>
      <c r="V9" s="190"/>
      <c r="W9" s="187"/>
      <c r="X9" s="180"/>
      <c r="Y9" s="178"/>
      <c r="Z9" s="180"/>
      <c r="AA9" s="178"/>
      <c r="AB9" s="178"/>
      <c r="AC9" s="178"/>
      <c r="AD9" s="178"/>
      <c r="AE9" s="178"/>
      <c r="AF9" s="188"/>
      <c r="AG9" s="146"/>
      <c r="AH9" s="147"/>
      <c r="AI9" s="148"/>
      <c r="AJ9" s="149"/>
      <c r="AK9" s="133"/>
      <c r="AL9" s="134"/>
      <c r="AM9" s="135"/>
      <c r="AN9" s="136"/>
      <c r="AO9" s="137"/>
      <c r="AP9" s="138"/>
    </row>
    <row r="10" ht="67.5" customHeight="1">
      <c r="A10" s="118"/>
      <c r="B10" s="177"/>
      <c r="C10" s="178"/>
      <c r="D10" s="178"/>
      <c r="E10" s="178"/>
      <c r="F10" s="179"/>
      <c r="G10" s="180"/>
      <c r="H10" s="178"/>
      <c r="I10" s="178"/>
      <c r="J10" s="178"/>
      <c r="K10" s="181"/>
      <c r="L10" s="181"/>
      <c r="M10" s="181"/>
      <c r="N10" s="182"/>
      <c r="O10" s="183"/>
      <c r="P10" s="190"/>
      <c r="Q10" s="185"/>
      <c r="R10" s="186"/>
      <c r="S10" s="190"/>
      <c r="T10" s="190"/>
      <c r="U10" s="190"/>
      <c r="V10" s="190"/>
      <c r="W10" s="187"/>
      <c r="X10" s="180"/>
      <c r="Y10" s="178"/>
      <c r="Z10" s="180"/>
      <c r="AA10" s="178"/>
      <c r="AB10" s="178"/>
      <c r="AC10" s="178"/>
      <c r="AD10" s="178"/>
      <c r="AE10" s="178"/>
      <c r="AF10" s="188"/>
      <c r="AG10" s="146"/>
      <c r="AH10" s="147"/>
      <c r="AI10" s="148"/>
      <c r="AJ10" s="149"/>
      <c r="AK10" s="133"/>
      <c r="AL10" s="134"/>
      <c r="AM10" s="135"/>
      <c r="AN10" s="136"/>
      <c r="AO10" s="137"/>
      <c r="AP10" s="138"/>
    </row>
    <row r="11" ht="67.5" customHeight="1">
      <c r="A11" s="118"/>
      <c r="B11" s="177"/>
      <c r="C11" s="178"/>
      <c r="D11" s="178"/>
      <c r="E11" s="178"/>
      <c r="F11" s="179"/>
      <c r="G11" s="180"/>
      <c r="H11" s="178"/>
      <c r="I11" s="178"/>
      <c r="J11" s="178"/>
      <c r="K11" s="181"/>
      <c r="L11" s="181"/>
      <c r="M11" s="181"/>
      <c r="N11" s="182"/>
      <c r="O11" s="183"/>
      <c r="P11" s="190"/>
      <c r="Q11" s="185"/>
      <c r="R11" s="186"/>
      <c r="S11" s="190"/>
      <c r="T11" s="190"/>
      <c r="U11" s="190"/>
      <c r="V11" s="190"/>
      <c r="W11" s="187"/>
      <c r="X11" s="180"/>
      <c r="Y11" s="178"/>
      <c r="Z11" s="180"/>
      <c r="AA11" s="178"/>
      <c r="AB11" s="178"/>
      <c r="AC11" s="178"/>
      <c r="AD11" s="178"/>
      <c r="AE11" s="178"/>
      <c r="AF11" s="188"/>
      <c r="AG11" s="146"/>
      <c r="AH11" s="147"/>
      <c r="AI11" s="148"/>
      <c r="AJ11" s="149"/>
      <c r="AK11" s="133"/>
      <c r="AL11" s="134"/>
      <c r="AM11" s="135"/>
      <c r="AN11" s="136"/>
      <c r="AO11" s="137"/>
      <c r="AP11" s="138"/>
    </row>
    <row r="12" ht="67.5" customHeight="1">
      <c r="A12" s="118"/>
      <c r="B12" s="177"/>
      <c r="C12" s="178"/>
      <c r="D12" s="178"/>
      <c r="E12" s="178"/>
      <c r="F12" s="179"/>
      <c r="G12" s="180"/>
      <c r="H12" s="178"/>
      <c r="I12" s="178"/>
      <c r="J12" s="178"/>
      <c r="K12" s="181"/>
      <c r="L12" s="181"/>
      <c r="M12" s="181"/>
      <c r="N12" s="182"/>
      <c r="O12" s="183"/>
      <c r="P12" s="190"/>
      <c r="Q12" s="185"/>
      <c r="R12" s="186"/>
      <c r="S12" s="190"/>
      <c r="T12" s="190"/>
      <c r="U12" s="190"/>
      <c r="V12" s="190"/>
      <c r="W12" s="187"/>
      <c r="X12" s="180"/>
      <c r="Y12" s="178"/>
      <c r="Z12" s="180"/>
      <c r="AA12" s="178"/>
      <c r="AB12" s="178"/>
      <c r="AC12" s="178"/>
      <c r="AD12" s="178"/>
      <c r="AE12" s="178"/>
      <c r="AF12" s="188"/>
      <c r="AG12" s="146"/>
      <c r="AH12" s="147"/>
      <c r="AI12" s="148"/>
      <c r="AJ12" s="149"/>
      <c r="AK12" s="133"/>
      <c r="AL12" s="134"/>
      <c r="AM12" s="135"/>
      <c r="AN12" s="136"/>
      <c r="AO12" s="137"/>
      <c r="AP12" s="138"/>
    </row>
    <row r="13" ht="67.5" customHeight="1">
      <c r="A13" s="118"/>
      <c r="B13" s="177"/>
      <c r="C13" s="178"/>
      <c r="D13" s="178"/>
      <c r="E13" s="178"/>
      <c r="F13" s="179"/>
      <c r="G13" s="180"/>
      <c r="H13" s="178"/>
      <c r="I13" s="178"/>
      <c r="J13" s="178"/>
      <c r="K13" s="181"/>
      <c r="L13" s="181"/>
      <c r="M13" s="181"/>
      <c r="N13" s="182"/>
      <c r="O13" s="183"/>
      <c r="P13" s="190"/>
      <c r="Q13" s="185"/>
      <c r="R13" s="186"/>
      <c r="S13" s="190"/>
      <c r="T13" s="190"/>
      <c r="U13" s="190"/>
      <c r="V13" s="190"/>
      <c r="W13" s="187"/>
      <c r="X13" s="180"/>
      <c r="Y13" s="178"/>
      <c r="Z13" s="180"/>
      <c r="AA13" s="178"/>
      <c r="AB13" s="178"/>
      <c r="AC13" s="178"/>
      <c r="AD13" s="178"/>
      <c r="AE13" s="178"/>
      <c r="AF13" s="188"/>
      <c r="AG13" s="146"/>
      <c r="AH13" s="147"/>
      <c r="AI13" s="148"/>
      <c r="AJ13" s="149"/>
      <c r="AK13" s="133"/>
      <c r="AL13" s="134"/>
      <c r="AM13" s="135"/>
      <c r="AN13" s="136"/>
      <c r="AO13" s="137"/>
      <c r="AP13" s="138"/>
    </row>
    <row r="14" ht="67.5" customHeight="1">
      <c r="A14" s="118"/>
      <c r="B14" s="177"/>
      <c r="C14" s="178"/>
      <c r="D14" s="178"/>
      <c r="E14" s="178"/>
      <c r="F14" s="179"/>
      <c r="G14" s="180"/>
      <c r="H14" s="178"/>
      <c r="I14" s="178"/>
      <c r="J14" s="178"/>
      <c r="K14" s="181"/>
      <c r="L14" s="181"/>
      <c r="M14" s="181"/>
      <c r="N14" s="182"/>
      <c r="O14" s="183"/>
      <c r="P14" s="190"/>
      <c r="Q14" s="185"/>
      <c r="R14" s="186"/>
      <c r="S14" s="190"/>
      <c r="T14" s="190"/>
      <c r="U14" s="190"/>
      <c r="V14" s="190"/>
      <c r="W14" s="187"/>
      <c r="X14" s="180"/>
      <c r="Y14" s="178"/>
      <c r="Z14" s="180"/>
      <c r="AA14" s="178"/>
      <c r="AB14" s="178"/>
      <c r="AC14" s="178"/>
      <c r="AD14" s="178"/>
      <c r="AE14" s="178"/>
      <c r="AF14" s="188"/>
      <c r="AG14" s="146"/>
      <c r="AH14" s="147"/>
      <c r="AI14" s="148"/>
      <c r="AJ14" s="149"/>
      <c r="AK14" s="133"/>
      <c r="AL14" s="134"/>
      <c r="AM14" s="135"/>
      <c r="AN14" s="136"/>
      <c r="AO14" s="137"/>
      <c r="AP14" s="138"/>
    </row>
    <row r="15" ht="67.5" customHeight="1">
      <c r="A15" s="118"/>
      <c r="B15" s="177"/>
      <c r="C15" s="178"/>
      <c r="D15" s="178"/>
      <c r="E15" s="178"/>
      <c r="F15" s="179"/>
      <c r="G15" s="180"/>
      <c r="H15" s="178"/>
      <c r="I15" s="178"/>
      <c r="J15" s="178"/>
      <c r="K15" s="181"/>
      <c r="L15" s="181"/>
      <c r="M15" s="181"/>
      <c r="N15" s="182"/>
      <c r="O15" s="183"/>
      <c r="P15" s="190"/>
      <c r="Q15" s="185"/>
      <c r="R15" s="186"/>
      <c r="S15" s="190"/>
      <c r="T15" s="190"/>
      <c r="U15" s="190"/>
      <c r="V15" s="190"/>
      <c r="W15" s="187"/>
      <c r="X15" s="180"/>
      <c r="Y15" s="178"/>
      <c r="Z15" s="180"/>
      <c r="AA15" s="178"/>
      <c r="AB15" s="178"/>
      <c r="AC15" s="178"/>
      <c r="AD15" s="178"/>
      <c r="AE15" s="178"/>
      <c r="AF15" s="188"/>
      <c r="AG15" s="146"/>
      <c r="AH15" s="147"/>
      <c r="AI15" s="148"/>
      <c r="AJ15" s="149"/>
      <c r="AK15" s="133"/>
      <c r="AL15" s="134"/>
      <c r="AM15" s="135"/>
      <c r="AN15" s="136"/>
      <c r="AO15" s="137"/>
      <c r="AP15" s="138"/>
    </row>
    <row r="16" ht="67.5" customHeight="1">
      <c r="A16" s="118"/>
      <c r="B16" s="177"/>
      <c r="C16" s="178"/>
      <c r="D16" s="178"/>
      <c r="E16" s="178"/>
      <c r="F16" s="179"/>
      <c r="G16" s="180"/>
      <c r="H16" s="178"/>
      <c r="I16" s="178"/>
      <c r="J16" s="178"/>
      <c r="K16" s="181"/>
      <c r="L16" s="181"/>
      <c r="M16" s="181"/>
      <c r="N16" s="182"/>
      <c r="O16" s="183"/>
      <c r="P16" s="190"/>
      <c r="Q16" s="185"/>
      <c r="R16" s="186"/>
      <c r="S16" s="190"/>
      <c r="T16" s="190"/>
      <c r="U16" s="190"/>
      <c r="V16" s="190"/>
      <c r="W16" s="187"/>
      <c r="X16" s="180"/>
      <c r="Y16" s="178"/>
      <c r="Z16" s="180"/>
      <c r="AA16" s="178"/>
      <c r="AB16" s="178"/>
      <c r="AC16" s="178"/>
      <c r="AD16" s="178"/>
      <c r="AE16" s="178"/>
      <c r="AF16" s="188"/>
      <c r="AG16" s="146"/>
      <c r="AH16" s="147"/>
      <c r="AI16" s="148"/>
      <c r="AJ16" s="149"/>
      <c r="AK16" s="133"/>
      <c r="AL16" s="134"/>
      <c r="AM16" s="135"/>
      <c r="AN16" s="136"/>
      <c r="AO16" s="137"/>
      <c r="AP16" s="138"/>
    </row>
    <row r="17" ht="67.5" customHeight="1">
      <c r="A17" s="118"/>
      <c r="B17" s="192"/>
      <c r="C17" s="193"/>
      <c r="D17" s="193"/>
      <c r="E17" s="193"/>
      <c r="F17" s="194"/>
      <c r="G17" s="195"/>
      <c r="H17" s="193"/>
      <c r="I17" s="193"/>
      <c r="J17" s="193"/>
      <c r="K17" s="196"/>
      <c r="L17" s="196"/>
      <c r="M17" s="196"/>
      <c r="N17" s="197"/>
      <c r="O17" s="198"/>
      <c r="P17" s="199"/>
      <c r="Q17" s="200"/>
      <c r="R17" s="201"/>
      <c r="S17" s="199"/>
      <c r="T17" s="199"/>
      <c r="U17" s="199"/>
      <c r="V17" s="199"/>
      <c r="W17" s="202"/>
      <c r="X17" s="195"/>
      <c r="Y17" s="193"/>
      <c r="Z17" s="195"/>
      <c r="AA17" s="193"/>
      <c r="AB17" s="193"/>
      <c r="AC17" s="193"/>
      <c r="AD17" s="193"/>
      <c r="AE17" s="193"/>
      <c r="AF17" s="203"/>
      <c r="AG17" s="161"/>
      <c r="AH17" s="162"/>
      <c r="AI17" s="163"/>
      <c r="AJ17" s="164"/>
      <c r="AK17" s="165"/>
      <c r="AL17" s="166"/>
      <c r="AM17" s="167"/>
      <c r="AN17" s="168"/>
      <c r="AO17" s="169"/>
      <c r="AP17" s="138"/>
    </row>
    <row r="18" ht="15.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170"/>
      <c r="AH18" s="170"/>
      <c r="AI18" s="170"/>
      <c r="AJ18" s="88"/>
      <c r="AK18" s="88"/>
      <c r="AL18" s="88"/>
      <c r="AM18" s="88"/>
      <c r="AN18" s="88"/>
      <c r="AO18" s="88"/>
      <c r="AP18" s="88"/>
    </row>
  </sheetData>
  <autoFilter ref="$A$3:$AP$6"/>
  <mergeCells count="4">
    <mergeCell ref="B1:C1"/>
    <mergeCell ref="AG2:AI2"/>
    <mergeCell ref="AJ2:AK2"/>
    <mergeCell ref="AL2:AO2"/>
  </mergeCells>
  <conditionalFormatting sqref="AK4:AK17 AM4:AM17">
    <cfRule type="cellIs" dxfId="2" priority="1" operator="greaterThan">
      <formula>0</formula>
    </cfRule>
  </conditionalFormatting>
  <conditionalFormatting sqref="AK4:AK17 AM4:AM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AJ4:AJ17">
      <formula1>0.0</formula1>
      <formula2>5000000.0</formula2>
    </dataValidation>
  </dataValidations>
  <hyperlinks>
    <hyperlink display="Home" location="Home!A1" ref="B1"/>
    <hyperlink r:id="rId1" ref="AI4"/>
    <hyperlink r:id="rId2" ref="AI5"/>
    <hyperlink r:id="rId3" ref="AI6"/>
  </hyperlinks>
  <printOptions gridLines="1" horizontalCentered="1"/>
  <pageMargins bottom="0.75" footer="0.0" header="0.0" left="0.7" right="0.7" top="0.75"/>
  <pageSetup cellComments="atEnd" orientation="portrait" pageOrder="overThenDown"/>
  <drawing r:id="rId4"/>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21" width="15.75"/>
    <col customWidth="1" min="22" max="22" width="15.75"/>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42.25"/>
    <col customWidth="1" min="35" max="35" width="22.88"/>
    <col customWidth="1" min="36" max="36" width="21.75"/>
    <col customWidth="1" min="37" max="37" width="28.5"/>
    <col customWidth="1" min="38" max="38" width="15.75"/>
    <col customWidth="1" min="39" max="39" width="15.63"/>
    <col customWidth="1" min="40" max="40" width="16.38"/>
    <col customWidth="1" min="41" max="41" width="18.25"/>
    <col customWidth="1" min="42" max="42" width="3.88"/>
  </cols>
  <sheetData>
    <row r="1" ht="33.75" customHeight="1">
      <c r="A1" s="85"/>
      <c r="B1" s="86" t="s">
        <v>108</v>
      </c>
      <c r="C1" s="87"/>
      <c r="D1" s="88"/>
      <c r="E1" s="89"/>
      <c r="F1" s="90"/>
      <c r="G1" s="90"/>
      <c r="H1" s="90"/>
      <c r="I1" s="90"/>
      <c r="J1" s="90"/>
      <c r="K1" s="90"/>
      <c r="L1" s="90"/>
      <c r="M1" s="90"/>
      <c r="N1" s="90"/>
      <c r="O1" s="90"/>
      <c r="P1" s="90"/>
      <c r="Q1" s="90"/>
      <c r="R1" s="90"/>
      <c r="S1" s="90"/>
      <c r="T1" s="90"/>
      <c r="U1" s="90"/>
      <c r="V1" s="90"/>
      <c r="W1" s="90"/>
      <c r="X1" s="90"/>
      <c r="Y1" s="90"/>
      <c r="Z1" s="90"/>
      <c r="AA1" s="90"/>
      <c r="AB1" s="90"/>
      <c r="AC1" s="90"/>
      <c r="AD1" s="90"/>
      <c r="AE1" s="90"/>
      <c r="AF1" s="88"/>
      <c r="AG1" s="91" t="s">
        <v>109</v>
      </c>
      <c r="AH1" s="92">
        <v>1.0</v>
      </c>
      <c r="AI1" s="93" t="s">
        <v>110</v>
      </c>
      <c r="AJ1" s="94"/>
      <c r="AK1" s="95"/>
      <c r="AL1" s="96">
        <v>43466.0</v>
      </c>
      <c r="AM1" s="97">
        <f>Alertas!B6</f>
        <v>44582</v>
      </c>
      <c r="AN1" s="96">
        <f>TODAY()-1</f>
        <v>44714</v>
      </c>
      <c r="AO1" s="93"/>
      <c r="AP1" s="93"/>
    </row>
    <row r="2" ht="33.75" customHeight="1">
      <c r="A2" s="85"/>
      <c r="B2" s="88"/>
      <c r="C2" s="98"/>
      <c r="D2" s="99"/>
      <c r="E2" s="88"/>
      <c r="F2" s="100"/>
      <c r="G2" s="88"/>
      <c r="H2" s="88"/>
      <c r="I2" s="88"/>
      <c r="J2" s="88"/>
      <c r="K2" s="88"/>
      <c r="L2" s="88"/>
      <c r="M2" s="88"/>
      <c r="N2" s="88"/>
      <c r="O2" s="88"/>
      <c r="P2" s="88"/>
      <c r="Q2" s="88"/>
      <c r="R2" s="88"/>
      <c r="S2" s="88"/>
      <c r="T2" s="88"/>
      <c r="U2" s="88"/>
      <c r="V2" s="88"/>
      <c r="W2" s="88"/>
      <c r="X2" s="88"/>
      <c r="Y2" s="88"/>
      <c r="Z2" s="88"/>
      <c r="AA2" s="88"/>
      <c r="AB2" s="88"/>
      <c r="AC2" s="88"/>
      <c r="AD2" s="88"/>
      <c r="AE2" s="88"/>
      <c r="AF2" s="17"/>
      <c r="AG2" s="101" t="s">
        <v>111</v>
      </c>
      <c r="AH2" s="102"/>
      <c r="AI2" s="103"/>
      <c r="AJ2" s="104" t="s">
        <v>112</v>
      </c>
      <c r="AK2" s="103"/>
      <c r="AL2" s="104" t="s">
        <v>113</v>
      </c>
      <c r="AM2" s="102"/>
      <c r="AN2" s="102"/>
      <c r="AO2" s="103"/>
      <c r="AP2" s="105"/>
    </row>
    <row r="3" ht="33.75" customHeight="1">
      <c r="A3" s="106"/>
      <c r="B3" s="171" t="s">
        <v>40</v>
      </c>
      <c r="C3" s="172" t="s">
        <v>41</v>
      </c>
      <c r="D3" s="173" t="s">
        <v>42</v>
      </c>
      <c r="E3" s="173" t="s">
        <v>43</v>
      </c>
      <c r="F3" s="174" t="s">
        <v>44</v>
      </c>
      <c r="G3" s="175" t="s">
        <v>45</v>
      </c>
      <c r="H3" s="173" t="s">
        <v>46</v>
      </c>
      <c r="I3" s="175" t="s">
        <v>47</v>
      </c>
      <c r="J3" s="175" t="s">
        <v>48</v>
      </c>
      <c r="K3" s="175" t="s">
        <v>49</v>
      </c>
      <c r="L3" s="175" t="s">
        <v>50</v>
      </c>
      <c r="M3" s="173" t="s">
        <v>51</v>
      </c>
      <c r="N3" s="173" t="s">
        <v>52</v>
      </c>
      <c r="O3" s="175" t="s">
        <v>53</v>
      </c>
      <c r="P3" s="175" t="s">
        <v>54</v>
      </c>
      <c r="Q3" s="173" t="s">
        <v>55</v>
      </c>
      <c r="R3" s="173" t="s">
        <v>56</v>
      </c>
      <c r="S3" s="175" t="s">
        <v>57</v>
      </c>
      <c r="T3" s="175" t="s">
        <v>58</v>
      </c>
      <c r="U3" s="175" t="s">
        <v>59</v>
      </c>
      <c r="V3" s="175" t="s">
        <v>60</v>
      </c>
      <c r="W3" s="173" t="s">
        <v>61</v>
      </c>
      <c r="X3" s="172" t="s">
        <v>62</v>
      </c>
      <c r="Y3" s="172" t="s">
        <v>63</v>
      </c>
      <c r="Z3" s="172" t="s">
        <v>64</v>
      </c>
      <c r="AA3" s="172" t="s">
        <v>65</v>
      </c>
      <c r="AB3" s="172" t="s">
        <v>66</v>
      </c>
      <c r="AC3" s="172" t="s">
        <v>67</v>
      </c>
      <c r="AD3" s="172" t="s">
        <v>68</v>
      </c>
      <c r="AE3" s="172" t="s">
        <v>69</v>
      </c>
      <c r="AF3" s="176" t="s">
        <v>70</v>
      </c>
      <c r="AG3" s="113" t="s">
        <v>71</v>
      </c>
      <c r="AH3" s="114" t="s">
        <v>72</v>
      </c>
      <c r="AI3" s="115" t="s">
        <v>73</v>
      </c>
      <c r="AJ3" s="116" t="s">
        <v>114</v>
      </c>
      <c r="AK3" s="117" t="s">
        <v>115</v>
      </c>
      <c r="AL3" s="113" t="s">
        <v>74</v>
      </c>
      <c r="AM3" s="114" t="s">
        <v>116</v>
      </c>
      <c r="AN3" s="114" t="s">
        <v>76</v>
      </c>
      <c r="AO3" s="117" t="s">
        <v>117</v>
      </c>
      <c r="AP3" s="105"/>
    </row>
    <row r="4" ht="67.5" customHeight="1">
      <c r="A4" s="118"/>
      <c r="B4" s="177">
        <v>52.0</v>
      </c>
      <c r="C4" s="178" t="s">
        <v>456</v>
      </c>
      <c r="D4" s="178" t="s">
        <v>457</v>
      </c>
      <c r="E4" s="178" t="s">
        <v>119</v>
      </c>
      <c r="F4" s="179">
        <v>2.018011000241E12</v>
      </c>
      <c r="G4" s="180" t="s">
        <v>120</v>
      </c>
      <c r="H4" s="178" t="s">
        <v>144</v>
      </c>
      <c r="I4" s="178" t="s">
        <v>145</v>
      </c>
      <c r="J4" s="178" t="s">
        <v>146</v>
      </c>
      <c r="K4" s="181" t="s">
        <v>147</v>
      </c>
      <c r="L4" s="181" t="s">
        <v>328</v>
      </c>
      <c r="M4" s="181" t="s">
        <v>148</v>
      </c>
      <c r="N4" s="182" t="s">
        <v>458</v>
      </c>
      <c r="O4" s="183"/>
      <c r="P4" s="184">
        <v>1.0</v>
      </c>
      <c r="Q4" s="185" t="s">
        <v>459</v>
      </c>
      <c r="R4" s="186" t="s">
        <v>170</v>
      </c>
      <c r="S4" s="184">
        <v>1.0</v>
      </c>
      <c r="T4" s="184">
        <v>1.0</v>
      </c>
      <c r="U4" s="184">
        <v>1.0</v>
      </c>
      <c r="V4" s="184">
        <v>1.0</v>
      </c>
      <c r="W4" s="187" t="s">
        <v>460</v>
      </c>
      <c r="X4" s="180" t="s">
        <v>461</v>
      </c>
      <c r="Y4" s="178" t="s">
        <v>462</v>
      </c>
      <c r="Z4" s="180" t="s">
        <v>463</v>
      </c>
      <c r="AA4" s="178" t="s">
        <v>159</v>
      </c>
      <c r="AB4" s="178" t="s">
        <v>180</v>
      </c>
      <c r="AC4" s="178" t="s">
        <v>303</v>
      </c>
      <c r="AD4" s="178" t="s">
        <v>161</v>
      </c>
      <c r="AE4" s="178" t="s">
        <v>464</v>
      </c>
      <c r="AF4" s="188" t="s">
        <v>138</v>
      </c>
      <c r="AG4" s="189">
        <v>1.0</v>
      </c>
      <c r="AH4" s="221" t="s">
        <v>465</v>
      </c>
      <c r="AI4" s="227" t="s">
        <v>466</v>
      </c>
      <c r="AJ4" s="189">
        <v>1.0</v>
      </c>
      <c r="AK4" s="133" t="s">
        <v>467</v>
      </c>
      <c r="AL4" s="134">
        <f t="shared" ref="AL4:AL8" si="1">$AM$1</f>
        <v>44582</v>
      </c>
      <c r="AM4" s="135">
        <f t="shared" ref="AM4:AM8" si="2">AL4-$AN$1</f>
        <v>-132</v>
      </c>
      <c r="AN4" s="136" t="str">
        <f t="shared" ref="AN4:AN8" si="3">IF(ISBLANK(AG4),"Pend. Ejec. Trim."&amp;CHAR(10),)&amp;
IF(ISBLANK(AH4),"Pend. Just. Trim."&amp;CHAR(10),)&amp;
IF(ISBLANK(AI4),"Pend. Evid. Trim."&amp;CHAR(10),)&amp;
IF(ISBLANK(AJ4),"Pend. Ejec. Año"&amp;CHAR(10),)&amp;
IF(ISBLANK(AK4),"Pend. Evid. Año",)&amp;
IF(OR(ISBLANK(AG4),ISBLANK(AH4),ISBLANK(AI4),ISBLANK(AJ4),ISBLANK(AK4)),,"Reporte ok")</f>
        <v>Reporte ok</v>
      </c>
      <c r="AO4" s="137"/>
      <c r="AP4" s="138"/>
    </row>
    <row r="5" ht="67.5" customHeight="1">
      <c r="A5" s="118"/>
      <c r="B5" s="177">
        <v>53.0</v>
      </c>
      <c r="C5" s="178" t="s">
        <v>456</v>
      </c>
      <c r="D5" s="178" t="s">
        <v>457</v>
      </c>
      <c r="E5" s="178" t="s">
        <v>119</v>
      </c>
      <c r="F5" s="179">
        <v>2.018011000241E12</v>
      </c>
      <c r="G5" s="180" t="s">
        <v>120</v>
      </c>
      <c r="H5" s="178" t="s">
        <v>144</v>
      </c>
      <c r="I5" s="178" t="s">
        <v>145</v>
      </c>
      <c r="J5" s="178" t="s">
        <v>146</v>
      </c>
      <c r="K5" s="181" t="s">
        <v>147</v>
      </c>
      <c r="L5" s="181" t="s">
        <v>125</v>
      </c>
      <c r="M5" s="181" t="s">
        <v>148</v>
      </c>
      <c r="N5" s="182" t="s">
        <v>468</v>
      </c>
      <c r="O5" s="183"/>
      <c r="P5" s="184">
        <v>1.0</v>
      </c>
      <c r="Q5" s="185" t="s">
        <v>469</v>
      </c>
      <c r="R5" s="186" t="s">
        <v>170</v>
      </c>
      <c r="S5" s="184">
        <v>1.0</v>
      </c>
      <c r="T5" s="184">
        <v>1.0</v>
      </c>
      <c r="U5" s="184">
        <v>1.0</v>
      </c>
      <c r="V5" s="184">
        <v>1.0</v>
      </c>
      <c r="W5" s="187" t="s">
        <v>460</v>
      </c>
      <c r="X5" s="180" t="s">
        <v>461</v>
      </c>
      <c r="Y5" s="178" t="s">
        <v>462</v>
      </c>
      <c r="Z5" s="180" t="s">
        <v>463</v>
      </c>
      <c r="AA5" s="178" t="s">
        <v>159</v>
      </c>
      <c r="AB5" s="178" t="s">
        <v>180</v>
      </c>
      <c r="AC5" s="178" t="s">
        <v>384</v>
      </c>
      <c r="AD5" s="178" t="s">
        <v>161</v>
      </c>
      <c r="AE5" s="178" t="s">
        <v>464</v>
      </c>
      <c r="AF5" s="188" t="s">
        <v>138</v>
      </c>
      <c r="AG5" s="189">
        <v>1.0</v>
      </c>
      <c r="AH5" s="221" t="s">
        <v>470</v>
      </c>
      <c r="AI5" s="210" t="s">
        <v>471</v>
      </c>
      <c r="AJ5" s="189">
        <v>1.0</v>
      </c>
      <c r="AK5" s="133" t="s">
        <v>472</v>
      </c>
      <c r="AL5" s="134">
        <f t="shared" si="1"/>
        <v>44582</v>
      </c>
      <c r="AM5" s="135">
        <f t="shared" si="2"/>
        <v>-132</v>
      </c>
      <c r="AN5" s="136" t="str">
        <f t="shared" si="3"/>
        <v>Reporte ok</v>
      </c>
      <c r="AO5" s="137"/>
      <c r="AP5" s="138"/>
    </row>
    <row r="6" ht="67.5" customHeight="1">
      <c r="A6" s="118"/>
      <c r="B6" s="177">
        <v>54.0</v>
      </c>
      <c r="C6" s="178" t="s">
        <v>456</v>
      </c>
      <c r="D6" s="178" t="s">
        <v>457</v>
      </c>
      <c r="E6" s="178" t="s">
        <v>119</v>
      </c>
      <c r="F6" s="179">
        <v>2.018011000241E12</v>
      </c>
      <c r="G6" s="180" t="s">
        <v>120</v>
      </c>
      <c r="H6" s="178" t="s">
        <v>144</v>
      </c>
      <c r="I6" s="178" t="s">
        <v>145</v>
      </c>
      <c r="J6" s="178" t="s">
        <v>146</v>
      </c>
      <c r="K6" s="181" t="s">
        <v>147</v>
      </c>
      <c r="L6" s="181" t="s">
        <v>125</v>
      </c>
      <c r="M6" s="181" t="s">
        <v>148</v>
      </c>
      <c r="N6" s="182" t="s">
        <v>473</v>
      </c>
      <c r="O6" s="183"/>
      <c r="P6" s="184">
        <v>1.0</v>
      </c>
      <c r="Q6" s="185" t="s">
        <v>474</v>
      </c>
      <c r="R6" s="186" t="s">
        <v>170</v>
      </c>
      <c r="S6" s="184">
        <v>1.0</v>
      </c>
      <c r="T6" s="184">
        <v>1.0</v>
      </c>
      <c r="U6" s="184">
        <v>1.0</v>
      </c>
      <c r="V6" s="184">
        <v>1.0</v>
      </c>
      <c r="W6" s="187" t="s">
        <v>460</v>
      </c>
      <c r="X6" s="180" t="s">
        <v>461</v>
      </c>
      <c r="Y6" s="178" t="s">
        <v>462</v>
      </c>
      <c r="Z6" s="180" t="s">
        <v>463</v>
      </c>
      <c r="AA6" s="178" t="s">
        <v>159</v>
      </c>
      <c r="AB6" s="178" t="s">
        <v>180</v>
      </c>
      <c r="AC6" s="178" t="s">
        <v>303</v>
      </c>
      <c r="AD6" s="178" t="s">
        <v>161</v>
      </c>
      <c r="AE6" s="178" t="s">
        <v>464</v>
      </c>
      <c r="AF6" s="188" t="s">
        <v>138</v>
      </c>
      <c r="AG6" s="189">
        <v>1.0</v>
      </c>
      <c r="AH6" s="229" t="s">
        <v>475</v>
      </c>
      <c r="AI6" s="214" t="s">
        <v>476</v>
      </c>
      <c r="AJ6" s="189">
        <v>1.0</v>
      </c>
      <c r="AK6" s="133" t="s">
        <v>477</v>
      </c>
      <c r="AL6" s="134">
        <f t="shared" si="1"/>
        <v>44582</v>
      </c>
      <c r="AM6" s="135">
        <f t="shared" si="2"/>
        <v>-132</v>
      </c>
      <c r="AN6" s="136" t="str">
        <f t="shared" si="3"/>
        <v>Reporte ok</v>
      </c>
      <c r="AO6" s="137"/>
      <c r="AP6" s="138"/>
    </row>
    <row r="7" ht="67.5" customHeight="1">
      <c r="A7" s="118"/>
      <c r="B7" s="177">
        <v>55.0</v>
      </c>
      <c r="C7" s="178" t="s">
        <v>456</v>
      </c>
      <c r="D7" s="178" t="s">
        <v>457</v>
      </c>
      <c r="E7" s="178" t="s">
        <v>292</v>
      </c>
      <c r="F7" s="179">
        <v>2.01901100028E12</v>
      </c>
      <c r="G7" s="180" t="s">
        <v>293</v>
      </c>
      <c r="H7" s="178" t="s">
        <v>314</v>
      </c>
      <c r="I7" s="178" t="s">
        <v>315</v>
      </c>
      <c r="J7" s="178" t="s">
        <v>316</v>
      </c>
      <c r="K7" s="181" t="s">
        <v>147</v>
      </c>
      <c r="L7" s="181" t="s">
        <v>125</v>
      </c>
      <c r="M7" s="181" t="s">
        <v>148</v>
      </c>
      <c r="N7" s="182" t="s">
        <v>478</v>
      </c>
      <c r="O7" s="183"/>
      <c r="P7" s="184">
        <v>1.0</v>
      </c>
      <c r="Q7" s="185" t="s">
        <v>479</v>
      </c>
      <c r="R7" s="186" t="s">
        <v>170</v>
      </c>
      <c r="S7" s="184">
        <v>1.0</v>
      </c>
      <c r="T7" s="184">
        <v>1.0</v>
      </c>
      <c r="U7" s="184">
        <v>1.0</v>
      </c>
      <c r="V7" s="184">
        <v>1.0</v>
      </c>
      <c r="W7" s="187" t="s">
        <v>460</v>
      </c>
      <c r="X7" s="180" t="s">
        <v>461</v>
      </c>
      <c r="Y7" s="178" t="s">
        <v>462</v>
      </c>
      <c r="Z7" s="180" t="s">
        <v>463</v>
      </c>
      <c r="AA7" s="178" t="s">
        <v>159</v>
      </c>
      <c r="AB7" s="178" t="s">
        <v>180</v>
      </c>
      <c r="AC7" s="178" t="s">
        <v>303</v>
      </c>
      <c r="AD7" s="178" t="s">
        <v>161</v>
      </c>
      <c r="AE7" s="178" t="s">
        <v>464</v>
      </c>
      <c r="AF7" s="188" t="s">
        <v>138</v>
      </c>
      <c r="AG7" s="189">
        <v>1.0</v>
      </c>
      <c r="AH7" s="229" t="s">
        <v>480</v>
      </c>
      <c r="AI7" s="230" t="s">
        <v>481</v>
      </c>
      <c r="AJ7" s="189">
        <v>1.0</v>
      </c>
      <c r="AK7" s="133" t="s">
        <v>482</v>
      </c>
      <c r="AL7" s="134">
        <f t="shared" si="1"/>
        <v>44582</v>
      </c>
      <c r="AM7" s="135">
        <f t="shared" si="2"/>
        <v>-132</v>
      </c>
      <c r="AN7" s="136" t="str">
        <f t="shared" si="3"/>
        <v>Reporte ok</v>
      </c>
      <c r="AO7" s="137"/>
      <c r="AP7" s="138"/>
    </row>
    <row r="8" ht="67.5" customHeight="1">
      <c r="A8" s="118"/>
      <c r="B8" s="177">
        <v>56.0</v>
      </c>
      <c r="C8" s="178" t="s">
        <v>456</v>
      </c>
      <c r="D8" s="178" t="s">
        <v>457</v>
      </c>
      <c r="E8" s="178" t="s">
        <v>119</v>
      </c>
      <c r="F8" s="179">
        <v>2.018011000241E12</v>
      </c>
      <c r="G8" s="180" t="s">
        <v>120</v>
      </c>
      <c r="H8" s="178" t="s">
        <v>144</v>
      </c>
      <c r="I8" s="178" t="s">
        <v>145</v>
      </c>
      <c r="J8" s="178" t="s">
        <v>146</v>
      </c>
      <c r="K8" s="181" t="s">
        <v>147</v>
      </c>
      <c r="L8" s="181" t="s">
        <v>125</v>
      </c>
      <c r="M8" s="181" t="s">
        <v>148</v>
      </c>
      <c r="N8" s="182" t="s">
        <v>483</v>
      </c>
      <c r="O8" s="183"/>
      <c r="P8" s="184">
        <v>1.0</v>
      </c>
      <c r="Q8" s="185" t="s">
        <v>484</v>
      </c>
      <c r="R8" s="186" t="s">
        <v>170</v>
      </c>
      <c r="S8" s="184">
        <v>1.0</v>
      </c>
      <c r="T8" s="184">
        <v>1.0</v>
      </c>
      <c r="U8" s="184">
        <v>1.0</v>
      </c>
      <c r="V8" s="184">
        <v>1.0</v>
      </c>
      <c r="W8" s="187" t="s">
        <v>460</v>
      </c>
      <c r="X8" s="180" t="s">
        <v>461</v>
      </c>
      <c r="Y8" s="178" t="s">
        <v>462</v>
      </c>
      <c r="Z8" s="180" t="s">
        <v>463</v>
      </c>
      <c r="AA8" s="178" t="s">
        <v>159</v>
      </c>
      <c r="AB8" s="178" t="s">
        <v>180</v>
      </c>
      <c r="AC8" s="178" t="s">
        <v>303</v>
      </c>
      <c r="AD8" s="178" t="s">
        <v>161</v>
      </c>
      <c r="AE8" s="178" t="s">
        <v>464</v>
      </c>
      <c r="AF8" s="188" t="s">
        <v>138</v>
      </c>
      <c r="AG8" s="189">
        <v>1.0</v>
      </c>
      <c r="AH8" s="229" t="s">
        <v>485</v>
      </c>
      <c r="AI8" s="214" t="s">
        <v>486</v>
      </c>
      <c r="AJ8" s="189">
        <v>1.0</v>
      </c>
      <c r="AK8" s="133" t="s">
        <v>487</v>
      </c>
      <c r="AL8" s="134">
        <f t="shared" si="1"/>
        <v>44582</v>
      </c>
      <c r="AM8" s="135">
        <f t="shared" si="2"/>
        <v>-132</v>
      </c>
      <c r="AN8" s="136" t="str">
        <f t="shared" si="3"/>
        <v>Reporte ok</v>
      </c>
      <c r="AO8" s="137"/>
      <c r="AP8" s="138"/>
    </row>
    <row r="9" ht="67.5" customHeight="1">
      <c r="A9" s="118"/>
      <c r="B9" s="177"/>
      <c r="C9" s="178"/>
      <c r="D9" s="178"/>
      <c r="E9" s="178"/>
      <c r="F9" s="179"/>
      <c r="G9" s="180"/>
      <c r="H9" s="178"/>
      <c r="I9" s="178"/>
      <c r="J9" s="178"/>
      <c r="K9" s="181"/>
      <c r="L9" s="181"/>
      <c r="M9" s="181"/>
      <c r="N9" s="182"/>
      <c r="O9" s="183"/>
      <c r="P9" s="190"/>
      <c r="Q9" s="185"/>
      <c r="R9" s="186"/>
      <c r="S9" s="190"/>
      <c r="T9" s="190"/>
      <c r="U9" s="190"/>
      <c r="V9" s="190"/>
      <c r="W9" s="187"/>
      <c r="X9" s="180"/>
      <c r="Y9" s="178"/>
      <c r="Z9" s="180"/>
      <c r="AA9" s="178"/>
      <c r="AB9" s="178"/>
      <c r="AC9" s="178"/>
      <c r="AD9" s="178"/>
      <c r="AE9" s="178"/>
      <c r="AF9" s="188"/>
      <c r="AG9" s="146"/>
      <c r="AH9" s="147"/>
      <c r="AI9" s="148"/>
      <c r="AJ9" s="149"/>
      <c r="AK9" s="133"/>
      <c r="AL9" s="134"/>
      <c r="AM9" s="135"/>
      <c r="AN9" s="136"/>
      <c r="AO9" s="137"/>
      <c r="AP9" s="138"/>
    </row>
    <row r="10" ht="67.5" customHeight="1">
      <c r="A10" s="118"/>
      <c r="B10" s="177"/>
      <c r="C10" s="178"/>
      <c r="D10" s="178"/>
      <c r="E10" s="178"/>
      <c r="F10" s="179"/>
      <c r="G10" s="180"/>
      <c r="H10" s="178"/>
      <c r="I10" s="178"/>
      <c r="J10" s="178"/>
      <c r="K10" s="181"/>
      <c r="L10" s="181"/>
      <c r="M10" s="181"/>
      <c r="N10" s="182"/>
      <c r="O10" s="183"/>
      <c r="P10" s="190"/>
      <c r="Q10" s="185"/>
      <c r="R10" s="186"/>
      <c r="S10" s="190"/>
      <c r="T10" s="190"/>
      <c r="U10" s="190"/>
      <c r="V10" s="190"/>
      <c r="W10" s="187"/>
      <c r="X10" s="180"/>
      <c r="Y10" s="178"/>
      <c r="Z10" s="180"/>
      <c r="AA10" s="178"/>
      <c r="AB10" s="178"/>
      <c r="AC10" s="178"/>
      <c r="AD10" s="178"/>
      <c r="AE10" s="178"/>
      <c r="AF10" s="188"/>
      <c r="AG10" s="146"/>
      <c r="AH10" s="147"/>
      <c r="AI10" s="148"/>
      <c r="AJ10" s="149"/>
      <c r="AK10" s="133"/>
      <c r="AL10" s="134"/>
      <c r="AM10" s="135"/>
      <c r="AN10" s="136"/>
      <c r="AO10" s="137"/>
      <c r="AP10" s="138"/>
    </row>
    <row r="11" ht="67.5" customHeight="1">
      <c r="A11" s="118"/>
      <c r="B11" s="177"/>
      <c r="C11" s="178"/>
      <c r="D11" s="178"/>
      <c r="E11" s="178"/>
      <c r="F11" s="179"/>
      <c r="G11" s="180"/>
      <c r="H11" s="178"/>
      <c r="I11" s="178"/>
      <c r="J11" s="178"/>
      <c r="K11" s="181"/>
      <c r="L11" s="181"/>
      <c r="M11" s="181"/>
      <c r="N11" s="182"/>
      <c r="O11" s="183"/>
      <c r="P11" s="190"/>
      <c r="Q11" s="185"/>
      <c r="R11" s="186"/>
      <c r="S11" s="190"/>
      <c r="T11" s="190"/>
      <c r="U11" s="190"/>
      <c r="V11" s="190"/>
      <c r="W11" s="187"/>
      <c r="X11" s="180"/>
      <c r="Y11" s="178"/>
      <c r="Z11" s="180"/>
      <c r="AA11" s="178"/>
      <c r="AB11" s="178"/>
      <c r="AC11" s="178"/>
      <c r="AD11" s="178"/>
      <c r="AE11" s="178"/>
      <c r="AF11" s="188"/>
      <c r="AG11" s="146"/>
      <c r="AH11" s="147"/>
      <c r="AI11" s="148"/>
      <c r="AJ11" s="149"/>
      <c r="AK11" s="133"/>
      <c r="AL11" s="134"/>
      <c r="AM11" s="135"/>
      <c r="AN11" s="136"/>
      <c r="AO11" s="137"/>
      <c r="AP11" s="138"/>
    </row>
    <row r="12" ht="67.5" customHeight="1">
      <c r="A12" s="118"/>
      <c r="B12" s="177"/>
      <c r="C12" s="178"/>
      <c r="D12" s="178"/>
      <c r="E12" s="178"/>
      <c r="F12" s="179"/>
      <c r="G12" s="180"/>
      <c r="H12" s="178"/>
      <c r="I12" s="178"/>
      <c r="J12" s="178"/>
      <c r="K12" s="181"/>
      <c r="L12" s="181"/>
      <c r="M12" s="181"/>
      <c r="N12" s="182"/>
      <c r="O12" s="183"/>
      <c r="P12" s="190"/>
      <c r="Q12" s="185"/>
      <c r="R12" s="186"/>
      <c r="S12" s="190"/>
      <c r="T12" s="190"/>
      <c r="U12" s="190"/>
      <c r="V12" s="190"/>
      <c r="W12" s="187"/>
      <c r="X12" s="180"/>
      <c r="Y12" s="178"/>
      <c r="Z12" s="180"/>
      <c r="AA12" s="178"/>
      <c r="AB12" s="178"/>
      <c r="AC12" s="178"/>
      <c r="AD12" s="178"/>
      <c r="AE12" s="178"/>
      <c r="AF12" s="188"/>
      <c r="AG12" s="146"/>
      <c r="AH12" s="147"/>
      <c r="AI12" s="148"/>
      <c r="AJ12" s="149"/>
      <c r="AK12" s="133"/>
      <c r="AL12" s="134"/>
      <c r="AM12" s="135"/>
      <c r="AN12" s="136"/>
      <c r="AO12" s="137"/>
      <c r="AP12" s="138"/>
    </row>
    <row r="13" ht="67.5" customHeight="1">
      <c r="A13" s="118"/>
      <c r="B13" s="177"/>
      <c r="C13" s="178"/>
      <c r="D13" s="178"/>
      <c r="E13" s="178"/>
      <c r="F13" s="179"/>
      <c r="G13" s="180"/>
      <c r="H13" s="178"/>
      <c r="I13" s="178"/>
      <c r="J13" s="178"/>
      <c r="K13" s="181"/>
      <c r="L13" s="181"/>
      <c r="M13" s="181"/>
      <c r="N13" s="182"/>
      <c r="O13" s="183"/>
      <c r="P13" s="190"/>
      <c r="Q13" s="185"/>
      <c r="R13" s="186"/>
      <c r="S13" s="190"/>
      <c r="T13" s="190"/>
      <c r="U13" s="190"/>
      <c r="V13" s="190"/>
      <c r="W13" s="187"/>
      <c r="X13" s="180"/>
      <c r="Y13" s="178"/>
      <c r="Z13" s="180"/>
      <c r="AA13" s="178"/>
      <c r="AB13" s="178"/>
      <c r="AC13" s="178"/>
      <c r="AD13" s="178"/>
      <c r="AE13" s="178"/>
      <c r="AF13" s="188"/>
      <c r="AG13" s="146"/>
      <c r="AH13" s="147"/>
      <c r="AI13" s="148"/>
      <c r="AJ13" s="149"/>
      <c r="AK13" s="133"/>
      <c r="AL13" s="134"/>
      <c r="AM13" s="135"/>
      <c r="AN13" s="136"/>
      <c r="AO13" s="137"/>
      <c r="AP13" s="138"/>
    </row>
    <row r="14" ht="67.5" customHeight="1">
      <c r="A14" s="118"/>
      <c r="B14" s="177"/>
      <c r="C14" s="178"/>
      <c r="D14" s="178"/>
      <c r="E14" s="178"/>
      <c r="F14" s="179"/>
      <c r="G14" s="180"/>
      <c r="H14" s="178"/>
      <c r="I14" s="178"/>
      <c r="J14" s="178"/>
      <c r="K14" s="181"/>
      <c r="L14" s="181"/>
      <c r="M14" s="181"/>
      <c r="N14" s="182"/>
      <c r="O14" s="183"/>
      <c r="P14" s="190"/>
      <c r="Q14" s="185"/>
      <c r="R14" s="186"/>
      <c r="S14" s="190"/>
      <c r="T14" s="190"/>
      <c r="U14" s="190"/>
      <c r="V14" s="190"/>
      <c r="W14" s="187"/>
      <c r="X14" s="180"/>
      <c r="Y14" s="178"/>
      <c r="Z14" s="180"/>
      <c r="AA14" s="178"/>
      <c r="AB14" s="178"/>
      <c r="AC14" s="178"/>
      <c r="AD14" s="178"/>
      <c r="AE14" s="178"/>
      <c r="AF14" s="188"/>
      <c r="AG14" s="146"/>
      <c r="AH14" s="147"/>
      <c r="AI14" s="148"/>
      <c r="AJ14" s="149"/>
      <c r="AK14" s="133"/>
      <c r="AL14" s="134"/>
      <c r="AM14" s="135"/>
      <c r="AN14" s="136"/>
      <c r="AO14" s="137"/>
      <c r="AP14" s="138"/>
    </row>
    <row r="15" ht="67.5" customHeight="1">
      <c r="A15" s="118"/>
      <c r="B15" s="177"/>
      <c r="C15" s="178"/>
      <c r="D15" s="178"/>
      <c r="E15" s="178"/>
      <c r="F15" s="179"/>
      <c r="G15" s="180"/>
      <c r="H15" s="178"/>
      <c r="I15" s="178"/>
      <c r="J15" s="178"/>
      <c r="K15" s="181"/>
      <c r="L15" s="181"/>
      <c r="M15" s="181"/>
      <c r="N15" s="182"/>
      <c r="O15" s="183"/>
      <c r="P15" s="190"/>
      <c r="Q15" s="185"/>
      <c r="R15" s="186"/>
      <c r="S15" s="190"/>
      <c r="T15" s="190"/>
      <c r="U15" s="190"/>
      <c r="V15" s="190"/>
      <c r="W15" s="187"/>
      <c r="X15" s="180"/>
      <c r="Y15" s="178"/>
      <c r="Z15" s="180"/>
      <c r="AA15" s="178"/>
      <c r="AB15" s="178"/>
      <c r="AC15" s="178"/>
      <c r="AD15" s="178"/>
      <c r="AE15" s="178"/>
      <c r="AF15" s="188"/>
      <c r="AG15" s="146"/>
      <c r="AH15" s="147"/>
      <c r="AI15" s="148"/>
      <c r="AJ15" s="149"/>
      <c r="AK15" s="133"/>
      <c r="AL15" s="134"/>
      <c r="AM15" s="135"/>
      <c r="AN15" s="136"/>
      <c r="AO15" s="137"/>
      <c r="AP15" s="138"/>
    </row>
    <row r="16" ht="67.5" customHeight="1">
      <c r="A16" s="118"/>
      <c r="B16" s="177"/>
      <c r="C16" s="178"/>
      <c r="D16" s="178"/>
      <c r="E16" s="178"/>
      <c r="F16" s="179"/>
      <c r="G16" s="180"/>
      <c r="H16" s="178"/>
      <c r="I16" s="178"/>
      <c r="J16" s="178"/>
      <c r="K16" s="181"/>
      <c r="L16" s="181"/>
      <c r="M16" s="181"/>
      <c r="N16" s="182"/>
      <c r="O16" s="183"/>
      <c r="P16" s="190"/>
      <c r="Q16" s="185"/>
      <c r="R16" s="186"/>
      <c r="S16" s="190"/>
      <c r="T16" s="190"/>
      <c r="U16" s="190"/>
      <c r="V16" s="190"/>
      <c r="W16" s="187"/>
      <c r="X16" s="180"/>
      <c r="Y16" s="178"/>
      <c r="Z16" s="180"/>
      <c r="AA16" s="178"/>
      <c r="AB16" s="178"/>
      <c r="AC16" s="178"/>
      <c r="AD16" s="178"/>
      <c r="AE16" s="178"/>
      <c r="AF16" s="188"/>
      <c r="AG16" s="146"/>
      <c r="AH16" s="147"/>
      <c r="AI16" s="148"/>
      <c r="AJ16" s="149"/>
      <c r="AK16" s="133"/>
      <c r="AL16" s="134"/>
      <c r="AM16" s="135"/>
      <c r="AN16" s="136"/>
      <c r="AO16" s="137"/>
      <c r="AP16" s="138"/>
    </row>
    <row r="17" ht="67.5" customHeight="1">
      <c r="A17" s="118"/>
      <c r="B17" s="192"/>
      <c r="C17" s="193"/>
      <c r="D17" s="193"/>
      <c r="E17" s="193"/>
      <c r="F17" s="194"/>
      <c r="G17" s="195"/>
      <c r="H17" s="193"/>
      <c r="I17" s="193"/>
      <c r="J17" s="193"/>
      <c r="K17" s="196"/>
      <c r="L17" s="196"/>
      <c r="M17" s="196"/>
      <c r="N17" s="197"/>
      <c r="O17" s="198"/>
      <c r="P17" s="199"/>
      <c r="Q17" s="200"/>
      <c r="R17" s="201"/>
      <c r="S17" s="199"/>
      <c r="T17" s="199"/>
      <c r="U17" s="199"/>
      <c r="V17" s="199"/>
      <c r="W17" s="202"/>
      <c r="X17" s="195"/>
      <c r="Y17" s="193"/>
      <c r="Z17" s="195"/>
      <c r="AA17" s="193"/>
      <c r="AB17" s="193"/>
      <c r="AC17" s="193"/>
      <c r="AD17" s="193"/>
      <c r="AE17" s="193"/>
      <c r="AF17" s="203"/>
      <c r="AG17" s="161"/>
      <c r="AH17" s="162"/>
      <c r="AI17" s="163"/>
      <c r="AJ17" s="164"/>
      <c r="AK17" s="165"/>
      <c r="AL17" s="166"/>
      <c r="AM17" s="167"/>
      <c r="AN17" s="168"/>
      <c r="AO17" s="169"/>
      <c r="AP17" s="138"/>
    </row>
    <row r="18" ht="15.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170"/>
      <c r="AH18" s="170"/>
      <c r="AI18" s="170"/>
      <c r="AJ18" s="88"/>
      <c r="AK18" s="88"/>
      <c r="AL18" s="88"/>
      <c r="AM18" s="88"/>
      <c r="AN18" s="88"/>
      <c r="AO18" s="88"/>
      <c r="AP18" s="88"/>
    </row>
  </sheetData>
  <autoFilter ref="$A$3:$AP$8"/>
  <mergeCells count="4">
    <mergeCell ref="B1:C1"/>
    <mergeCell ref="AG2:AI2"/>
    <mergeCell ref="AJ2:AK2"/>
    <mergeCell ref="AL2:AO2"/>
  </mergeCells>
  <conditionalFormatting sqref="AK4:AK17 AM4:AM17">
    <cfRule type="cellIs" dxfId="2" priority="1" operator="greaterThan">
      <formula>0</formula>
    </cfRule>
  </conditionalFormatting>
  <conditionalFormatting sqref="AK4:AK17 AM4:AM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AJ4:AJ17">
      <formula1>0.0</formula1>
      <formula2>5000000.0</formula2>
    </dataValidation>
  </dataValidations>
  <hyperlinks>
    <hyperlink display="Home" location="Home!A1" ref="B1"/>
    <hyperlink r:id="rId1" ref="AI4"/>
    <hyperlink r:id="rId2" ref="AI5"/>
    <hyperlink r:id="rId3" location="gid=281554361" ref="AI6"/>
    <hyperlink r:id="rId4" ref="AI7"/>
    <hyperlink r:id="rId5" ref="AI8"/>
  </hyperlinks>
  <printOptions gridLines="1" horizontalCentered="1"/>
  <pageMargins bottom="0.75" footer="0.0" header="0.0" left="0.7" right="0.7" top="0.75"/>
  <pageSetup cellComments="atEnd" orientation="portrait" pageOrder="overThenDown"/>
  <drawing r:id="rId6"/>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21" width="15.75"/>
    <col customWidth="1" min="22" max="22" width="15.75"/>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4" width="21.0"/>
    <col customWidth="1" min="35" max="35" width="22.88"/>
    <col customWidth="1" min="36" max="36" width="21.75"/>
    <col customWidth="1" min="37" max="37" width="20.25"/>
    <col customWidth="1" min="38" max="38" width="15.75"/>
    <col customWidth="1" min="39" max="39" width="15.63"/>
    <col customWidth="1" min="40" max="40" width="16.38"/>
    <col customWidth="1" min="41" max="41" width="18.25"/>
    <col customWidth="1" min="42" max="42" width="3.88"/>
  </cols>
  <sheetData>
    <row r="1" ht="33.75" customHeight="1">
      <c r="A1" s="85"/>
      <c r="B1" s="86" t="s">
        <v>108</v>
      </c>
      <c r="C1" s="87"/>
      <c r="D1" s="88"/>
      <c r="E1" s="89"/>
      <c r="F1" s="90"/>
      <c r="G1" s="90"/>
      <c r="H1" s="90"/>
      <c r="I1" s="90"/>
      <c r="J1" s="90"/>
      <c r="K1" s="90"/>
      <c r="L1" s="90"/>
      <c r="M1" s="90"/>
      <c r="N1" s="90"/>
      <c r="O1" s="90"/>
      <c r="P1" s="90"/>
      <c r="Q1" s="90"/>
      <c r="R1" s="90"/>
      <c r="S1" s="90"/>
      <c r="T1" s="90"/>
      <c r="U1" s="90"/>
      <c r="V1" s="90"/>
      <c r="W1" s="90"/>
      <c r="X1" s="90"/>
      <c r="Y1" s="90"/>
      <c r="Z1" s="90"/>
      <c r="AA1" s="90"/>
      <c r="AB1" s="90"/>
      <c r="AC1" s="90"/>
      <c r="AD1" s="90"/>
      <c r="AE1" s="90"/>
      <c r="AF1" s="88"/>
      <c r="AG1" s="91" t="s">
        <v>109</v>
      </c>
      <c r="AH1" s="92">
        <v>1.0</v>
      </c>
      <c r="AI1" s="93" t="s">
        <v>110</v>
      </c>
      <c r="AJ1" s="94"/>
      <c r="AK1" s="95"/>
      <c r="AL1" s="96">
        <v>43466.0</v>
      </c>
      <c r="AM1" s="97">
        <f>Alertas!B6</f>
        <v>44582</v>
      </c>
      <c r="AN1" s="96">
        <f>TODAY()-1</f>
        <v>44714</v>
      </c>
      <c r="AO1" s="93"/>
      <c r="AP1" s="93"/>
    </row>
    <row r="2" ht="33.75" customHeight="1">
      <c r="A2" s="85"/>
      <c r="B2" s="88"/>
      <c r="C2" s="98"/>
      <c r="D2" s="99"/>
      <c r="E2" s="88"/>
      <c r="F2" s="100"/>
      <c r="G2" s="88"/>
      <c r="H2" s="88"/>
      <c r="I2" s="88"/>
      <c r="J2" s="88"/>
      <c r="K2" s="88"/>
      <c r="L2" s="88"/>
      <c r="M2" s="88"/>
      <c r="N2" s="88"/>
      <c r="O2" s="88"/>
      <c r="P2" s="88"/>
      <c r="Q2" s="88"/>
      <c r="R2" s="88"/>
      <c r="S2" s="88"/>
      <c r="T2" s="88"/>
      <c r="U2" s="88"/>
      <c r="V2" s="88"/>
      <c r="W2" s="88"/>
      <c r="X2" s="88"/>
      <c r="Y2" s="88"/>
      <c r="Z2" s="88"/>
      <c r="AA2" s="88"/>
      <c r="AB2" s="88"/>
      <c r="AC2" s="88"/>
      <c r="AD2" s="88"/>
      <c r="AE2" s="88"/>
      <c r="AF2" s="17"/>
      <c r="AG2" s="101" t="s">
        <v>111</v>
      </c>
      <c r="AH2" s="102"/>
      <c r="AI2" s="103"/>
      <c r="AJ2" s="104" t="s">
        <v>112</v>
      </c>
      <c r="AK2" s="103"/>
      <c r="AL2" s="104" t="s">
        <v>113</v>
      </c>
      <c r="AM2" s="102"/>
      <c r="AN2" s="102"/>
      <c r="AO2" s="103"/>
      <c r="AP2" s="105"/>
    </row>
    <row r="3" ht="33.75" customHeight="1">
      <c r="A3" s="106"/>
      <c r="B3" s="171" t="s">
        <v>40</v>
      </c>
      <c r="C3" s="172" t="s">
        <v>41</v>
      </c>
      <c r="D3" s="173" t="s">
        <v>42</v>
      </c>
      <c r="E3" s="173" t="s">
        <v>43</v>
      </c>
      <c r="F3" s="174" t="s">
        <v>44</v>
      </c>
      <c r="G3" s="175" t="s">
        <v>45</v>
      </c>
      <c r="H3" s="173" t="s">
        <v>46</v>
      </c>
      <c r="I3" s="175" t="s">
        <v>47</v>
      </c>
      <c r="J3" s="175" t="s">
        <v>48</v>
      </c>
      <c r="K3" s="175" t="s">
        <v>49</v>
      </c>
      <c r="L3" s="175" t="s">
        <v>50</v>
      </c>
      <c r="M3" s="173" t="s">
        <v>51</v>
      </c>
      <c r="N3" s="173" t="s">
        <v>52</v>
      </c>
      <c r="O3" s="175" t="s">
        <v>53</v>
      </c>
      <c r="P3" s="175" t="s">
        <v>54</v>
      </c>
      <c r="Q3" s="173" t="s">
        <v>55</v>
      </c>
      <c r="R3" s="173" t="s">
        <v>56</v>
      </c>
      <c r="S3" s="175" t="s">
        <v>57</v>
      </c>
      <c r="T3" s="175" t="s">
        <v>58</v>
      </c>
      <c r="U3" s="175" t="s">
        <v>59</v>
      </c>
      <c r="V3" s="175" t="s">
        <v>60</v>
      </c>
      <c r="W3" s="173" t="s">
        <v>61</v>
      </c>
      <c r="X3" s="172" t="s">
        <v>62</v>
      </c>
      <c r="Y3" s="172" t="s">
        <v>63</v>
      </c>
      <c r="Z3" s="172" t="s">
        <v>64</v>
      </c>
      <c r="AA3" s="172" t="s">
        <v>65</v>
      </c>
      <c r="AB3" s="172" t="s">
        <v>66</v>
      </c>
      <c r="AC3" s="172" t="s">
        <v>67</v>
      </c>
      <c r="AD3" s="172" t="s">
        <v>68</v>
      </c>
      <c r="AE3" s="172" t="s">
        <v>69</v>
      </c>
      <c r="AF3" s="176" t="s">
        <v>70</v>
      </c>
      <c r="AG3" s="113" t="s">
        <v>71</v>
      </c>
      <c r="AH3" s="114" t="s">
        <v>72</v>
      </c>
      <c r="AI3" s="115" t="s">
        <v>73</v>
      </c>
      <c r="AJ3" s="116" t="s">
        <v>114</v>
      </c>
      <c r="AK3" s="117" t="s">
        <v>115</v>
      </c>
      <c r="AL3" s="113" t="s">
        <v>74</v>
      </c>
      <c r="AM3" s="114" t="s">
        <v>116</v>
      </c>
      <c r="AN3" s="114" t="s">
        <v>76</v>
      </c>
      <c r="AO3" s="117" t="s">
        <v>117</v>
      </c>
      <c r="AP3" s="105"/>
    </row>
    <row r="4" ht="67.5" customHeight="1">
      <c r="A4" s="118"/>
      <c r="B4" s="177">
        <v>57.0</v>
      </c>
      <c r="C4" s="178" t="s">
        <v>488</v>
      </c>
      <c r="D4" s="178" t="s">
        <v>489</v>
      </c>
      <c r="E4" s="178" t="s">
        <v>490</v>
      </c>
      <c r="F4" s="179">
        <v>2.019011000277E12</v>
      </c>
      <c r="G4" s="180" t="s">
        <v>491</v>
      </c>
      <c r="H4" s="178" t="s">
        <v>492</v>
      </c>
      <c r="I4" s="178" t="s">
        <v>493</v>
      </c>
      <c r="J4" s="178" t="s">
        <v>494</v>
      </c>
      <c r="K4" s="181" t="s">
        <v>124</v>
      </c>
      <c r="L4" s="181" t="s">
        <v>125</v>
      </c>
      <c r="M4" s="181" t="s">
        <v>126</v>
      </c>
      <c r="N4" s="182" t="s">
        <v>495</v>
      </c>
      <c r="O4" s="183">
        <v>3.0</v>
      </c>
      <c r="P4" s="190">
        <v>3.0</v>
      </c>
      <c r="Q4" s="185" t="s">
        <v>496</v>
      </c>
      <c r="R4" s="186" t="s">
        <v>128</v>
      </c>
      <c r="S4" s="190">
        <v>0.0</v>
      </c>
      <c r="T4" s="190">
        <v>0.0</v>
      </c>
      <c r="U4" s="190">
        <v>0.0</v>
      </c>
      <c r="V4" s="190">
        <v>3.0</v>
      </c>
      <c r="W4" s="187" t="s">
        <v>489</v>
      </c>
      <c r="X4" s="180" t="s">
        <v>497</v>
      </c>
      <c r="Y4" s="178" t="s">
        <v>498</v>
      </c>
      <c r="Z4" s="180" t="s">
        <v>499</v>
      </c>
      <c r="AA4" s="178" t="s">
        <v>500</v>
      </c>
      <c r="AB4" s="178" t="s">
        <v>180</v>
      </c>
      <c r="AC4" s="178" t="s">
        <v>384</v>
      </c>
      <c r="AD4" s="178" t="s">
        <v>501</v>
      </c>
      <c r="AE4" s="178" t="s">
        <v>502</v>
      </c>
      <c r="AF4" s="188" t="s">
        <v>183</v>
      </c>
      <c r="AG4" s="191">
        <v>3.0</v>
      </c>
      <c r="AH4" s="229" t="s">
        <v>503</v>
      </c>
      <c r="AI4" s="231" t="s">
        <v>504</v>
      </c>
      <c r="AJ4" s="191">
        <v>3.0</v>
      </c>
      <c r="AK4" s="133" t="s">
        <v>505</v>
      </c>
      <c r="AL4" s="134">
        <f t="shared" ref="AL4:AL15" si="1">$AM$1</f>
        <v>44582</v>
      </c>
      <c r="AM4" s="135">
        <f t="shared" ref="AM4:AM15" si="2">AL4-$AN$1</f>
        <v>-132</v>
      </c>
      <c r="AN4" s="136" t="str">
        <f t="shared" ref="AN4:AN15" si="3">IF(ISBLANK(AG4),"Pend. Ejec. Trim."&amp;CHAR(10),)&amp;
IF(ISBLANK(AH4),"Pend. Just. Trim."&amp;CHAR(10),)&amp;
IF(ISBLANK(AI4),"Pend. Evid. Trim."&amp;CHAR(10),)&amp;
IF(ISBLANK(AJ4),"Pend. Ejec. Año"&amp;CHAR(10),)&amp;
IF(ISBLANK(AK4),"Pend. Evid. Año",)&amp;
IF(OR(ISBLANK(AG4),ISBLANK(AH4),ISBLANK(AI4),ISBLANK(AJ4),ISBLANK(AK4)),,"Reporte ok")</f>
        <v>Reporte ok</v>
      </c>
      <c r="AO4" s="137"/>
      <c r="AP4" s="138"/>
    </row>
    <row r="5" ht="67.5" customHeight="1">
      <c r="A5" s="118"/>
      <c r="B5" s="177">
        <v>58.0</v>
      </c>
      <c r="C5" s="178" t="s">
        <v>488</v>
      </c>
      <c r="D5" s="178" t="s">
        <v>489</v>
      </c>
      <c r="E5" s="178" t="s">
        <v>490</v>
      </c>
      <c r="F5" s="179">
        <v>2.019011000277E12</v>
      </c>
      <c r="G5" s="180" t="s">
        <v>491</v>
      </c>
      <c r="H5" s="178" t="s">
        <v>492</v>
      </c>
      <c r="I5" s="178" t="s">
        <v>493</v>
      </c>
      <c r="J5" s="178" t="s">
        <v>506</v>
      </c>
      <c r="K5" s="181" t="s">
        <v>124</v>
      </c>
      <c r="L5" s="181" t="s">
        <v>125</v>
      </c>
      <c r="M5" s="181" t="s">
        <v>126</v>
      </c>
      <c r="N5" s="182" t="s">
        <v>495</v>
      </c>
      <c r="O5" s="183">
        <v>3.0</v>
      </c>
      <c r="P5" s="190">
        <v>3.0</v>
      </c>
      <c r="Q5" s="185" t="s">
        <v>496</v>
      </c>
      <c r="R5" s="186" t="s">
        <v>128</v>
      </c>
      <c r="S5" s="190">
        <v>0.0</v>
      </c>
      <c r="T5" s="190">
        <v>0.0</v>
      </c>
      <c r="U5" s="190">
        <v>0.0</v>
      </c>
      <c r="V5" s="190">
        <v>3.0</v>
      </c>
      <c r="W5" s="187" t="s">
        <v>489</v>
      </c>
      <c r="X5" s="180" t="s">
        <v>497</v>
      </c>
      <c r="Y5" s="178" t="s">
        <v>498</v>
      </c>
      <c r="Z5" s="180" t="s">
        <v>499</v>
      </c>
      <c r="AA5" s="178" t="s">
        <v>500</v>
      </c>
      <c r="AB5" s="178" t="s">
        <v>180</v>
      </c>
      <c r="AC5" s="178" t="s">
        <v>384</v>
      </c>
      <c r="AD5" s="178" t="s">
        <v>501</v>
      </c>
      <c r="AE5" s="178" t="s">
        <v>502</v>
      </c>
      <c r="AF5" s="188" t="s">
        <v>183</v>
      </c>
      <c r="AG5" s="191">
        <v>3.0</v>
      </c>
      <c r="AH5" s="229" t="s">
        <v>503</v>
      </c>
      <c r="AI5" s="231" t="s">
        <v>507</v>
      </c>
      <c r="AJ5" s="191">
        <v>3.0</v>
      </c>
      <c r="AK5" s="133" t="s">
        <v>505</v>
      </c>
      <c r="AL5" s="134">
        <f t="shared" si="1"/>
        <v>44582</v>
      </c>
      <c r="AM5" s="135">
        <f t="shared" si="2"/>
        <v>-132</v>
      </c>
      <c r="AN5" s="136" t="str">
        <f t="shared" si="3"/>
        <v>Reporte ok</v>
      </c>
      <c r="AO5" s="137"/>
      <c r="AP5" s="138"/>
    </row>
    <row r="6" ht="67.5" customHeight="1">
      <c r="A6" s="118"/>
      <c r="B6" s="177">
        <v>59.0</v>
      </c>
      <c r="C6" s="178" t="s">
        <v>488</v>
      </c>
      <c r="D6" s="178" t="s">
        <v>489</v>
      </c>
      <c r="E6" s="178" t="s">
        <v>490</v>
      </c>
      <c r="F6" s="179">
        <v>2.019011000277E12</v>
      </c>
      <c r="G6" s="180" t="s">
        <v>491</v>
      </c>
      <c r="H6" s="178" t="s">
        <v>492</v>
      </c>
      <c r="I6" s="178" t="s">
        <v>493</v>
      </c>
      <c r="J6" s="178" t="s">
        <v>506</v>
      </c>
      <c r="K6" s="181" t="s">
        <v>147</v>
      </c>
      <c r="L6" s="181" t="s">
        <v>125</v>
      </c>
      <c r="M6" s="181" t="s">
        <v>148</v>
      </c>
      <c r="N6" s="182" t="s">
        <v>508</v>
      </c>
      <c r="O6" s="183">
        <v>1.0</v>
      </c>
      <c r="P6" s="184">
        <v>1.0</v>
      </c>
      <c r="Q6" s="185" t="s">
        <v>509</v>
      </c>
      <c r="R6" s="186" t="s">
        <v>170</v>
      </c>
      <c r="S6" s="184">
        <v>1.0</v>
      </c>
      <c r="T6" s="184">
        <v>1.0</v>
      </c>
      <c r="U6" s="184">
        <v>1.0</v>
      </c>
      <c r="V6" s="184">
        <v>1.0</v>
      </c>
      <c r="W6" s="187" t="s">
        <v>489</v>
      </c>
      <c r="X6" s="180" t="s">
        <v>497</v>
      </c>
      <c r="Y6" s="178" t="s">
        <v>498</v>
      </c>
      <c r="Z6" s="180" t="s">
        <v>499</v>
      </c>
      <c r="AA6" s="178" t="s">
        <v>500</v>
      </c>
      <c r="AB6" s="178" t="s">
        <v>180</v>
      </c>
      <c r="AC6" s="178" t="s">
        <v>384</v>
      </c>
      <c r="AD6" s="178" t="s">
        <v>501</v>
      </c>
      <c r="AE6" s="178" t="s">
        <v>502</v>
      </c>
      <c r="AF6" s="188" t="s">
        <v>183</v>
      </c>
      <c r="AG6" s="189">
        <v>1.0</v>
      </c>
      <c r="AH6" s="229" t="s">
        <v>510</v>
      </c>
      <c r="AI6" s="231" t="s">
        <v>511</v>
      </c>
      <c r="AJ6" s="189">
        <v>1.0</v>
      </c>
      <c r="AK6" s="133" t="s">
        <v>512</v>
      </c>
      <c r="AL6" s="134">
        <f t="shared" si="1"/>
        <v>44582</v>
      </c>
      <c r="AM6" s="135">
        <f t="shared" si="2"/>
        <v>-132</v>
      </c>
      <c r="AN6" s="136" t="str">
        <f t="shared" si="3"/>
        <v>Reporte ok</v>
      </c>
      <c r="AO6" s="137"/>
      <c r="AP6" s="138"/>
    </row>
    <row r="7" ht="67.5" customHeight="1">
      <c r="A7" s="118"/>
      <c r="B7" s="177">
        <v>60.0</v>
      </c>
      <c r="C7" s="178" t="s">
        <v>488</v>
      </c>
      <c r="D7" s="178" t="s">
        <v>489</v>
      </c>
      <c r="E7" s="178" t="s">
        <v>490</v>
      </c>
      <c r="F7" s="179">
        <v>2.019011000277E12</v>
      </c>
      <c r="G7" s="180" t="s">
        <v>491</v>
      </c>
      <c r="H7" s="178" t="s">
        <v>513</v>
      </c>
      <c r="I7" s="178" t="s">
        <v>514</v>
      </c>
      <c r="J7" s="178" t="s">
        <v>515</v>
      </c>
      <c r="K7" s="181" t="s">
        <v>124</v>
      </c>
      <c r="L7" s="181" t="s">
        <v>125</v>
      </c>
      <c r="M7" s="181" t="s">
        <v>126</v>
      </c>
      <c r="N7" s="182" t="s">
        <v>516</v>
      </c>
      <c r="O7" s="183">
        <v>4.0</v>
      </c>
      <c r="P7" s="190">
        <v>4.0</v>
      </c>
      <c r="Q7" s="185" t="s">
        <v>517</v>
      </c>
      <c r="R7" s="186" t="s">
        <v>128</v>
      </c>
      <c r="S7" s="190">
        <v>0.0</v>
      </c>
      <c r="T7" s="190">
        <v>0.0</v>
      </c>
      <c r="U7" s="190">
        <v>0.0</v>
      </c>
      <c r="V7" s="190">
        <v>4.0</v>
      </c>
      <c r="W7" s="187" t="s">
        <v>489</v>
      </c>
      <c r="X7" s="180" t="s">
        <v>497</v>
      </c>
      <c r="Y7" s="178" t="s">
        <v>498</v>
      </c>
      <c r="Z7" s="180" t="s">
        <v>499</v>
      </c>
      <c r="AA7" s="178" t="s">
        <v>500</v>
      </c>
      <c r="AB7" s="178" t="s">
        <v>180</v>
      </c>
      <c r="AC7" s="178" t="s">
        <v>384</v>
      </c>
      <c r="AD7" s="178" t="s">
        <v>501</v>
      </c>
      <c r="AE7" s="178" t="s">
        <v>502</v>
      </c>
      <c r="AF7" s="188" t="s">
        <v>183</v>
      </c>
      <c r="AG7" s="191">
        <v>4.0</v>
      </c>
      <c r="AH7" s="232" t="s">
        <v>518</v>
      </c>
      <c r="AI7" s="233" t="s">
        <v>519</v>
      </c>
      <c r="AJ7" s="191">
        <v>4.0</v>
      </c>
      <c r="AK7" s="133" t="s">
        <v>505</v>
      </c>
      <c r="AL7" s="134">
        <f t="shared" si="1"/>
        <v>44582</v>
      </c>
      <c r="AM7" s="135">
        <f t="shared" si="2"/>
        <v>-132</v>
      </c>
      <c r="AN7" s="136" t="str">
        <f t="shared" si="3"/>
        <v>Reporte ok</v>
      </c>
      <c r="AO7" s="137"/>
      <c r="AP7" s="138"/>
    </row>
    <row r="8" ht="67.5" customHeight="1">
      <c r="A8" s="118"/>
      <c r="B8" s="177">
        <v>61.0</v>
      </c>
      <c r="C8" s="178" t="s">
        <v>488</v>
      </c>
      <c r="D8" s="178" t="s">
        <v>489</v>
      </c>
      <c r="E8" s="178" t="s">
        <v>490</v>
      </c>
      <c r="F8" s="179">
        <v>2.019011000277E12</v>
      </c>
      <c r="G8" s="180" t="s">
        <v>491</v>
      </c>
      <c r="H8" s="178" t="s">
        <v>513</v>
      </c>
      <c r="I8" s="178" t="s">
        <v>514</v>
      </c>
      <c r="J8" s="178" t="s">
        <v>520</v>
      </c>
      <c r="K8" s="181" t="s">
        <v>124</v>
      </c>
      <c r="L8" s="181" t="s">
        <v>125</v>
      </c>
      <c r="M8" s="181" t="s">
        <v>126</v>
      </c>
      <c r="N8" s="182" t="s">
        <v>516</v>
      </c>
      <c r="O8" s="183">
        <v>4.0</v>
      </c>
      <c r="P8" s="190">
        <v>4.0</v>
      </c>
      <c r="Q8" s="185" t="s">
        <v>517</v>
      </c>
      <c r="R8" s="186" t="s">
        <v>128</v>
      </c>
      <c r="S8" s="190">
        <v>0.0</v>
      </c>
      <c r="T8" s="190">
        <v>0.0</v>
      </c>
      <c r="U8" s="190">
        <v>0.0</v>
      </c>
      <c r="V8" s="190">
        <v>4.0</v>
      </c>
      <c r="W8" s="187" t="s">
        <v>489</v>
      </c>
      <c r="X8" s="180" t="s">
        <v>497</v>
      </c>
      <c r="Y8" s="178" t="s">
        <v>498</v>
      </c>
      <c r="Z8" s="180" t="s">
        <v>499</v>
      </c>
      <c r="AA8" s="178" t="s">
        <v>500</v>
      </c>
      <c r="AB8" s="178" t="s">
        <v>180</v>
      </c>
      <c r="AC8" s="178" t="s">
        <v>384</v>
      </c>
      <c r="AD8" s="178" t="s">
        <v>501</v>
      </c>
      <c r="AE8" s="178" t="s">
        <v>502</v>
      </c>
      <c r="AF8" s="188" t="s">
        <v>183</v>
      </c>
      <c r="AG8" s="191">
        <v>4.0</v>
      </c>
      <c r="AH8" s="232" t="s">
        <v>518</v>
      </c>
      <c r="AI8" s="234" t="s">
        <v>521</v>
      </c>
      <c r="AJ8" s="191">
        <v>4.0</v>
      </c>
      <c r="AK8" s="133" t="s">
        <v>505</v>
      </c>
      <c r="AL8" s="134">
        <f t="shared" si="1"/>
        <v>44582</v>
      </c>
      <c r="AM8" s="135">
        <f t="shared" si="2"/>
        <v>-132</v>
      </c>
      <c r="AN8" s="136" t="str">
        <f t="shared" si="3"/>
        <v>Reporte ok</v>
      </c>
      <c r="AO8" s="137"/>
      <c r="AP8" s="138"/>
    </row>
    <row r="9" ht="67.5" customHeight="1">
      <c r="A9" s="118"/>
      <c r="B9" s="177">
        <v>62.0</v>
      </c>
      <c r="C9" s="178" t="s">
        <v>488</v>
      </c>
      <c r="D9" s="178" t="s">
        <v>489</v>
      </c>
      <c r="E9" s="178" t="s">
        <v>490</v>
      </c>
      <c r="F9" s="179">
        <v>2.019011000277E12</v>
      </c>
      <c r="G9" s="180" t="s">
        <v>491</v>
      </c>
      <c r="H9" s="178" t="s">
        <v>513</v>
      </c>
      <c r="I9" s="178" t="s">
        <v>514</v>
      </c>
      <c r="J9" s="178" t="s">
        <v>515</v>
      </c>
      <c r="K9" s="181" t="s">
        <v>147</v>
      </c>
      <c r="L9" s="181" t="s">
        <v>125</v>
      </c>
      <c r="M9" s="181" t="s">
        <v>148</v>
      </c>
      <c r="N9" s="182" t="s">
        <v>508</v>
      </c>
      <c r="O9" s="183">
        <v>1.0</v>
      </c>
      <c r="P9" s="184">
        <v>1.0</v>
      </c>
      <c r="Q9" s="185" t="s">
        <v>522</v>
      </c>
      <c r="R9" s="186" t="s">
        <v>170</v>
      </c>
      <c r="S9" s="184">
        <v>1.0</v>
      </c>
      <c r="T9" s="184">
        <v>1.0</v>
      </c>
      <c r="U9" s="184">
        <v>1.0</v>
      </c>
      <c r="V9" s="184">
        <v>1.0</v>
      </c>
      <c r="W9" s="187" t="s">
        <v>489</v>
      </c>
      <c r="X9" s="180" t="s">
        <v>497</v>
      </c>
      <c r="Y9" s="178" t="s">
        <v>498</v>
      </c>
      <c r="Z9" s="180" t="s">
        <v>499</v>
      </c>
      <c r="AA9" s="178" t="s">
        <v>500</v>
      </c>
      <c r="AB9" s="178" t="s">
        <v>180</v>
      </c>
      <c r="AC9" s="178" t="s">
        <v>384</v>
      </c>
      <c r="AD9" s="178" t="s">
        <v>501</v>
      </c>
      <c r="AE9" s="178" t="s">
        <v>502</v>
      </c>
      <c r="AF9" s="188" t="s">
        <v>183</v>
      </c>
      <c r="AG9" s="189">
        <v>1.0</v>
      </c>
      <c r="AH9" s="235" t="s">
        <v>510</v>
      </c>
      <c r="AI9" s="234" t="s">
        <v>523</v>
      </c>
      <c r="AJ9" s="236">
        <v>1.0</v>
      </c>
      <c r="AK9" s="237" t="s">
        <v>512</v>
      </c>
      <c r="AL9" s="134">
        <f t="shared" si="1"/>
        <v>44582</v>
      </c>
      <c r="AM9" s="135">
        <f t="shared" si="2"/>
        <v>-132</v>
      </c>
      <c r="AN9" s="136" t="str">
        <f t="shared" si="3"/>
        <v>Reporte ok</v>
      </c>
      <c r="AO9" s="137"/>
      <c r="AP9" s="138"/>
    </row>
    <row r="10" ht="67.5" customHeight="1">
      <c r="A10" s="118"/>
      <c r="B10" s="177">
        <v>63.0</v>
      </c>
      <c r="C10" s="178" t="s">
        <v>488</v>
      </c>
      <c r="D10" s="178" t="s">
        <v>489</v>
      </c>
      <c r="E10" s="178" t="s">
        <v>490</v>
      </c>
      <c r="F10" s="179">
        <v>2.019011000277E12</v>
      </c>
      <c r="G10" s="180" t="s">
        <v>491</v>
      </c>
      <c r="H10" s="178" t="s">
        <v>513</v>
      </c>
      <c r="I10" s="178" t="s">
        <v>524</v>
      </c>
      <c r="J10" s="178" t="s">
        <v>525</v>
      </c>
      <c r="K10" s="181" t="s">
        <v>124</v>
      </c>
      <c r="L10" s="181" t="s">
        <v>125</v>
      </c>
      <c r="M10" s="181" t="s">
        <v>126</v>
      </c>
      <c r="N10" s="182" t="s">
        <v>526</v>
      </c>
      <c r="O10" s="183">
        <v>1.0</v>
      </c>
      <c r="P10" s="190">
        <v>1.0</v>
      </c>
      <c r="Q10" s="185" t="s">
        <v>527</v>
      </c>
      <c r="R10" s="186" t="s">
        <v>128</v>
      </c>
      <c r="S10" s="190">
        <v>0.0</v>
      </c>
      <c r="T10" s="190">
        <v>0.0</v>
      </c>
      <c r="U10" s="190">
        <v>0.0</v>
      </c>
      <c r="V10" s="190">
        <v>1.0</v>
      </c>
      <c r="W10" s="187" t="s">
        <v>489</v>
      </c>
      <c r="X10" s="180" t="s">
        <v>497</v>
      </c>
      <c r="Y10" s="178" t="s">
        <v>498</v>
      </c>
      <c r="Z10" s="180" t="s">
        <v>499</v>
      </c>
      <c r="AA10" s="178" t="s">
        <v>500</v>
      </c>
      <c r="AB10" s="178" t="s">
        <v>180</v>
      </c>
      <c r="AC10" s="178" t="s">
        <v>384</v>
      </c>
      <c r="AD10" s="178" t="s">
        <v>501</v>
      </c>
      <c r="AE10" s="178" t="s">
        <v>502</v>
      </c>
      <c r="AF10" s="188" t="s">
        <v>183</v>
      </c>
      <c r="AG10" s="191">
        <v>1.0</v>
      </c>
      <c r="AH10" s="232" t="s">
        <v>528</v>
      </c>
      <c r="AI10" s="234" t="s">
        <v>529</v>
      </c>
      <c r="AJ10" s="191">
        <v>1.0</v>
      </c>
      <c r="AK10" s="133" t="s">
        <v>505</v>
      </c>
      <c r="AL10" s="134">
        <f t="shared" si="1"/>
        <v>44582</v>
      </c>
      <c r="AM10" s="135">
        <f t="shared" si="2"/>
        <v>-132</v>
      </c>
      <c r="AN10" s="136" t="str">
        <f t="shared" si="3"/>
        <v>Reporte ok</v>
      </c>
      <c r="AO10" s="137"/>
      <c r="AP10" s="138"/>
    </row>
    <row r="11" ht="67.5" customHeight="1">
      <c r="A11" s="118"/>
      <c r="B11" s="177">
        <v>64.0</v>
      </c>
      <c r="C11" s="178" t="s">
        <v>488</v>
      </c>
      <c r="D11" s="178" t="s">
        <v>489</v>
      </c>
      <c r="E11" s="178" t="s">
        <v>490</v>
      </c>
      <c r="F11" s="179">
        <v>2.019011000277E12</v>
      </c>
      <c r="G11" s="180" t="s">
        <v>491</v>
      </c>
      <c r="H11" s="178" t="s">
        <v>530</v>
      </c>
      <c r="I11" s="178" t="s">
        <v>531</v>
      </c>
      <c r="J11" s="178" t="s">
        <v>532</v>
      </c>
      <c r="K11" s="181" t="s">
        <v>124</v>
      </c>
      <c r="L11" s="181" t="s">
        <v>125</v>
      </c>
      <c r="M11" s="181" t="s">
        <v>126</v>
      </c>
      <c r="N11" s="182" t="s">
        <v>415</v>
      </c>
      <c r="O11" s="183">
        <v>2.0</v>
      </c>
      <c r="P11" s="190">
        <v>2.0</v>
      </c>
      <c r="Q11" s="185" t="s">
        <v>533</v>
      </c>
      <c r="R11" s="186" t="s">
        <v>128</v>
      </c>
      <c r="S11" s="190">
        <v>0.0</v>
      </c>
      <c r="T11" s="190">
        <v>0.0</v>
      </c>
      <c r="U11" s="190">
        <v>0.0</v>
      </c>
      <c r="V11" s="190">
        <v>2.0</v>
      </c>
      <c r="W11" s="187" t="s">
        <v>489</v>
      </c>
      <c r="X11" s="180" t="s">
        <v>497</v>
      </c>
      <c r="Y11" s="178" t="s">
        <v>498</v>
      </c>
      <c r="Z11" s="180" t="s">
        <v>499</v>
      </c>
      <c r="AA11" s="178" t="s">
        <v>500</v>
      </c>
      <c r="AB11" s="178" t="s">
        <v>180</v>
      </c>
      <c r="AC11" s="178" t="s">
        <v>384</v>
      </c>
      <c r="AD11" s="178" t="s">
        <v>501</v>
      </c>
      <c r="AE11" s="178" t="s">
        <v>502</v>
      </c>
      <c r="AF11" s="188" t="s">
        <v>183</v>
      </c>
      <c r="AG11" s="191">
        <v>2.0</v>
      </c>
      <c r="AH11" s="232" t="s">
        <v>534</v>
      </c>
      <c r="AI11" s="234" t="s">
        <v>535</v>
      </c>
      <c r="AJ11" s="191">
        <v>2.0</v>
      </c>
      <c r="AK11" s="133" t="s">
        <v>505</v>
      </c>
      <c r="AL11" s="134">
        <f t="shared" si="1"/>
        <v>44582</v>
      </c>
      <c r="AM11" s="135">
        <f t="shared" si="2"/>
        <v>-132</v>
      </c>
      <c r="AN11" s="136" t="str">
        <f t="shared" si="3"/>
        <v>Reporte ok</v>
      </c>
      <c r="AO11" s="137"/>
      <c r="AP11" s="138"/>
    </row>
    <row r="12" ht="67.5" customHeight="1">
      <c r="A12" s="118"/>
      <c r="B12" s="177">
        <v>65.0</v>
      </c>
      <c r="C12" s="178" t="s">
        <v>488</v>
      </c>
      <c r="D12" s="178" t="s">
        <v>489</v>
      </c>
      <c r="E12" s="178" t="s">
        <v>490</v>
      </c>
      <c r="F12" s="179">
        <v>2.019011000277E12</v>
      </c>
      <c r="G12" s="180" t="s">
        <v>491</v>
      </c>
      <c r="H12" s="178" t="s">
        <v>530</v>
      </c>
      <c r="I12" s="178" t="s">
        <v>531</v>
      </c>
      <c r="J12" s="178" t="s">
        <v>536</v>
      </c>
      <c r="K12" s="181" t="s">
        <v>124</v>
      </c>
      <c r="L12" s="181" t="s">
        <v>125</v>
      </c>
      <c r="M12" s="181" t="s">
        <v>126</v>
      </c>
      <c r="N12" s="182" t="s">
        <v>415</v>
      </c>
      <c r="O12" s="183">
        <v>2.0</v>
      </c>
      <c r="P12" s="190">
        <v>2.0</v>
      </c>
      <c r="Q12" s="185" t="s">
        <v>533</v>
      </c>
      <c r="R12" s="186" t="s">
        <v>128</v>
      </c>
      <c r="S12" s="190">
        <v>0.0</v>
      </c>
      <c r="T12" s="190">
        <v>0.0</v>
      </c>
      <c r="U12" s="190">
        <v>0.0</v>
      </c>
      <c r="V12" s="190">
        <v>2.0</v>
      </c>
      <c r="W12" s="187" t="s">
        <v>489</v>
      </c>
      <c r="X12" s="180" t="s">
        <v>497</v>
      </c>
      <c r="Y12" s="178" t="s">
        <v>498</v>
      </c>
      <c r="Z12" s="180" t="s">
        <v>499</v>
      </c>
      <c r="AA12" s="178" t="s">
        <v>500</v>
      </c>
      <c r="AB12" s="178" t="s">
        <v>180</v>
      </c>
      <c r="AC12" s="178" t="s">
        <v>384</v>
      </c>
      <c r="AD12" s="178" t="s">
        <v>501</v>
      </c>
      <c r="AE12" s="178" t="s">
        <v>502</v>
      </c>
      <c r="AF12" s="188" t="s">
        <v>183</v>
      </c>
      <c r="AG12" s="191">
        <v>2.0</v>
      </c>
      <c r="AH12" s="232" t="s">
        <v>534</v>
      </c>
      <c r="AI12" s="238" t="s">
        <v>537</v>
      </c>
      <c r="AJ12" s="191">
        <v>2.0</v>
      </c>
      <c r="AK12" s="133" t="s">
        <v>505</v>
      </c>
      <c r="AL12" s="134">
        <f t="shared" si="1"/>
        <v>44582</v>
      </c>
      <c r="AM12" s="135">
        <f t="shared" si="2"/>
        <v>-132</v>
      </c>
      <c r="AN12" s="136" t="str">
        <f t="shared" si="3"/>
        <v>Reporte ok</v>
      </c>
      <c r="AO12" s="137"/>
      <c r="AP12" s="138"/>
    </row>
    <row r="13" ht="67.5" customHeight="1">
      <c r="A13" s="118"/>
      <c r="B13" s="177">
        <v>66.0</v>
      </c>
      <c r="C13" s="178" t="s">
        <v>488</v>
      </c>
      <c r="D13" s="178" t="s">
        <v>489</v>
      </c>
      <c r="E13" s="178" t="s">
        <v>490</v>
      </c>
      <c r="F13" s="179">
        <v>2.019011000277E12</v>
      </c>
      <c r="G13" s="180" t="s">
        <v>491</v>
      </c>
      <c r="H13" s="178" t="s">
        <v>530</v>
      </c>
      <c r="I13" s="178" t="s">
        <v>531</v>
      </c>
      <c r="J13" s="178" t="s">
        <v>538</v>
      </c>
      <c r="K13" s="181" t="s">
        <v>124</v>
      </c>
      <c r="L13" s="181" t="s">
        <v>125</v>
      </c>
      <c r="M13" s="181" t="s">
        <v>126</v>
      </c>
      <c r="N13" s="182" t="s">
        <v>415</v>
      </c>
      <c r="O13" s="183">
        <v>2.0</v>
      </c>
      <c r="P13" s="190">
        <v>2.0</v>
      </c>
      <c r="Q13" s="185" t="s">
        <v>533</v>
      </c>
      <c r="R13" s="186" t="s">
        <v>128</v>
      </c>
      <c r="S13" s="190">
        <v>0.0</v>
      </c>
      <c r="T13" s="190">
        <v>0.0</v>
      </c>
      <c r="U13" s="190">
        <v>0.0</v>
      </c>
      <c r="V13" s="190">
        <v>2.0</v>
      </c>
      <c r="W13" s="187" t="s">
        <v>489</v>
      </c>
      <c r="X13" s="180" t="s">
        <v>497</v>
      </c>
      <c r="Y13" s="178" t="s">
        <v>498</v>
      </c>
      <c r="Z13" s="180" t="s">
        <v>499</v>
      </c>
      <c r="AA13" s="178" t="s">
        <v>500</v>
      </c>
      <c r="AB13" s="178" t="s">
        <v>180</v>
      </c>
      <c r="AC13" s="178" t="s">
        <v>384</v>
      </c>
      <c r="AD13" s="178" t="s">
        <v>501</v>
      </c>
      <c r="AE13" s="178" t="s">
        <v>502</v>
      </c>
      <c r="AF13" s="188" t="s">
        <v>183</v>
      </c>
      <c r="AG13" s="191">
        <v>2.0</v>
      </c>
      <c r="AH13" s="232" t="s">
        <v>534</v>
      </c>
      <c r="AI13" s="238" t="s">
        <v>539</v>
      </c>
      <c r="AJ13" s="191">
        <v>2.0</v>
      </c>
      <c r="AK13" s="133" t="s">
        <v>505</v>
      </c>
      <c r="AL13" s="134">
        <f t="shared" si="1"/>
        <v>44582</v>
      </c>
      <c r="AM13" s="135">
        <f t="shared" si="2"/>
        <v>-132</v>
      </c>
      <c r="AN13" s="136" t="str">
        <f t="shared" si="3"/>
        <v>Reporte ok</v>
      </c>
      <c r="AO13" s="137"/>
      <c r="AP13" s="138"/>
    </row>
    <row r="14" ht="67.5" customHeight="1">
      <c r="A14" s="118"/>
      <c r="B14" s="177">
        <v>67.0</v>
      </c>
      <c r="C14" s="178" t="s">
        <v>488</v>
      </c>
      <c r="D14" s="178" t="s">
        <v>489</v>
      </c>
      <c r="E14" s="178" t="s">
        <v>490</v>
      </c>
      <c r="F14" s="179">
        <v>2.019011000277E12</v>
      </c>
      <c r="G14" s="180" t="s">
        <v>491</v>
      </c>
      <c r="H14" s="178" t="s">
        <v>492</v>
      </c>
      <c r="I14" s="178" t="s">
        <v>493</v>
      </c>
      <c r="J14" s="178" t="s">
        <v>506</v>
      </c>
      <c r="K14" s="181" t="s">
        <v>147</v>
      </c>
      <c r="L14" s="181" t="s">
        <v>125</v>
      </c>
      <c r="M14" s="181" t="s">
        <v>126</v>
      </c>
      <c r="N14" s="182" t="s">
        <v>540</v>
      </c>
      <c r="O14" s="183">
        <v>4.0</v>
      </c>
      <c r="P14" s="190">
        <v>4.0</v>
      </c>
      <c r="Q14" s="185" t="s">
        <v>541</v>
      </c>
      <c r="R14" s="186" t="s">
        <v>170</v>
      </c>
      <c r="S14" s="190">
        <v>0.0</v>
      </c>
      <c r="T14" s="190">
        <v>1.0</v>
      </c>
      <c r="U14" s="190">
        <v>2.0</v>
      </c>
      <c r="V14" s="190">
        <v>1.0</v>
      </c>
      <c r="W14" s="187" t="s">
        <v>489</v>
      </c>
      <c r="X14" s="180" t="s">
        <v>497</v>
      </c>
      <c r="Y14" s="178" t="s">
        <v>498</v>
      </c>
      <c r="Z14" s="180" t="s">
        <v>499</v>
      </c>
      <c r="AA14" s="178" t="s">
        <v>500</v>
      </c>
      <c r="AB14" s="178" t="s">
        <v>180</v>
      </c>
      <c r="AC14" s="178" t="s">
        <v>384</v>
      </c>
      <c r="AD14" s="178" t="s">
        <v>501</v>
      </c>
      <c r="AE14" s="178" t="s">
        <v>502</v>
      </c>
      <c r="AF14" s="188" t="s">
        <v>183</v>
      </c>
      <c r="AG14" s="191">
        <v>1.0</v>
      </c>
      <c r="AH14" s="232" t="s">
        <v>542</v>
      </c>
      <c r="AI14" s="238" t="s">
        <v>543</v>
      </c>
      <c r="AJ14" s="191">
        <v>4.0</v>
      </c>
      <c r="AK14" s="133" t="s">
        <v>544</v>
      </c>
      <c r="AL14" s="134">
        <f t="shared" si="1"/>
        <v>44582</v>
      </c>
      <c r="AM14" s="135">
        <f t="shared" si="2"/>
        <v>-132</v>
      </c>
      <c r="AN14" s="136" t="str">
        <f t="shared" si="3"/>
        <v>Reporte ok</v>
      </c>
      <c r="AO14" s="137"/>
      <c r="AP14" s="138"/>
    </row>
    <row r="15" ht="67.5" customHeight="1">
      <c r="A15" s="118"/>
      <c r="B15" s="177">
        <v>68.0</v>
      </c>
      <c r="C15" s="178" t="s">
        <v>488</v>
      </c>
      <c r="D15" s="178" t="s">
        <v>489</v>
      </c>
      <c r="E15" s="178" t="s">
        <v>490</v>
      </c>
      <c r="F15" s="179">
        <v>2.019011000277E12</v>
      </c>
      <c r="G15" s="180" t="s">
        <v>491</v>
      </c>
      <c r="H15" s="178" t="s">
        <v>513</v>
      </c>
      <c r="I15" s="178" t="s">
        <v>514</v>
      </c>
      <c r="J15" s="178" t="s">
        <v>515</v>
      </c>
      <c r="K15" s="181" t="s">
        <v>147</v>
      </c>
      <c r="L15" s="181" t="s">
        <v>125</v>
      </c>
      <c r="M15" s="181" t="s">
        <v>126</v>
      </c>
      <c r="N15" s="182" t="s">
        <v>540</v>
      </c>
      <c r="O15" s="183">
        <v>4.0</v>
      </c>
      <c r="P15" s="190">
        <v>4.0</v>
      </c>
      <c r="Q15" s="185" t="s">
        <v>545</v>
      </c>
      <c r="R15" s="186" t="s">
        <v>170</v>
      </c>
      <c r="S15" s="190">
        <v>0.0</v>
      </c>
      <c r="T15" s="190">
        <v>1.0</v>
      </c>
      <c r="U15" s="190">
        <v>2.0</v>
      </c>
      <c r="V15" s="190">
        <v>1.0</v>
      </c>
      <c r="W15" s="187" t="s">
        <v>489</v>
      </c>
      <c r="X15" s="180" t="s">
        <v>497</v>
      </c>
      <c r="Y15" s="178" t="s">
        <v>498</v>
      </c>
      <c r="Z15" s="180" t="s">
        <v>499</v>
      </c>
      <c r="AA15" s="178" t="s">
        <v>500</v>
      </c>
      <c r="AB15" s="178" t="s">
        <v>180</v>
      </c>
      <c r="AC15" s="178" t="s">
        <v>384</v>
      </c>
      <c r="AD15" s="178" t="s">
        <v>501</v>
      </c>
      <c r="AE15" s="178" t="s">
        <v>502</v>
      </c>
      <c r="AF15" s="188" t="s">
        <v>183</v>
      </c>
      <c r="AG15" s="191">
        <v>1.0</v>
      </c>
      <c r="AH15" s="232" t="s">
        <v>546</v>
      </c>
      <c r="AI15" s="238" t="s">
        <v>547</v>
      </c>
      <c r="AJ15" s="191">
        <v>4.0</v>
      </c>
      <c r="AK15" s="133" t="s">
        <v>544</v>
      </c>
      <c r="AL15" s="134">
        <f t="shared" si="1"/>
        <v>44582</v>
      </c>
      <c r="AM15" s="135">
        <f t="shared" si="2"/>
        <v>-132</v>
      </c>
      <c r="AN15" s="136" t="str">
        <f t="shared" si="3"/>
        <v>Reporte ok</v>
      </c>
      <c r="AO15" s="137"/>
      <c r="AP15" s="138"/>
    </row>
    <row r="16" ht="67.5" customHeight="1">
      <c r="A16" s="118"/>
      <c r="B16" s="177"/>
      <c r="C16" s="178"/>
      <c r="D16" s="178"/>
      <c r="E16" s="178"/>
      <c r="F16" s="179"/>
      <c r="G16" s="180"/>
      <c r="H16" s="178"/>
      <c r="I16" s="178"/>
      <c r="J16" s="178"/>
      <c r="K16" s="181"/>
      <c r="L16" s="181"/>
      <c r="M16" s="181"/>
      <c r="N16" s="182"/>
      <c r="O16" s="183"/>
      <c r="P16" s="190"/>
      <c r="Q16" s="185"/>
      <c r="R16" s="186"/>
      <c r="S16" s="190"/>
      <c r="T16" s="190"/>
      <c r="U16" s="190"/>
      <c r="V16" s="190"/>
      <c r="W16" s="187"/>
      <c r="X16" s="180"/>
      <c r="Y16" s="178"/>
      <c r="Z16" s="180"/>
      <c r="AA16" s="178"/>
      <c r="AB16" s="178"/>
      <c r="AC16" s="178"/>
      <c r="AD16" s="178"/>
      <c r="AE16" s="178"/>
      <c r="AF16" s="188"/>
      <c r="AG16" s="146"/>
      <c r="AH16" s="147"/>
      <c r="AI16" s="148"/>
      <c r="AJ16" s="149"/>
      <c r="AK16" s="133"/>
      <c r="AL16" s="134"/>
      <c r="AM16" s="135"/>
      <c r="AN16" s="136"/>
      <c r="AO16" s="137"/>
      <c r="AP16" s="138"/>
    </row>
    <row r="17" ht="67.5" customHeight="1">
      <c r="A17" s="118"/>
      <c r="B17" s="192"/>
      <c r="C17" s="193"/>
      <c r="D17" s="193"/>
      <c r="E17" s="193"/>
      <c r="F17" s="194"/>
      <c r="G17" s="195"/>
      <c r="H17" s="193"/>
      <c r="I17" s="193"/>
      <c r="J17" s="193"/>
      <c r="K17" s="196"/>
      <c r="L17" s="196"/>
      <c r="M17" s="196"/>
      <c r="N17" s="197"/>
      <c r="O17" s="198"/>
      <c r="P17" s="199"/>
      <c r="Q17" s="200"/>
      <c r="R17" s="201"/>
      <c r="S17" s="199"/>
      <c r="T17" s="199"/>
      <c r="U17" s="199"/>
      <c r="V17" s="199"/>
      <c r="W17" s="202"/>
      <c r="X17" s="195"/>
      <c r="Y17" s="193"/>
      <c r="Z17" s="195"/>
      <c r="AA17" s="193"/>
      <c r="AB17" s="193"/>
      <c r="AC17" s="193"/>
      <c r="AD17" s="193"/>
      <c r="AE17" s="193"/>
      <c r="AF17" s="203"/>
      <c r="AG17" s="161"/>
      <c r="AH17" s="162"/>
      <c r="AI17" s="163"/>
      <c r="AJ17" s="164"/>
      <c r="AK17" s="165"/>
      <c r="AL17" s="166"/>
      <c r="AM17" s="167"/>
      <c r="AN17" s="168"/>
      <c r="AO17" s="169"/>
      <c r="AP17" s="138"/>
    </row>
    <row r="18" ht="15.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170"/>
      <c r="AH18" s="170"/>
      <c r="AI18" s="170"/>
      <c r="AJ18" s="88"/>
      <c r="AK18" s="88"/>
      <c r="AL18" s="88"/>
      <c r="AM18" s="88"/>
      <c r="AN18" s="88"/>
      <c r="AO18" s="88"/>
      <c r="AP18" s="88"/>
    </row>
  </sheetData>
  <autoFilter ref="$A$3:$AP$15"/>
  <mergeCells count="4">
    <mergeCell ref="B1:C1"/>
    <mergeCell ref="AG2:AI2"/>
    <mergeCell ref="AJ2:AK2"/>
    <mergeCell ref="AL2:AO2"/>
  </mergeCells>
  <conditionalFormatting sqref="AK4:AK17 AM4:AM17">
    <cfRule type="cellIs" dxfId="2" priority="1" operator="greaterThan">
      <formula>0</formula>
    </cfRule>
  </conditionalFormatting>
  <conditionalFormatting sqref="AK4:AK17 AM4:AM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AJ4:AJ17">
      <formula1>0.0</formula1>
      <formula2>5000000.0</formula2>
    </dataValidation>
  </dataValidations>
  <hyperlinks>
    <hyperlink display="Home" location="Home!A1" ref="B1"/>
    <hyperlink r:id="rId1" ref="AI4"/>
    <hyperlink r:id="rId2" ref="AI5"/>
    <hyperlink r:id="rId3" ref="AI6"/>
    <hyperlink r:id="rId4" ref="AI7"/>
    <hyperlink r:id="rId5" ref="AI8"/>
    <hyperlink r:id="rId6" ref="AI9"/>
    <hyperlink r:id="rId7" ref="AI10"/>
    <hyperlink r:id="rId8" ref="AI11"/>
    <hyperlink r:id="rId9" ref="AI12"/>
    <hyperlink r:id="rId10" ref="AI13"/>
    <hyperlink r:id="rId11" ref="AI14"/>
    <hyperlink r:id="rId12" ref="AI15"/>
  </hyperlinks>
  <printOptions gridLines="1" horizontalCentered="1"/>
  <pageMargins bottom="0.75" footer="0.0" header="0.0" left="0.7" right="0.7" top="0.75"/>
  <pageSetup cellComments="atEnd" orientation="portrait" pageOrder="overThenDown"/>
  <drawing r:id="rId13"/>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21" width="15.75"/>
    <col customWidth="1" min="22" max="22" width="15.75"/>
    <col customWidth="1" hidden="1" min="23" max="23" width="17.25"/>
    <col customWidth="1" hidden="1" min="24" max="24" width="26.5"/>
    <col customWidth="1" hidden="1" min="25" max="25" width="23.63"/>
    <col customWidth="1" hidden="1" min="26" max="26" width="27.88"/>
    <col customWidth="1" hidden="1" min="27" max="27" width="26.63"/>
    <col customWidth="1" hidden="1" min="28" max="28" width="18.75"/>
    <col customWidth="1" hidden="1" min="29" max="29" width="31.88"/>
    <col customWidth="1" hidden="1" min="30" max="30" width="22.63"/>
    <col customWidth="1" hidden="1" min="31" max="31" width="29.13"/>
    <col customWidth="1" hidden="1" min="32" max="32" width="27.13"/>
    <col customWidth="1" min="33" max="34" width="21.0"/>
    <col customWidth="1" min="35" max="35" width="22.88"/>
    <col customWidth="1" min="36" max="36" width="21.75"/>
    <col customWidth="1" min="37" max="37" width="20.25"/>
    <col customWidth="1" min="38" max="38" width="15.75"/>
    <col customWidth="1" min="39" max="39" width="15.63"/>
    <col customWidth="1" min="40" max="40" width="16.38"/>
    <col customWidth="1" min="41" max="41" width="18.25"/>
    <col customWidth="1" min="42" max="42" width="3.88"/>
  </cols>
  <sheetData>
    <row r="1" ht="33.75" customHeight="1">
      <c r="A1" s="85"/>
      <c r="B1" s="86" t="s">
        <v>108</v>
      </c>
      <c r="C1" s="87"/>
      <c r="D1" s="88"/>
      <c r="E1" s="89"/>
      <c r="F1" s="90"/>
      <c r="G1" s="90"/>
      <c r="H1" s="90"/>
      <c r="I1" s="90"/>
      <c r="J1" s="90"/>
      <c r="K1" s="90"/>
      <c r="L1" s="90"/>
      <c r="M1" s="90"/>
      <c r="N1" s="90"/>
      <c r="O1" s="90"/>
      <c r="P1" s="90"/>
      <c r="Q1" s="90"/>
      <c r="R1" s="90"/>
      <c r="S1" s="90"/>
      <c r="T1" s="90"/>
      <c r="U1" s="90"/>
      <c r="V1" s="90"/>
      <c r="W1" s="90"/>
      <c r="X1" s="90"/>
      <c r="Y1" s="90"/>
      <c r="Z1" s="90"/>
      <c r="AA1" s="90"/>
      <c r="AB1" s="90"/>
      <c r="AC1" s="90"/>
      <c r="AD1" s="90"/>
      <c r="AE1" s="90"/>
      <c r="AF1" s="88"/>
      <c r="AG1" s="91" t="s">
        <v>109</v>
      </c>
      <c r="AH1" s="239">
        <v>1.0</v>
      </c>
      <c r="AI1" s="93" t="s">
        <v>110</v>
      </c>
      <c r="AJ1" s="94"/>
      <c r="AK1" s="95"/>
      <c r="AL1" s="96">
        <v>43466.0</v>
      </c>
      <c r="AM1" s="97">
        <f>Alertas!B6</f>
        <v>44582</v>
      </c>
      <c r="AN1" s="96">
        <f>TODAY()-1</f>
        <v>44714</v>
      </c>
      <c r="AO1" s="93"/>
      <c r="AP1" s="93"/>
    </row>
    <row r="2" ht="33.75" customHeight="1">
      <c r="A2" s="85"/>
      <c r="B2" s="88"/>
      <c r="C2" s="98"/>
      <c r="D2" s="99"/>
      <c r="E2" s="88"/>
      <c r="F2" s="100"/>
      <c r="G2" s="88"/>
      <c r="H2" s="88"/>
      <c r="I2" s="88"/>
      <c r="J2" s="88"/>
      <c r="K2" s="88"/>
      <c r="L2" s="88"/>
      <c r="M2" s="88"/>
      <c r="N2" s="88"/>
      <c r="O2" s="88"/>
      <c r="P2" s="88"/>
      <c r="Q2" s="88"/>
      <c r="R2" s="88"/>
      <c r="S2" s="88"/>
      <c r="T2" s="88"/>
      <c r="U2" s="88"/>
      <c r="V2" s="88"/>
      <c r="W2" s="88"/>
      <c r="X2" s="88"/>
      <c r="Y2" s="88"/>
      <c r="Z2" s="88"/>
      <c r="AA2" s="88"/>
      <c r="AB2" s="88"/>
      <c r="AC2" s="88"/>
      <c r="AD2" s="88"/>
      <c r="AE2" s="88"/>
      <c r="AF2" s="17"/>
      <c r="AG2" s="101" t="s">
        <v>111</v>
      </c>
      <c r="AH2" s="102"/>
      <c r="AI2" s="103"/>
      <c r="AJ2" s="104" t="s">
        <v>112</v>
      </c>
      <c r="AK2" s="103"/>
      <c r="AL2" s="104" t="s">
        <v>113</v>
      </c>
      <c r="AM2" s="102"/>
      <c r="AN2" s="102"/>
      <c r="AO2" s="103"/>
      <c r="AP2" s="105"/>
    </row>
    <row r="3" ht="33.75" customHeight="1">
      <c r="A3" s="106"/>
      <c r="B3" s="171" t="s">
        <v>40</v>
      </c>
      <c r="C3" s="172" t="s">
        <v>41</v>
      </c>
      <c r="D3" s="173" t="s">
        <v>42</v>
      </c>
      <c r="E3" s="173" t="s">
        <v>43</v>
      </c>
      <c r="F3" s="174" t="s">
        <v>44</v>
      </c>
      <c r="G3" s="175" t="s">
        <v>45</v>
      </c>
      <c r="H3" s="173" t="s">
        <v>46</v>
      </c>
      <c r="I3" s="175" t="s">
        <v>47</v>
      </c>
      <c r="J3" s="175" t="s">
        <v>48</v>
      </c>
      <c r="K3" s="175" t="s">
        <v>49</v>
      </c>
      <c r="L3" s="175" t="s">
        <v>50</v>
      </c>
      <c r="M3" s="173" t="s">
        <v>51</v>
      </c>
      <c r="N3" s="173" t="s">
        <v>52</v>
      </c>
      <c r="O3" s="175" t="s">
        <v>53</v>
      </c>
      <c r="P3" s="175" t="s">
        <v>54</v>
      </c>
      <c r="Q3" s="173" t="s">
        <v>55</v>
      </c>
      <c r="R3" s="173" t="s">
        <v>56</v>
      </c>
      <c r="S3" s="175" t="s">
        <v>57</v>
      </c>
      <c r="T3" s="175" t="s">
        <v>58</v>
      </c>
      <c r="U3" s="175" t="s">
        <v>59</v>
      </c>
      <c r="V3" s="175" t="s">
        <v>60</v>
      </c>
      <c r="W3" s="173" t="s">
        <v>61</v>
      </c>
      <c r="X3" s="172" t="s">
        <v>62</v>
      </c>
      <c r="Y3" s="172" t="s">
        <v>63</v>
      </c>
      <c r="Z3" s="172" t="s">
        <v>64</v>
      </c>
      <c r="AA3" s="172" t="s">
        <v>65</v>
      </c>
      <c r="AB3" s="172" t="s">
        <v>66</v>
      </c>
      <c r="AC3" s="172" t="s">
        <v>67</v>
      </c>
      <c r="AD3" s="172" t="s">
        <v>68</v>
      </c>
      <c r="AE3" s="172" t="s">
        <v>69</v>
      </c>
      <c r="AF3" s="176" t="s">
        <v>70</v>
      </c>
      <c r="AG3" s="113" t="s">
        <v>71</v>
      </c>
      <c r="AH3" s="114" t="s">
        <v>72</v>
      </c>
      <c r="AI3" s="115" t="s">
        <v>73</v>
      </c>
      <c r="AJ3" s="116" t="s">
        <v>114</v>
      </c>
      <c r="AK3" s="117" t="s">
        <v>115</v>
      </c>
      <c r="AL3" s="113" t="s">
        <v>74</v>
      </c>
      <c r="AM3" s="114" t="s">
        <v>116</v>
      </c>
      <c r="AN3" s="114" t="s">
        <v>76</v>
      </c>
      <c r="AO3" s="117" t="s">
        <v>117</v>
      </c>
      <c r="AP3" s="105"/>
    </row>
    <row r="4" ht="67.5" customHeight="1">
      <c r="A4" s="118"/>
      <c r="B4" s="177">
        <v>69.0</v>
      </c>
      <c r="C4" s="178" t="s">
        <v>548</v>
      </c>
      <c r="D4" s="178" t="s">
        <v>14</v>
      </c>
      <c r="E4" s="178" t="s">
        <v>119</v>
      </c>
      <c r="F4" s="179">
        <v>2.018011000241E12</v>
      </c>
      <c r="G4" s="180" t="s">
        <v>120</v>
      </c>
      <c r="H4" s="178" t="s">
        <v>144</v>
      </c>
      <c r="I4" s="178" t="s">
        <v>145</v>
      </c>
      <c r="J4" s="178" t="s">
        <v>154</v>
      </c>
      <c r="K4" s="181" t="s">
        <v>147</v>
      </c>
      <c r="L4" s="181" t="s">
        <v>222</v>
      </c>
      <c r="M4" s="181" t="s">
        <v>126</v>
      </c>
      <c r="N4" s="182" t="s">
        <v>549</v>
      </c>
      <c r="O4" s="183"/>
      <c r="P4" s="190">
        <v>1.0</v>
      </c>
      <c r="Q4" s="185" t="s">
        <v>550</v>
      </c>
      <c r="R4" s="186" t="s">
        <v>128</v>
      </c>
      <c r="S4" s="190">
        <v>1.0</v>
      </c>
      <c r="T4" s="190">
        <v>0.0</v>
      </c>
      <c r="U4" s="190">
        <v>0.0</v>
      </c>
      <c r="V4" s="190">
        <v>0.0</v>
      </c>
      <c r="W4" s="187" t="s">
        <v>14</v>
      </c>
      <c r="X4" s="180" t="s">
        <v>551</v>
      </c>
      <c r="Y4" s="178" t="s">
        <v>552</v>
      </c>
      <c r="Z4" s="180" t="s">
        <v>553</v>
      </c>
      <c r="AA4" s="178" t="s">
        <v>228</v>
      </c>
      <c r="AB4" s="178" t="s">
        <v>180</v>
      </c>
      <c r="AC4" s="178" t="s">
        <v>303</v>
      </c>
      <c r="AD4" s="178" t="s">
        <v>136</v>
      </c>
      <c r="AE4" s="178" t="s">
        <v>205</v>
      </c>
      <c r="AF4" s="188" t="s">
        <v>138</v>
      </c>
      <c r="AG4" s="240">
        <v>0.0</v>
      </c>
      <c r="AH4" s="221" t="s">
        <v>554</v>
      </c>
      <c r="AI4" s="241" t="s">
        <v>555</v>
      </c>
      <c r="AJ4" s="191">
        <v>1.0</v>
      </c>
      <c r="AK4" s="133" t="s">
        <v>556</v>
      </c>
      <c r="AL4" s="134">
        <f t="shared" ref="AL4:AL6" si="1">$AM$1</f>
        <v>44582</v>
      </c>
      <c r="AM4" s="135">
        <f t="shared" ref="AM4:AM6" si="2">AL4-$AN$1</f>
        <v>-132</v>
      </c>
      <c r="AN4" s="136" t="str">
        <f t="shared" ref="AN4:AN6" si="3">IF(ISBLANK(AG4),"Pend. Ejec. Trim."&amp;CHAR(10),)&amp;
IF(ISBLANK(AH4),"Pend. Just. Trim."&amp;CHAR(10),)&amp;
IF(ISBLANK(AI4),"Pend. Evid. Trim."&amp;CHAR(10),)&amp;
IF(ISBLANK(AJ4),"Pend. Ejec. Año"&amp;CHAR(10),)&amp;
IF(ISBLANK(AK4),"Pend. Evid. Año",)&amp;
IF(OR(ISBLANK(AG4),ISBLANK(AH4),ISBLANK(AI4),ISBLANK(AJ4),ISBLANK(AK4)),,"Reporte ok")</f>
        <v>Reporte ok</v>
      </c>
      <c r="AO4" s="137"/>
      <c r="AP4" s="138"/>
    </row>
    <row r="5" ht="67.5" customHeight="1">
      <c r="A5" s="118"/>
      <c r="B5" s="177">
        <v>70.0</v>
      </c>
      <c r="C5" s="178" t="s">
        <v>548</v>
      </c>
      <c r="D5" s="178" t="s">
        <v>14</v>
      </c>
      <c r="E5" s="178" t="s">
        <v>119</v>
      </c>
      <c r="F5" s="179">
        <v>2.018011000241E12</v>
      </c>
      <c r="G5" s="180" t="s">
        <v>120</v>
      </c>
      <c r="H5" s="178" t="s">
        <v>144</v>
      </c>
      <c r="I5" s="178" t="s">
        <v>145</v>
      </c>
      <c r="J5" s="178" t="s">
        <v>154</v>
      </c>
      <c r="K5" s="181" t="s">
        <v>147</v>
      </c>
      <c r="L5" s="181" t="s">
        <v>222</v>
      </c>
      <c r="M5" s="181" t="s">
        <v>126</v>
      </c>
      <c r="N5" s="182" t="s">
        <v>557</v>
      </c>
      <c r="O5" s="183"/>
      <c r="P5" s="190">
        <v>1.0</v>
      </c>
      <c r="Q5" s="185" t="s">
        <v>558</v>
      </c>
      <c r="R5" s="186" t="s">
        <v>128</v>
      </c>
      <c r="S5" s="190">
        <v>1.0</v>
      </c>
      <c r="T5" s="190">
        <v>0.0</v>
      </c>
      <c r="U5" s="190">
        <v>0.0</v>
      </c>
      <c r="V5" s="190">
        <v>0.0</v>
      </c>
      <c r="W5" s="187" t="s">
        <v>14</v>
      </c>
      <c r="X5" s="180" t="s">
        <v>551</v>
      </c>
      <c r="Y5" s="178" t="s">
        <v>552</v>
      </c>
      <c r="Z5" s="180" t="s">
        <v>553</v>
      </c>
      <c r="AA5" s="178" t="s">
        <v>228</v>
      </c>
      <c r="AB5" s="178" t="s">
        <v>160</v>
      </c>
      <c r="AC5" s="178" t="s">
        <v>303</v>
      </c>
      <c r="AD5" s="178" t="s">
        <v>136</v>
      </c>
      <c r="AE5" s="178" t="s">
        <v>205</v>
      </c>
      <c r="AF5" s="188" t="s">
        <v>138</v>
      </c>
      <c r="AG5" s="240">
        <v>0.0</v>
      </c>
      <c r="AH5" s="221" t="s">
        <v>554</v>
      </c>
      <c r="AI5" s="241" t="s">
        <v>555</v>
      </c>
      <c r="AJ5" s="191">
        <v>1.0</v>
      </c>
      <c r="AK5" s="133" t="s">
        <v>556</v>
      </c>
      <c r="AL5" s="134">
        <f t="shared" si="1"/>
        <v>44582</v>
      </c>
      <c r="AM5" s="135">
        <f t="shared" si="2"/>
        <v>-132</v>
      </c>
      <c r="AN5" s="136" t="str">
        <f t="shared" si="3"/>
        <v>Reporte ok</v>
      </c>
      <c r="AO5" s="137"/>
      <c r="AP5" s="138"/>
    </row>
    <row r="6" ht="67.5" customHeight="1">
      <c r="A6" s="118"/>
      <c r="B6" s="177">
        <v>71.0</v>
      </c>
      <c r="C6" s="178" t="s">
        <v>548</v>
      </c>
      <c r="D6" s="178" t="s">
        <v>14</v>
      </c>
      <c r="E6" s="178" t="s">
        <v>119</v>
      </c>
      <c r="F6" s="179">
        <v>2.018011000241E12</v>
      </c>
      <c r="G6" s="180" t="s">
        <v>120</v>
      </c>
      <c r="H6" s="178" t="s">
        <v>144</v>
      </c>
      <c r="I6" s="178" t="s">
        <v>145</v>
      </c>
      <c r="J6" s="178" t="s">
        <v>154</v>
      </c>
      <c r="K6" s="181" t="s">
        <v>147</v>
      </c>
      <c r="L6" s="181" t="s">
        <v>222</v>
      </c>
      <c r="M6" s="181" t="s">
        <v>126</v>
      </c>
      <c r="N6" s="182" t="s">
        <v>559</v>
      </c>
      <c r="O6" s="183"/>
      <c r="P6" s="190">
        <v>4.0</v>
      </c>
      <c r="Q6" s="185" t="s">
        <v>560</v>
      </c>
      <c r="R6" s="186" t="s">
        <v>170</v>
      </c>
      <c r="S6" s="242">
        <v>1.0</v>
      </c>
      <c r="T6" s="190">
        <v>1.0</v>
      </c>
      <c r="U6" s="190">
        <v>1.0</v>
      </c>
      <c r="V6" s="190">
        <v>1.0</v>
      </c>
      <c r="W6" s="187" t="s">
        <v>14</v>
      </c>
      <c r="X6" s="180" t="s">
        <v>551</v>
      </c>
      <c r="Y6" s="178" t="s">
        <v>552</v>
      </c>
      <c r="Z6" s="180" t="s">
        <v>553</v>
      </c>
      <c r="AA6" s="178" t="s">
        <v>228</v>
      </c>
      <c r="AB6" s="178" t="s">
        <v>180</v>
      </c>
      <c r="AC6" s="178" t="s">
        <v>303</v>
      </c>
      <c r="AD6" s="178" t="s">
        <v>561</v>
      </c>
      <c r="AE6" s="178" t="s">
        <v>562</v>
      </c>
      <c r="AF6" s="188" t="s">
        <v>138</v>
      </c>
      <c r="AG6" s="240">
        <v>1.0</v>
      </c>
      <c r="AH6" s="229" t="s">
        <v>563</v>
      </c>
      <c r="AI6" s="241" t="s">
        <v>564</v>
      </c>
      <c r="AJ6" s="191">
        <v>4.0</v>
      </c>
      <c r="AK6" s="133" t="s">
        <v>556</v>
      </c>
      <c r="AL6" s="134">
        <f t="shared" si="1"/>
        <v>44582</v>
      </c>
      <c r="AM6" s="135">
        <f t="shared" si="2"/>
        <v>-132</v>
      </c>
      <c r="AN6" s="136" t="str">
        <f t="shared" si="3"/>
        <v>Reporte ok</v>
      </c>
      <c r="AO6" s="137"/>
      <c r="AP6" s="138"/>
    </row>
    <row r="7" ht="67.5" customHeight="1">
      <c r="A7" s="118"/>
      <c r="B7" s="177">
        <v>72.0</v>
      </c>
      <c r="C7" s="178" t="s">
        <v>548</v>
      </c>
      <c r="D7" s="178" t="s">
        <v>14</v>
      </c>
      <c r="E7" s="178" t="s">
        <v>119</v>
      </c>
      <c r="F7" s="179">
        <v>2.018011000241E12</v>
      </c>
      <c r="G7" s="180" t="s">
        <v>120</v>
      </c>
      <c r="H7" s="178" t="s">
        <v>144</v>
      </c>
      <c r="I7" s="178" t="s">
        <v>145</v>
      </c>
      <c r="J7" s="178" t="s">
        <v>154</v>
      </c>
      <c r="K7" s="181" t="s">
        <v>147</v>
      </c>
      <c r="L7" s="181" t="s">
        <v>222</v>
      </c>
      <c r="M7" s="181" t="s">
        <v>148</v>
      </c>
      <c r="N7" s="182" t="s">
        <v>565</v>
      </c>
      <c r="O7" s="183"/>
      <c r="P7" s="184">
        <v>1.0</v>
      </c>
      <c r="Q7" s="185" t="s">
        <v>566</v>
      </c>
      <c r="R7" s="186" t="s">
        <v>128</v>
      </c>
      <c r="S7" s="190">
        <v>0.0</v>
      </c>
      <c r="T7" s="242">
        <v>0.0</v>
      </c>
      <c r="U7" s="242">
        <v>0.0</v>
      </c>
      <c r="V7" s="184">
        <v>1.0</v>
      </c>
      <c r="W7" s="187" t="s">
        <v>14</v>
      </c>
      <c r="X7" s="180" t="s">
        <v>551</v>
      </c>
      <c r="Y7" s="178" t="s">
        <v>552</v>
      </c>
      <c r="Z7" s="180" t="s">
        <v>553</v>
      </c>
      <c r="AA7" s="178" t="s">
        <v>228</v>
      </c>
      <c r="AB7" s="178" t="s">
        <v>180</v>
      </c>
      <c r="AC7" s="178" t="s">
        <v>303</v>
      </c>
      <c r="AD7" s="178" t="s">
        <v>136</v>
      </c>
      <c r="AE7" s="178" t="s">
        <v>205</v>
      </c>
      <c r="AF7" s="188" t="s">
        <v>138</v>
      </c>
      <c r="AG7" s="243">
        <v>0.92</v>
      </c>
      <c r="AH7" s="229" t="s">
        <v>567</v>
      </c>
      <c r="AI7" s="214" t="s">
        <v>568</v>
      </c>
      <c r="AJ7" s="189">
        <v>1.0</v>
      </c>
      <c r="AK7" s="133" t="s">
        <v>556</v>
      </c>
      <c r="AL7" s="134"/>
      <c r="AM7" s="135"/>
      <c r="AN7" s="136"/>
      <c r="AO7" s="137"/>
      <c r="AP7" s="138"/>
    </row>
    <row r="8" ht="67.5" customHeight="1">
      <c r="A8" s="118"/>
      <c r="B8" s="177">
        <v>73.0</v>
      </c>
      <c r="C8" s="178" t="s">
        <v>548</v>
      </c>
      <c r="D8" s="178" t="s">
        <v>14</v>
      </c>
      <c r="E8" s="178" t="s">
        <v>119</v>
      </c>
      <c r="F8" s="179">
        <v>2.018011000241E12</v>
      </c>
      <c r="G8" s="180" t="s">
        <v>120</v>
      </c>
      <c r="H8" s="178" t="s">
        <v>144</v>
      </c>
      <c r="I8" s="178" t="s">
        <v>145</v>
      </c>
      <c r="J8" s="178" t="s">
        <v>569</v>
      </c>
      <c r="K8" s="181" t="s">
        <v>147</v>
      </c>
      <c r="L8" s="181" t="s">
        <v>222</v>
      </c>
      <c r="M8" s="181" t="s">
        <v>126</v>
      </c>
      <c r="N8" s="182" t="s">
        <v>570</v>
      </c>
      <c r="O8" s="183"/>
      <c r="P8" s="190">
        <v>3.0</v>
      </c>
      <c r="Q8" s="185" t="s">
        <v>571</v>
      </c>
      <c r="R8" s="186" t="s">
        <v>170</v>
      </c>
      <c r="S8" s="190">
        <v>0.0</v>
      </c>
      <c r="T8" s="190">
        <v>0.0</v>
      </c>
      <c r="U8" s="190">
        <v>2.0</v>
      </c>
      <c r="V8" s="190">
        <v>1.0</v>
      </c>
      <c r="W8" s="187" t="s">
        <v>14</v>
      </c>
      <c r="X8" s="180" t="s">
        <v>551</v>
      </c>
      <c r="Y8" s="178" t="s">
        <v>552</v>
      </c>
      <c r="Z8" s="180" t="s">
        <v>553</v>
      </c>
      <c r="AA8" s="178" t="s">
        <v>228</v>
      </c>
      <c r="AB8" s="178" t="s">
        <v>180</v>
      </c>
      <c r="AC8" s="178" t="s">
        <v>303</v>
      </c>
      <c r="AD8" s="178" t="s">
        <v>136</v>
      </c>
      <c r="AE8" s="178" t="s">
        <v>205</v>
      </c>
      <c r="AF8" s="188" t="s">
        <v>138</v>
      </c>
      <c r="AG8" s="240">
        <v>2.0</v>
      </c>
      <c r="AH8" s="229" t="s">
        <v>572</v>
      </c>
      <c r="AI8" s="214" t="s">
        <v>573</v>
      </c>
      <c r="AJ8" s="191">
        <v>3.0</v>
      </c>
      <c r="AK8" s="133" t="s">
        <v>556</v>
      </c>
      <c r="AL8" s="134"/>
      <c r="AM8" s="135"/>
      <c r="AN8" s="136"/>
      <c r="AO8" s="137"/>
      <c r="AP8" s="138"/>
    </row>
    <row r="9" ht="67.5" customHeight="1">
      <c r="A9" s="118"/>
      <c r="B9" s="177">
        <v>74.0</v>
      </c>
      <c r="C9" s="178" t="s">
        <v>548</v>
      </c>
      <c r="D9" s="178" t="s">
        <v>14</v>
      </c>
      <c r="E9" s="178" t="s">
        <v>119</v>
      </c>
      <c r="F9" s="179">
        <v>2.018011000241E12</v>
      </c>
      <c r="G9" s="180" t="s">
        <v>120</v>
      </c>
      <c r="H9" s="178" t="s">
        <v>144</v>
      </c>
      <c r="I9" s="178" t="s">
        <v>145</v>
      </c>
      <c r="J9" s="178" t="s">
        <v>154</v>
      </c>
      <c r="K9" s="181" t="s">
        <v>147</v>
      </c>
      <c r="L9" s="181" t="s">
        <v>222</v>
      </c>
      <c r="M9" s="181" t="s">
        <v>126</v>
      </c>
      <c r="N9" s="182" t="s">
        <v>574</v>
      </c>
      <c r="O9" s="183"/>
      <c r="P9" s="190">
        <v>1.0</v>
      </c>
      <c r="Q9" s="185" t="s">
        <v>575</v>
      </c>
      <c r="R9" s="186" t="s">
        <v>128</v>
      </c>
      <c r="S9" s="242">
        <v>0.0</v>
      </c>
      <c r="T9" s="190">
        <v>0.0</v>
      </c>
      <c r="U9" s="190">
        <v>0.0</v>
      </c>
      <c r="V9" s="190">
        <v>1.0</v>
      </c>
      <c r="W9" s="187" t="s">
        <v>14</v>
      </c>
      <c r="X9" s="180" t="s">
        <v>551</v>
      </c>
      <c r="Y9" s="178" t="s">
        <v>552</v>
      </c>
      <c r="Z9" s="180" t="s">
        <v>553</v>
      </c>
      <c r="AA9" s="178" t="s">
        <v>228</v>
      </c>
      <c r="AB9" s="178" t="s">
        <v>180</v>
      </c>
      <c r="AC9" s="178" t="s">
        <v>303</v>
      </c>
      <c r="AD9" s="178" t="s">
        <v>561</v>
      </c>
      <c r="AE9" s="178" t="s">
        <v>562</v>
      </c>
      <c r="AF9" s="188" t="s">
        <v>138</v>
      </c>
      <c r="AG9" s="240">
        <v>1.0</v>
      </c>
      <c r="AH9" s="229" t="s">
        <v>576</v>
      </c>
      <c r="AI9" s="214" t="s">
        <v>577</v>
      </c>
      <c r="AJ9" s="191">
        <v>1.0</v>
      </c>
      <c r="AK9" s="133" t="s">
        <v>556</v>
      </c>
      <c r="AL9" s="134"/>
      <c r="AM9" s="135"/>
      <c r="AN9" s="136"/>
      <c r="AO9" s="137"/>
      <c r="AP9" s="138"/>
    </row>
    <row r="10" ht="67.5" customHeight="1">
      <c r="A10" s="118"/>
      <c r="B10" s="177">
        <v>75.0</v>
      </c>
      <c r="C10" s="178" t="s">
        <v>548</v>
      </c>
      <c r="D10" s="178" t="s">
        <v>14</v>
      </c>
      <c r="E10" s="178" t="s">
        <v>119</v>
      </c>
      <c r="F10" s="179">
        <v>2.018011000241E12</v>
      </c>
      <c r="G10" s="180" t="s">
        <v>120</v>
      </c>
      <c r="H10" s="178" t="s">
        <v>144</v>
      </c>
      <c r="I10" s="178" t="s">
        <v>145</v>
      </c>
      <c r="J10" s="178" t="s">
        <v>154</v>
      </c>
      <c r="K10" s="181" t="s">
        <v>147</v>
      </c>
      <c r="L10" s="181" t="s">
        <v>222</v>
      </c>
      <c r="M10" s="181" t="s">
        <v>126</v>
      </c>
      <c r="N10" s="182" t="s">
        <v>578</v>
      </c>
      <c r="O10" s="183"/>
      <c r="P10" s="190">
        <v>7.0</v>
      </c>
      <c r="Q10" s="185" t="s">
        <v>579</v>
      </c>
      <c r="R10" s="186" t="s">
        <v>170</v>
      </c>
      <c r="S10" s="190">
        <v>1.0</v>
      </c>
      <c r="T10" s="190">
        <v>0.0</v>
      </c>
      <c r="U10" s="190">
        <v>2.0</v>
      </c>
      <c r="V10" s="190">
        <v>4.0</v>
      </c>
      <c r="W10" s="187" t="s">
        <v>14</v>
      </c>
      <c r="X10" s="180" t="s">
        <v>551</v>
      </c>
      <c r="Y10" s="178" t="s">
        <v>552</v>
      </c>
      <c r="Z10" s="180" t="s">
        <v>553</v>
      </c>
      <c r="AA10" s="178" t="s">
        <v>228</v>
      </c>
      <c r="AB10" s="178" t="s">
        <v>180</v>
      </c>
      <c r="AC10" s="178" t="s">
        <v>303</v>
      </c>
      <c r="AD10" s="178" t="s">
        <v>136</v>
      </c>
      <c r="AE10" s="178" t="s">
        <v>205</v>
      </c>
      <c r="AF10" s="188" t="s">
        <v>138</v>
      </c>
      <c r="AG10" s="240">
        <v>4.0</v>
      </c>
      <c r="AH10" s="229" t="s">
        <v>580</v>
      </c>
      <c r="AI10" s="214" t="s">
        <v>581</v>
      </c>
      <c r="AJ10" s="191">
        <v>7.0</v>
      </c>
      <c r="AK10" s="133" t="s">
        <v>556</v>
      </c>
      <c r="AL10" s="134"/>
      <c r="AM10" s="135"/>
      <c r="AN10" s="136"/>
      <c r="AO10" s="137"/>
      <c r="AP10" s="138"/>
    </row>
    <row r="11" ht="67.5" customHeight="1">
      <c r="A11" s="118"/>
      <c r="B11" s="177">
        <v>76.0</v>
      </c>
      <c r="C11" s="178" t="s">
        <v>548</v>
      </c>
      <c r="D11" s="178" t="s">
        <v>14</v>
      </c>
      <c r="E11" s="178" t="s">
        <v>119</v>
      </c>
      <c r="F11" s="179">
        <v>2.018011000241E12</v>
      </c>
      <c r="G11" s="180" t="s">
        <v>120</v>
      </c>
      <c r="H11" s="178" t="s">
        <v>144</v>
      </c>
      <c r="I11" s="178" t="s">
        <v>145</v>
      </c>
      <c r="J11" s="178" t="s">
        <v>154</v>
      </c>
      <c r="K11" s="181" t="s">
        <v>147</v>
      </c>
      <c r="L11" s="181" t="s">
        <v>222</v>
      </c>
      <c r="M11" s="181" t="s">
        <v>126</v>
      </c>
      <c r="N11" s="182" t="s">
        <v>582</v>
      </c>
      <c r="O11" s="183"/>
      <c r="P11" s="190">
        <v>4.0</v>
      </c>
      <c r="Q11" s="185" t="s">
        <v>583</v>
      </c>
      <c r="R11" s="186" t="s">
        <v>170</v>
      </c>
      <c r="S11" s="190">
        <v>0.0</v>
      </c>
      <c r="T11" s="190">
        <v>0.0</v>
      </c>
      <c r="U11" s="190">
        <v>2.0</v>
      </c>
      <c r="V11" s="190">
        <v>2.0</v>
      </c>
      <c r="W11" s="187" t="s">
        <v>14</v>
      </c>
      <c r="X11" s="180" t="s">
        <v>551</v>
      </c>
      <c r="Y11" s="178" t="s">
        <v>552</v>
      </c>
      <c r="Z11" s="180" t="s">
        <v>553</v>
      </c>
      <c r="AA11" s="178" t="s">
        <v>228</v>
      </c>
      <c r="AB11" s="178" t="s">
        <v>180</v>
      </c>
      <c r="AC11" s="178" t="s">
        <v>303</v>
      </c>
      <c r="AD11" s="178" t="s">
        <v>136</v>
      </c>
      <c r="AE11" s="178" t="s">
        <v>205</v>
      </c>
      <c r="AF11" s="188" t="s">
        <v>138</v>
      </c>
      <c r="AG11" s="240">
        <v>2.0</v>
      </c>
      <c r="AH11" s="229" t="s">
        <v>584</v>
      </c>
      <c r="AI11" s="214" t="s">
        <v>585</v>
      </c>
      <c r="AJ11" s="191">
        <v>4.0</v>
      </c>
      <c r="AK11" s="133" t="s">
        <v>556</v>
      </c>
      <c r="AL11" s="134"/>
      <c r="AM11" s="135"/>
      <c r="AN11" s="136"/>
      <c r="AO11" s="137"/>
      <c r="AP11" s="138"/>
    </row>
    <row r="12" ht="67.5" customHeight="1">
      <c r="A12" s="118"/>
      <c r="B12" s="177"/>
      <c r="C12" s="178"/>
      <c r="D12" s="178"/>
      <c r="E12" s="178"/>
      <c r="F12" s="179"/>
      <c r="G12" s="180"/>
      <c r="H12" s="178"/>
      <c r="I12" s="178"/>
      <c r="J12" s="178"/>
      <c r="K12" s="181"/>
      <c r="L12" s="181"/>
      <c r="M12" s="181"/>
      <c r="N12" s="182"/>
      <c r="O12" s="183"/>
      <c r="P12" s="190"/>
      <c r="Q12" s="185"/>
      <c r="R12" s="186"/>
      <c r="S12" s="190"/>
      <c r="T12" s="190"/>
      <c r="U12" s="190"/>
      <c r="V12" s="190"/>
      <c r="W12" s="187"/>
      <c r="X12" s="180"/>
      <c r="Y12" s="178"/>
      <c r="Z12" s="180"/>
      <c r="AA12" s="178"/>
      <c r="AB12" s="178"/>
      <c r="AC12" s="178"/>
      <c r="AD12" s="178"/>
      <c r="AE12" s="178"/>
      <c r="AF12" s="188"/>
      <c r="AG12" s="240"/>
      <c r="AH12" s="244"/>
      <c r="AI12" s="245"/>
      <c r="AJ12" s="149"/>
      <c r="AK12" s="133"/>
      <c r="AL12" s="134"/>
      <c r="AM12" s="135"/>
      <c r="AN12" s="136"/>
      <c r="AO12" s="137"/>
      <c r="AP12" s="138"/>
    </row>
    <row r="13" ht="67.5" customHeight="1">
      <c r="A13" s="118"/>
      <c r="B13" s="177"/>
      <c r="C13" s="178"/>
      <c r="D13" s="178"/>
      <c r="E13" s="178"/>
      <c r="F13" s="179"/>
      <c r="G13" s="180"/>
      <c r="H13" s="178"/>
      <c r="I13" s="178"/>
      <c r="J13" s="178"/>
      <c r="K13" s="181"/>
      <c r="L13" s="181"/>
      <c r="M13" s="181"/>
      <c r="N13" s="182"/>
      <c r="O13" s="183"/>
      <c r="P13" s="190"/>
      <c r="Q13" s="185"/>
      <c r="R13" s="186"/>
      <c r="S13" s="190"/>
      <c r="T13" s="190"/>
      <c r="U13" s="190"/>
      <c r="V13" s="190"/>
      <c r="W13" s="187"/>
      <c r="X13" s="180"/>
      <c r="Y13" s="178"/>
      <c r="Z13" s="180"/>
      <c r="AA13" s="178"/>
      <c r="AB13" s="178"/>
      <c r="AC13" s="178"/>
      <c r="AD13" s="178"/>
      <c r="AE13" s="178"/>
      <c r="AF13" s="188"/>
      <c r="AG13" s="240"/>
      <c r="AH13" s="244"/>
      <c r="AI13" s="245"/>
      <c r="AJ13" s="149"/>
      <c r="AK13" s="133"/>
      <c r="AL13" s="134"/>
      <c r="AM13" s="135"/>
      <c r="AN13" s="136"/>
      <c r="AO13" s="137"/>
      <c r="AP13" s="138"/>
    </row>
    <row r="14" ht="67.5" customHeight="1">
      <c r="A14" s="118"/>
      <c r="B14" s="177"/>
      <c r="C14" s="178"/>
      <c r="D14" s="178"/>
      <c r="E14" s="178"/>
      <c r="F14" s="179"/>
      <c r="G14" s="180"/>
      <c r="H14" s="178"/>
      <c r="I14" s="178"/>
      <c r="J14" s="178"/>
      <c r="K14" s="181"/>
      <c r="L14" s="181"/>
      <c r="M14" s="181"/>
      <c r="N14" s="182"/>
      <c r="O14" s="183"/>
      <c r="P14" s="190"/>
      <c r="Q14" s="185"/>
      <c r="R14" s="186"/>
      <c r="S14" s="190"/>
      <c r="T14" s="190"/>
      <c r="U14" s="190"/>
      <c r="V14" s="190"/>
      <c r="W14" s="187"/>
      <c r="X14" s="180"/>
      <c r="Y14" s="178"/>
      <c r="Z14" s="180"/>
      <c r="AA14" s="178"/>
      <c r="AB14" s="178"/>
      <c r="AC14" s="178"/>
      <c r="AD14" s="178"/>
      <c r="AE14" s="178"/>
      <c r="AF14" s="188"/>
      <c r="AG14" s="240"/>
      <c r="AH14" s="244"/>
      <c r="AI14" s="245"/>
      <c r="AJ14" s="149"/>
      <c r="AK14" s="133"/>
      <c r="AL14" s="134"/>
      <c r="AM14" s="135"/>
      <c r="AN14" s="136"/>
      <c r="AO14" s="137"/>
      <c r="AP14" s="138"/>
    </row>
    <row r="15" ht="67.5" customHeight="1">
      <c r="A15" s="118"/>
      <c r="B15" s="177"/>
      <c r="C15" s="178"/>
      <c r="D15" s="178"/>
      <c r="E15" s="178"/>
      <c r="F15" s="179"/>
      <c r="G15" s="180"/>
      <c r="H15" s="178"/>
      <c r="I15" s="178"/>
      <c r="J15" s="178"/>
      <c r="K15" s="181"/>
      <c r="L15" s="181"/>
      <c r="M15" s="181"/>
      <c r="N15" s="182"/>
      <c r="O15" s="183"/>
      <c r="P15" s="190"/>
      <c r="Q15" s="185"/>
      <c r="R15" s="186"/>
      <c r="S15" s="190"/>
      <c r="T15" s="190"/>
      <c r="U15" s="190"/>
      <c r="V15" s="190"/>
      <c r="W15" s="187"/>
      <c r="X15" s="180"/>
      <c r="Y15" s="178"/>
      <c r="Z15" s="180"/>
      <c r="AA15" s="178"/>
      <c r="AB15" s="178"/>
      <c r="AC15" s="178"/>
      <c r="AD15" s="178"/>
      <c r="AE15" s="178"/>
      <c r="AF15" s="188"/>
      <c r="AG15" s="240"/>
      <c r="AH15" s="244"/>
      <c r="AI15" s="245"/>
      <c r="AJ15" s="149"/>
      <c r="AK15" s="133"/>
      <c r="AL15" s="134"/>
      <c r="AM15" s="135"/>
      <c r="AN15" s="136"/>
      <c r="AO15" s="137"/>
      <c r="AP15" s="138"/>
    </row>
    <row r="16" ht="67.5" customHeight="1">
      <c r="A16" s="118"/>
      <c r="B16" s="177"/>
      <c r="C16" s="178"/>
      <c r="D16" s="178"/>
      <c r="E16" s="178"/>
      <c r="F16" s="179"/>
      <c r="G16" s="180"/>
      <c r="H16" s="178"/>
      <c r="I16" s="178"/>
      <c r="J16" s="178"/>
      <c r="K16" s="181"/>
      <c r="L16" s="181"/>
      <c r="M16" s="181"/>
      <c r="N16" s="182"/>
      <c r="O16" s="183"/>
      <c r="P16" s="190"/>
      <c r="Q16" s="185"/>
      <c r="R16" s="186"/>
      <c r="S16" s="190"/>
      <c r="T16" s="190"/>
      <c r="U16" s="190"/>
      <c r="V16" s="190"/>
      <c r="W16" s="187"/>
      <c r="X16" s="180"/>
      <c r="Y16" s="178"/>
      <c r="Z16" s="180"/>
      <c r="AA16" s="178"/>
      <c r="AB16" s="178"/>
      <c r="AC16" s="178"/>
      <c r="AD16" s="178"/>
      <c r="AE16" s="178"/>
      <c r="AF16" s="188"/>
      <c r="AG16" s="240"/>
      <c r="AH16" s="244"/>
      <c r="AI16" s="245"/>
      <c r="AJ16" s="149"/>
      <c r="AK16" s="133"/>
      <c r="AL16" s="134"/>
      <c r="AM16" s="135"/>
      <c r="AN16" s="136"/>
      <c r="AO16" s="137"/>
      <c r="AP16" s="138"/>
    </row>
    <row r="17" ht="67.5" customHeight="1">
      <c r="A17" s="118"/>
      <c r="B17" s="192"/>
      <c r="C17" s="193"/>
      <c r="D17" s="193"/>
      <c r="E17" s="193"/>
      <c r="F17" s="194"/>
      <c r="G17" s="195"/>
      <c r="H17" s="193"/>
      <c r="I17" s="193"/>
      <c r="J17" s="193"/>
      <c r="K17" s="196"/>
      <c r="L17" s="196"/>
      <c r="M17" s="196"/>
      <c r="N17" s="197"/>
      <c r="O17" s="198"/>
      <c r="P17" s="199"/>
      <c r="Q17" s="200"/>
      <c r="R17" s="201"/>
      <c r="S17" s="199"/>
      <c r="T17" s="199"/>
      <c r="U17" s="199"/>
      <c r="V17" s="199"/>
      <c r="W17" s="202"/>
      <c r="X17" s="195"/>
      <c r="Y17" s="193"/>
      <c r="Z17" s="195"/>
      <c r="AA17" s="193"/>
      <c r="AB17" s="193"/>
      <c r="AC17" s="193"/>
      <c r="AD17" s="193"/>
      <c r="AE17" s="193"/>
      <c r="AF17" s="203"/>
      <c r="AG17" s="161"/>
      <c r="AH17" s="246"/>
      <c r="AI17" s="247"/>
      <c r="AJ17" s="164"/>
      <c r="AK17" s="165"/>
      <c r="AL17" s="166"/>
      <c r="AM17" s="167"/>
      <c r="AN17" s="168"/>
      <c r="AO17" s="169"/>
      <c r="AP17" s="138"/>
    </row>
    <row r="18" ht="15.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170"/>
      <c r="AH18" s="248"/>
      <c r="AI18" s="248"/>
      <c r="AJ18" s="88"/>
      <c r="AK18" s="88"/>
      <c r="AL18" s="88"/>
      <c r="AM18" s="88"/>
      <c r="AN18" s="88"/>
      <c r="AO18" s="88"/>
      <c r="AP18" s="88"/>
    </row>
  </sheetData>
  <autoFilter ref="$A$3:$AP$16"/>
  <mergeCells count="4">
    <mergeCell ref="B1:C1"/>
    <mergeCell ref="AG2:AI2"/>
    <mergeCell ref="AJ2:AK2"/>
    <mergeCell ref="AL2:AO2"/>
  </mergeCells>
  <conditionalFormatting sqref="AK4:AK17 AM4:AM17">
    <cfRule type="cellIs" dxfId="2" priority="1" operator="greaterThan">
      <formula>0</formula>
    </cfRule>
  </conditionalFormatting>
  <conditionalFormatting sqref="AK4:AK17 AM4:AM17">
    <cfRule type="cellIs" dxfId="3" priority="2" operator="lessThan">
      <formula>0</formula>
    </cfRule>
  </conditionalFormatting>
  <conditionalFormatting sqref="AK11">
    <cfRule type="cellIs" dxfId="2" priority="3" operator="greaterThan">
      <formula>0</formula>
    </cfRule>
  </conditionalFormatting>
  <conditionalFormatting sqref="AK11">
    <cfRule type="cellIs" dxfId="3" priority="4" operator="lessThan">
      <formula>0</formula>
    </cfRule>
  </conditionalFormatting>
  <conditionalFormatting sqref="AK7:AK8">
    <cfRule type="cellIs" dxfId="2" priority="5" operator="greaterThan">
      <formula>0</formula>
    </cfRule>
  </conditionalFormatting>
  <conditionalFormatting sqref="AK7:AK8">
    <cfRule type="cellIs" dxfId="3" priority="6" operator="lessThan">
      <formula>0</formula>
    </cfRule>
  </conditionalFormatting>
  <dataValidations>
    <dataValidation type="decimal" allowBlank="1" showDropDown="1" showInputMessage="1" showErrorMessage="1" prompt="Recuerde que debe ingresar un valor numérico o porcentaje" sqref="AG4:AG17 AJ4:AJ17">
      <formula1>0.0</formula1>
      <formula2>5000000.0</formula2>
    </dataValidation>
  </dataValidations>
  <hyperlinks>
    <hyperlink display="Home" location="Home!A1" ref="B1"/>
    <hyperlink r:id="rId1" location="gid=263085841" ref="AI7"/>
    <hyperlink r:id="rId2" ref="AI8"/>
    <hyperlink r:id="rId3" ref="AI9"/>
    <hyperlink r:id="rId4" ref="AI10"/>
    <hyperlink r:id="rId5" ref="AI11"/>
  </hyperlinks>
  <printOptions gridLines="1" horizontalCentered="1"/>
  <pageMargins bottom="0.75" footer="0.0" header="0.0" left="0.7" right="0.7" top="0.75"/>
  <pageSetup cellComments="atEnd" orientation="portrait" pageOrder="overThenDown"/>
  <drawing r:id="rId6"/>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21" width="15.75"/>
    <col customWidth="1" min="22" max="22" width="15.75"/>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4" width="21.0"/>
    <col customWidth="1" min="35" max="35" width="22.88"/>
    <col customWidth="1" min="36" max="36" width="21.75"/>
    <col customWidth="1" min="37" max="37" width="20.25"/>
    <col customWidth="1" min="38" max="38" width="15.75"/>
    <col customWidth="1" min="39" max="39" width="15.63"/>
    <col customWidth="1" min="40" max="40" width="16.38"/>
    <col customWidth="1" min="41" max="41" width="18.25"/>
    <col customWidth="1" min="42" max="42" width="3.88"/>
  </cols>
  <sheetData>
    <row r="1" ht="33.75" customHeight="1">
      <c r="A1" s="85"/>
      <c r="B1" s="86" t="s">
        <v>108</v>
      </c>
      <c r="C1" s="87"/>
      <c r="D1" s="88"/>
      <c r="E1" s="89"/>
      <c r="F1" s="90"/>
      <c r="G1" s="90"/>
      <c r="H1" s="90"/>
      <c r="I1" s="90"/>
      <c r="J1" s="90"/>
      <c r="K1" s="90"/>
      <c r="L1" s="90"/>
      <c r="M1" s="90"/>
      <c r="N1" s="90"/>
      <c r="O1" s="90"/>
      <c r="P1" s="90"/>
      <c r="Q1" s="90"/>
      <c r="R1" s="90"/>
      <c r="S1" s="90"/>
      <c r="T1" s="90"/>
      <c r="U1" s="90"/>
      <c r="V1" s="90"/>
      <c r="W1" s="90"/>
      <c r="X1" s="90"/>
      <c r="Y1" s="90"/>
      <c r="Z1" s="90"/>
      <c r="AA1" s="90"/>
      <c r="AB1" s="90"/>
      <c r="AC1" s="90"/>
      <c r="AD1" s="90"/>
      <c r="AE1" s="90"/>
      <c r="AF1" s="88"/>
      <c r="AG1" s="91" t="s">
        <v>109</v>
      </c>
      <c r="AH1" s="92">
        <v>1.0</v>
      </c>
      <c r="AI1" s="93" t="s">
        <v>110</v>
      </c>
      <c r="AJ1" s="94"/>
      <c r="AK1" s="95"/>
      <c r="AL1" s="96">
        <v>43466.0</v>
      </c>
      <c r="AM1" s="97">
        <f>Alertas!B6</f>
        <v>44582</v>
      </c>
      <c r="AN1" s="96">
        <f>TODAY()-1</f>
        <v>44714</v>
      </c>
      <c r="AO1" s="93"/>
      <c r="AP1" s="93"/>
    </row>
    <row r="2" ht="33.75" customHeight="1">
      <c r="A2" s="85"/>
      <c r="B2" s="88"/>
      <c r="C2" s="98"/>
      <c r="D2" s="99"/>
      <c r="E2" s="88"/>
      <c r="F2" s="100"/>
      <c r="G2" s="88"/>
      <c r="H2" s="88"/>
      <c r="I2" s="88"/>
      <c r="J2" s="88"/>
      <c r="K2" s="88"/>
      <c r="L2" s="88"/>
      <c r="M2" s="88"/>
      <c r="N2" s="88"/>
      <c r="O2" s="88"/>
      <c r="P2" s="88"/>
      <c r="Q2" s="88"/>
      <c r="R2" s="88"/>
      <c r="S2" s="88"/>
      <c r="T2" s="88"/>
      <c r="U2" s="88"/>
      <c r="V2" s="88"/>
      <c r="W2" s="88"/>
      <c r="X2" s="88"/>
      <c r="Y2" s="88"/>
      <c r="Z2" s="88"/>
      <c r="AA2" s="88"/>
      <c r="AB2" s="88"/>
      <c r="AC2" s="88"/>
      <c r="AD2" s="88"/>
      <c r="AE2" s="88"/>
      <c r="AF2" s="17"/>
      <c r="AG2" s="101" t="s">
        <v>111</v>
      </c>
      <c r="AH2" s="102"/>
      <c r="AI2" s="103"/>
      <c r="AJ2" s="104" t="s">
        <v>112</v>
      </c>
      <c r="AK2" s="103"/>
      <c r="AL2" s="104" t="s">
        <v>113</v>
      </c>
      <c r="AM2" s="102"/>
      <c r="AN2" s="102"/>
      <c r="AO2" s="103"/>
      <c r="AP2" s="105"/>
    </row>
    <row r="3" ht="33.75" customHeight="1">
      <c r="A3" s="106"/>
      <c r="B3" s="171" t="s">
        <v>40</v>
      </c>
      <c r="C3" s="172" t="s">
        <v>41</v>
      </c>
      <c r="D3" s="173" t="s">
        <v>42</v>
      </c>
      <c r="E3" s="173" t="s">
        <v>43</v>
      </c>
      <c r="F3" s="174" t="s">
        <v>44</v>
      </c>
      <c r="G3" s="175" t="s">
        <v>45</v>
      </c>
      <c r="H3" s="173" t="s">
        <v>46</v>
      </c>
      <c r="I3" s="175" t="s">
        <v>47</v>
      </c>
      <c r="J3" s="175" t="s">
        <v>48</v>
      </c>
      <c r="K3" s="175" t="s">
        <v>49</v>
      </c>
      <c r="L3" s="175" t="s">
        <v>50</v>
      </c>
      <c r="M3" s="173" t="s">
        <v>51</v>
      </c>
      <c r="N3" s="173" t="s">
        <v>52</v>
      </c>
      <c r="O3" s="175" t="s">
        <v>53</v>
      </c>
      <c r="P3" s="175" t="s">
        <v>54</v>
      </c>
      <c r="Q3" s="173" t="s">
        <v>55</v>
      </c>
      <c r="R3" s="173" t="s">
        <v>56</v>
      </c>
      <c r="S3" s="175" t="s">
        <v>57</v>
      </c>
      <c r="T3" s="175" t="s">
        <v>58</v>
      </c>
      <c r="U3" s="175" t="s">
        <v>59</v>
      </c>
      <c r="V3" s="175" t="s">
        <v>60</v>
      </c>
      <c r="W3" s="173" t="s">
        <v>61</v>
      </c>
      <c r="X3" s="172" t="s">
        <v>62</v>
      </c>
      <c r="Y3" s="172" t="s">
        <v>63</v>
      </c>
      <c r="Z3" s="172" t="s">
        <v>64</v>
      </c>
      <c r="AA3" s="172" t="s">
        <v>65</v>
      </c>
      <c r="AB3" s="172" t="s">
        <v>66</v>
      </c>
      <c r="AC3" s="172" t="s">
        <v>67</v>
      </c>
      <c r="AD3" s="172" t="s">
        <v>68</v>
      </c>
      <c r="AE3" s="172" t="s">
        <v>69</v>
      </c>
      <c r="AF3" s="176" t="s">
        <v>70</v>
      </c>
      <c r="AG3" s="113" t="s">
        <v>71</v>
      </c>
      <c r="AH3" s="114" t="s">
        <v>72</v>
      </c>
      <c r="AI3" s="115" t="s">
        <v>73</v>
      </c>
      <c r="AJ3" s="116" t="s">
        <v>114</v>
      </c>
      <c r="AK3" s="117" t="s">
        <v>115</v>
      </c>
      <c r="AL3" s="113" t="s">
        <v>74</v>
      </c>
      <c r="AM3" s="114" t="s">
        <v>116</v>
      </c>
      <c r="AN3" s="114" t="s">
        <v>76</v>
      </c>
      <c r="AO3" s="117" t="s">
        <v>117</v>
      </c>
      <c r="AP3" s="105"/>
    </row>
    <row r="4" ht="67.5" customHeight="1">
      <c r="A4" s="118"/>
      <c r="B4" s="177">
        <v>77.0</v>
      </c>
      <c r="C4" s="178" t="s">
        <v>488</v>
      </c>
      <c r="D4" s="178" t="s">
        <v>17</v>
      </c>
      <c r="E4" s="178" t="s">
        <v>119</v>
      </c>
      <c r="F4" s="179">
        <v>2.018011000241E12</v>
      </c>
      <c r="G4" s="180" t="s">
        <v>120</v>
      </c>
      <c r="H4" s="178" t="s">
        <v>586</v>
      </c>
      <c r="I4" s="178" t="s">
        <v>587</v>
      </c>
      <c r="J4" s="178" t="s">
        <v>588</v>
      </c>
      <c r="K4" s="181" t="s">
        <v>147</v>
      </c>
      <c r="L4" s="181" t="s">
        <v>125</v>
      </c>
      <c r="M4" s="181" t="s">
        <v>126</v>
      </c>
      <c r="N4" s="182" t="s">
        <v>589</v>
      </c>
      <c r="O4" s="183">
        <v>1.0</v>
      </c>
      <c r="P4" s="190">
        <v>1.0</v>
      </c>
      <c r="Q4" s="185" t="s">
        <v>590</v>
      </c>
      <c r="R4" s="186" t="s">
        <v>128</v>
      </c>
      <c r="S4" s="190">
        <v>0.0</v>
      </c>
      <c r="T4" s="190">
        <v>0.0</v>
      </c>
      <c r="U4" s="190">
        <v>0.0</v>
      </c>
      <c r="V4" s="190">
        <v>1.0</v>
      </c>
      <c r="W4" s="187" t="s">
        <v>17</v>
      </c>
      <c r="X4" s="180" t="s">
        <v>497</v>
      </c>
      <c r="Y4" s="178" t="s">
        <v>591</v>
      </c>
      <c r="Z4" s="180" t="s">
        <v>499</v>
      </c>
      <c r="AA4" s="178" t="s">
        <v>500</v>
      </c>
      <c r="AB4" s="178" t="s">
        <v>592</v>
      </c>
      <c r="AC4" s="178" t="s">
        <v>135</v>
      </c>
      <c r="AD4" s="178" t="s">
        <v>501</v>
      </c>
      <c r="AE4" s="178" t="s">
        <v>593</v>
      </c>
      <c r="AF4" s="188" t="s">
        <v>594</v>
      </c>
      <c r="AG4" s="191">
        <v>1.0</v>
      </c>
      <c r="AH4" s="249" t="s">
        <v>595</v>
      </c>
      <c r="AI4" s="227" t="s">
        <v>596</v>
      </c>
      <c r="AJ4" s="191">
        <v>1.0</v>
      </c>
      <c r="AK4" s="250" t="s">
        <v>597</v>
      </c>
      <c r="AL4" s="134">
        <f t="shared" ref="AL4:AL8" si="1">$AM$1</f>
        <v>44582</v>
      </c>
      <c r="AM4" s="135">
        <f t="shared" ref="AM4:AM8" si="2">AL4-$AN$1</f>
        <v>-132</v>
      </c>
      <c r="AN4" s="136" t="str">
        <f t="shared" ref="AN4:AN8" si="3">IF(ISBLANK(AG4),"Pend. Ejec. Trim."&amp;CHAR(10),)&amp;
IF(ISBLANK(AH4),"Pend. Just. Trim."&amp;CHAR(10),)&amp;
IF(ISBLANK(AI4),"Pend. Evid. Trim."&amp;CHAR(10),)&amp;
IF(ISBLANK(AJ4),"Pend. Ejec. Año"&amp;CHAR(10),)&amp;
IF(ISBLANK(AK4),"Pend. Evid. Año",)&amp;
IF(OR(ISBLANK(AG4),ISBLANK(AH4),ISBLANK(AI4),ISBLANK(AJ4),ISBLANK(AK4)),,"Reporte ok")</f>
        <v>Reporte ok</v>
      </c>
      <c r="AO4" s="137"/>
      <c r="AP4" s="138"/>
    </row>
    <row r="5" ht="67.5" customHeight="1">
      <c r="A5" s="118"/>
      <c r="B5" s="177">
        <v>78.0</v>
      </c>
      <c r="C5" s="178" t="s">
        <v>488</v>
      </c>
      <c r="D5" s="178" t="s">
        <v>17</v>
      </c>
      <c r="E5" s="178" t="s">
        <v>119</v>
      </c>
      <c r="F5" s="179">
        <v>2.018011000241E12</v>
      </c>
      <c r="G5" s="180" t="s">
        <v>120</v>
      </c>
      <c r="H5" s="178" t="s">
        <v>586</v>
      </c>
      <c r="I5" s="178" t="s">
        <v>587</v>
      </c>
      <c r="J5" s="178" t="s">
        <v>598</v>
      </c>
      <c r="K5" s="181" t="s">
        <v>147</v>
      </c>
      <c r="L5" s="181" t="s">
        <v>125</v>
      </c>
      <c r="M5" s="181" t="s">
        <v>126</v>
      </c>
      <c r="N5" s="182" t="s">
        <v>599</v>
      </c>
      <c r="O5" s="183">
        <v>1.0</v>
      </c>
      <c r="P5" s="190">
        <v>1.0</v>
      </c>
      <c r="Q5" s="185" t="s">
        <v>600</v>
      </c>
      <c r="R5" s="186" t="s">
        <v>128</v>
      </c>
      <c r="S5" s="190">
        <v>0.0</v>
      </c>
      <c r="T5" s="190">
        <v>0.0</v>
      </c>
      <c r="U5" s="190">
        <v>0.0</v>
      </c>
      <c r="V5" s="190">
        <v>1.0</v>
      </c>
      <c r="W5" s="187" t="s">
        <v>17</v>
      </c>
      <c r="X5" s="180" t="s">
        <v>497</v>
      </c>
      <c r="Y5" s="178" t="s">
        <v>591</v>
      </c>
      <c r="Z5" s="180" t="s">
        <v>499</v>
      </c>
      <c r="AA5" s="178" t="s">
        <v>500</v>
      </c>
      <c r="AB5" s="178" t="s">
        <v>592</v>
      </c>
      <c r="AC5" s="178" t="s">
        <v>135</v>
      </c>
      <c r="AD5" s="178" t="s">
        <v>501</v>
      </c>
      <c r="AE5" s="178" t="s">
        <v>593</v>
      </c>
      <c r="AF5" s="188" t="s">
        <v>594</v>
      </c>
      <c r="AG5" s="191">
        <v>1.0</v>
      </c>
      <c r="AH5" s="249" t="s">
        <v>601</v>
      </c>
      <c r="AI5" s="227" t="s">
        <v>602</v>
      </c>
      <c r="AJ5" s="191">
        <v>1.0</v>
      </c>
      <c r="AK5" s="250" t="s">
        <v>597</v>
      </c>
      <c r="AL5" s="134">
        <f t="shared" si="1"/>
        <v>44582</v>
      </c>
      <c r="AM5" s="135">
        <f t="shared" si="2"/>
        <v>-132</v>
      </c>
      <c r="AN5" s="136" t="str">
        <f t="shared" si="3"/>
        <v>Reporte ok</v>
      </c>
      <c r="AO5" s="137"/>
      <c r="AP5" s="138"/>
    </row>
    <row r="6" ht="67.5" customHeight="1">
      <c r="A6" s="118"/>
      <c r="B6" s="177">
        <v>79.0</v>
      </c>
      <c r="C6" s="178" t="s">
        <v>488</v>
      </c>
      <c r="D6" s="178" t="s">
        <v>17</v>
      </c>
      <c r="E6" s="178" t="s">
        <v>119</v>
      </c>
      <c r="F6" s="179">
        <v>2.018011000241E12</v>
      </c>
      <c r="G6" s="180" t="s">
        <v>120</v>
      </c>
      <c r="H6" s="178" t="s">
        <v>586</v>
      </c>
      <c r="I6" s="178" t="s">
        <v>587</v>
      </c>
      <c r="J6" s="178" t="s">
        <v>588</v>
      </c>
      <c r="K6" s="181" t="s">
        <v>147</v>
      </c>
      <c r="L6" s="181" t="s">
        <v>125</v>
      </c>
      <c r="M6" s="181" t="s">
        <v>126</v>
      </c>
      <c r="N6" s="182" t="s">
        <v>603</v>
      </c>
      <c r="O6" s="183">
        <v>2.0</v>
      </c>
      <c r="P6" s="190">
        <v>2.0</v>
      </c>
      <c r="Q6" s="185" t="s">
        <v>604</v>
      </c>
      <c r="R6" s="186" t="s">
        <v>170</v>
      </c>
      <c r="S6" s="190">
        <v>0.0</v>
      </c>
      <c r="T6" s="190">
        <v>1.0</v>
      </c>
      <c r="U6" s="190">
        <v>1.0</v>
      </c>
      <c r="V6" s="190">
        <v>0.0</v>
      </c>
      <c r="W6" s="187" t="s">
        <v>17</v>
      </c>
      <c r="X6" s="180" t="s">
        <v>497</v>
      </c>
      <c r="Y6" s="178" t="s">
        <v>591</v>
      </c>
      <c r="Z6" s="180" t="s">
        <v>499</v>
      </c>
      <c r="AA6" s="178" t="s">
        <v>500</v>
      </c>
      <c r="AB6" s="178" t="s">
        <v>592</v>
      </c>
      <c r="AC6" s="178" t="s">
        <v>135</v>
      </c>
      <c r="AD6" s="178" t="s">
        <v>501</v>
      </c>
      <c r="AE6" s="178" t="s">
        <v>593</v>
      </c>
      <c r="AF6" s="188" t="s">
        <v>594</v>
      </c>
      <c r="AG6" s="144" t="s">
        <v>403</v>
      </c>
      <c r="AH6" s="144" t="s">
        <v>403</v>
      </c>
      <c r="AI6" s="144" t="s">
        <v>403</v>
      </c>
      <c r="AJ6" s="144" t="s">
        <v>403</v>
      </c>
      <c r="AK6" s="144" t="s">
        <v>403</v>
      </c>
      <c r="AL6" s="134">
        <f t="shared" si="1"/>
        <v>44582</v>
      </c>
      <c r="AM6" s="135">
        <f t="shared" si="2"/>
        <v>-132</v>
      </c>
      <c r="AN6" s="136" t="str">
        <f t="shared" si="3"/>
        <v>Reporte ok</v>
      </c>
      <c r="AO6" s="137"/>
      <c r="AP6" s="138"/>
    </row>
    <row r="7" ht="67.5" customHeight="1">
      <c r="A7" s="118"/>
      <c r="B7" s="177">
        <v>80.0</v>
      </c>
      <c r="C7" s="178" t="s">
        <v>488</v>
      </c>
      <c r="D7" s="178" t="s">
        <v>17</v>
      </c>
      <c r="E7" s="178" t="s">
        <v>119</v>
      </c>
      <c r="F7" s="179">
        <v>2.018011000241E12</v>
      </c>
      <c r="G7" s="180" t="s">
        <v>120</v>
      </c>
      <c r="H7" s="178" t="s">
        <v>586</v>
      </c>
      <c r="I7" s="178" t="s">
        <v>587</v>
      </c>
      <c r="J7" s="178" t="s">
        <v>588</v>
      </c>
      <c r="K7" s="181" t="s">
        <v>147</v>
      </c>
      <c r="L7" s="181" t="s">
        <v>125</v>
      </c>
      <c r="M7" s="181" t="s">
        <v>126</v>
      </c>
      <c r="N7" s="182" t="s">
        <v>605</v>
      </c>
      <c r="O7" s="183">
        <v>2.0</v>
      </c>
      <c r="P7" s="190">
        <v>2.0</v>
      </c>
      <c r="Q7" s="185" t="s">
        <v>606</v>
      </c>
      <c r="R7" s="186" t="s">
        <v>170</v>
      </c>
      <c r="S7" s="190">
        <v>0.0</v>
      </c>
      <c r="T7" s="190">
        <v>0.0</v>
      </c>
      <c r="U7" s="190">
        <v>1.0</v>
      </c>
      <c r="V7" s="190">
        <v>1.0</v>
      </c>
      <c r="W7" s="187" t="s">
        <v>17</v>
      </c>
      <c r="X7" s="180" t="s">
        <v>497</v>
      </c>
      <c r="Y7" s="178" t="s">
        <v>591</v>
      </c>
      <c r="Z7" s="180" t="s">
        <v>499</v>
      </c>
      <c r="AA7" s="178" t="s">
        <v>500</v>
      </c>
      <c r="AB7" s="178" t="s">
        <v>592</v>
      </c>
      <c r="AC7" s="178" t="s">
        <v>135</v>
      </c>
      <c r="AD7" s="178" t="s">
        <v>501</v>
      </c>
      <c r="AE7" s="178" t="s">
        <v>593</v>
      </c>
      <c r="AF7" s="188" t="s">
        <v>594</v>
      </c>
      <c r="AG7" s="191">
        <v>1.0</v>
      </c>
      <c r="AH7" s="250" t="s">
        <v>607</v>
      </c>
      <c r="AI7" s="227" t="s">
        <v>608</v>
      </c>
      <c r="AJ7" s="191">
        <v>2.0</v>
      </c>
      <c r="AK7" s="250" t="s">
        <v>609</v>
      </c>
      <c r="AL7" s="134">
        <f t="shared" si="1"/>
        <v>44582</v>
      </c>
      <c r="AM7" s="135">
        <f t="shared" si="2"/>
        <v>-132</v>
      </c>
      <c r="AN7" s="136" t="str">
        <f t="shared" si="3"/>
        <v>Reporte ok</v>
      </c>
      <c r="AO7" s="137"/>
      <c r="AP7" s="138"/>
    </row>
    <row r="8" ht="67.5" customHeight="1">
      <c r="A8" s="118"/>
      <c r="B8" s="177">
        <v>81.0</v>
      </c>
      <c r="C8" s="178" t="s">
        <v>488</v>
      </c>
      <c r="D8" s="178" t="s">
        <v>17</v>
      </c>
      <c r="E8" s="178" t="s">
        <v>119</v>
      </c>
      <c r="F8" s="179">
        <v>2.018011000241E12</v>
      </c>
      <c r="G8" s="180" t="s">
        <v>120</v>
      </c>
      <c r="H8" s="178" t="s">
        <v>586</v>
      </c>
      <c r="I8" s="178" t="s">
        <v>587</v>
      </c>
      <c r="J8" s="178" t="s">
        <v>588</v>
      </c>
      <c r="K8" s="181" t="s">
        <v>147</v>
      </c>
      <c r="L8" s="181" t="s">
        <v>125</v>
      </c>
      <c r="M8" s="181" t="s">
        <v>126</v>
      </c>
      <c r="N8" s="182" t="s">
        <v>610</v>
      </c>
      <c r="O8" s="183">
        <v>2.0</v>
      </c>
      <c r="P8" s="190">
        <v>3.0</v>
      </c>
      <c r="Q8" s="185" t="s">
        <v>611</v>
      </c>
      <c r="R8" s="186" t="s">
        <v>170</v>
      </c>
      <c r="S8" s="190">
        <v>1.0</v>
      </c>
      <c r="T8" s="190">
        <v>0.0</v>
      </c>
      <c r="U8" s="190">
        <v>2.0</v>
      </c>
      <c r="V8" s="190">
        <v>0.0</v>
      </c>
      <c r="W8" s="187" t="s">
        <v>17</v>
      </c>
      <c r="X8" s="180" t="s">
        <v>497</v>
      </c>
      <c r="Y8" s="178" t="s">
        <v>591</v>
      </c>
      <c r="Z8" s="180" t="s">
        <v>499</v>
      </c>
      <c r="AA8" s="178" t="s">
        <v>500</v>
      </c>
      <c r="AB8" s="178" t="s">
        <v>592</v>
      </c>
      <c r="AC8" s="178" t="s">
        <v>135</v>
      </c>
      <c r="AD8" s="178" t="s">
        <v>501</v>
      </c>
      <c r="AE8" s="178" t="s">
        <v>593</v>
      </c>
      <c r="AF8" s="188" t="s">
        <v>594</v>
      </c>
      <c r="AG8" s="144" t="s">
        <v>403</v>
      </c>
      <c r="AH8" s="144" t="s">
        <v>403</v>
      </c>
      <c r="AI8" s="144" t="s">
        <v>403</v>
      </c>
      <c r="AJ8" s="144" t="s">
        <v>403</v>
      </c>
      <c r="AK8" s="144" t="s">
        <v>403</v>
      </c>
      <c r="AL8" s="134">
        <f t="shared" si="1"/>
        <v>44582</v>
      </c>
      <c r="AM8" s="135">
        <f t="shared" si="2"/>
        <v>-132</v>
      </c>
      <c r="AN8" s="136" t="str">
        <f t="shared" si="3"/>
        <v>Reporte ok</v>
      </c>
      <c r="AO8" s="137"/>
      <c r="AP8" s="138"/>
    </row>
    <row r="9" ht="67.5" customHeight="1">
      <c r="A9" s="118"/>
      <c r="B9" s="177"/>
      <c r="C9" s="178"/>
      <c r="D9" s="178"/>
      <c r="E9" s="178"/>
      <c r="F9" s="179"/>
      <c r="G9" s="180"/>
      <c r="H9" s="178"/>
      <c r="I9" s="178"/>
      <c r="J9" s="178"/>
      <c r="K9" s="181"/>
      <c r="L9" s="181"/>
      <c r="M9" s="181"/>
      <c r="N9" s="182"/>
      <c r="O9" s="183"/>
      <c r="P9" s="190"/>
      <c r="Q9" s="185"/>
      <c r="R9" s="186"/>
      <c r="S9" s="190"/>
      <c r="T9" s="190"/>
      <c r="U9" s="190"/>
      <c r="V9" s="190"/>
      <c r="W9" s="187"/>
      <c r="X9" s="180"/>
      <c r="Y9" s="178"/>
      <c r="Z9" s="180"/>
      <c r="AA9" s="178"/>
      <c r="AB9" s="178"/>
      <c r="AC9" s="178"/>
      <c r="AD9" s="178"/>
      <c r="AE9" s="178"/>
      <c r="AF9" s="188"/>
      <c r="AG9" s="146"/>
      <c r="AH9" s="147"/>
      <c r="AI9" s="148"/>
      <c r="AJ9" s="149"/>
      <c r="AK9" s="133"/>
      <c r="AL9" s="134"/>
      <c r="AM9" s="135"/>
      <c r="AN9" s="136"/>
      <c r="AO9" s="137"/>
      <c r="AP9" s="138"/>
    </row>
    <row r="10" ht="67.5" customHeight="1">
      <c r="A10" s="118"/>
      <c r="B10" s="177"/>
      <c r="C10" s="178"/>
      <c r="D10" s="178"/>
      <c r="E10" s="178"/>
      <c r="F10" s="179"/>
      <c r="G10" s="180"/>
      <c r="H10" s="178"/>
      <c r="I10" s="178"/>
      <c r="J10" s="178"/>
      <c r="K10" s="181"/>
      <c r="L10" s="181"/>
      <c r="M10" s="181"/>
      <c r="N10" s="182"/>
      <c r="O10" s="183"/>
      <c r="P10" s="190"/>
      <c r="Q10" s="185"/>
      <c r="R10" s="186"/>
      <c r="S10" s="190"/>
      <c r="T10" s="190"/>
      <c r="U10" s="190"/>
      <c r="V10" s="190"/>
      <c r="W10" s="187"/>
      <c r="X10" s="180"/>
      <c r="Y10" s="178"/>
      <c r="Z10" s="180"/>
      <c r="AA10" s="178"/>
      <c r="AB10" s="178"/>
      <c r="AC10" s="178"/>
      <c r="AD10" s="178"/>
      <c r="AE10" s="178"/>
      <c r="AF10" s="188"/>
      <c r="AG10" s="146"/>
      <c r="AH10" s="147"/>
      <c r="AI10" s="148"/>
      <c r="AJ10" s="149"/>
      <c r="AK10" s="133"/>
      <c r="AL10" s="134"/>
      <c r="AM10" s="135"/>
      <c r="AN10" s="136"/>
      <c r="AO10" s="137"/>
      <c r="AP10" s="138"/>
    </row>
    <row r="11" ht="67.5" customHeight="1">
      <c r="A11" s="118"/>
      <c r="B11" s="177"/>
      <c r="C11" s="178"/>
      <c r="D11" s="178"/>
      <c r="E11" s="178"/>
      <c r="F11" s="179"/>
      <c r="G11" s="180"/>
      <c r="H11" s="178"/>
      <c r="I11" s="178"/>
      <c r="J11" s="178"/>
      <c r="K11" s="181"/>
      <c r="L11" s="181"/>
      <c r="M11" s="181"/>
      <c r="N11" s="182"/>
      <c r="O11" s="183"/>
      <c r="P11" s="190"/>
      <c r="Q11" s="185"/>
      <c r="R11" s="186"/>
      <c r="S11" s="190"/>
      <c r="T11" s="190"/>
      <c r="U11" s="190"/>
      <c r="V11" s="190"/>
      <c r="W11" s="187"/>
      <c r="X11" s="180"/>
      <c r="Y11" s="178"/>
      <c r="Z11" s="180"/>
      <c r="AA11" s="178"/>
      <c r="AB11" s="178"/>
      <c r="AC11" s="178"/>
      <c r="AD11" s="178"/>
      <c r="AE11" s="178"/>
      <c r="AF11" s="188"/>
      <c r="AG11" s="146"/>
      <c r="AH11" s="147"/>
      <c r="AI11" s="148"/>
      <c r="AJ11" s="149"/>
      <c r="AK11" s="133"/>
      <c r="AL11" s="134"/>
      <c r="AM11" s="135"/>
      <c r="AN11" s="136"/>
      <c r="AO11" s="137"/>
      <c r="AP11" s="138"/>
    </row>
    <row r="12" ht="67.5" customHeight="1">
      <c r="A12" s="118"/>
      <c r="B12" s="177"/>
      <c r="C12" s="178"/>
      <c r="D12" s="178"/>
      <c r="E12" s="178"/>
      <c r="F12" s="179"/>
      <c r="G12" s="180"/>
      <c r="H12" s="178"/>
      <c r="I12" s="178"/>
      <c r="J12" s="178"/>
      <c r="K12" s="181"/>
      <c r="L12" s="181"/>
      <c r="M12" s="181"/>
      <c r="N12" s="182"/>
      <c r="O12" s="183"/>
      <c r="P12" s="190"/>
      <c r="Q12" s="185"/>
      <c r="R12" s="186"/>
      <c r="S12" s="190"/>
      <c r="T12" s="190"/>
      <c r="U12" s="190"/>
      <c r="V12" s="190"/>
      <c r="W12" s="187"/>
      <c r="X12" s="180"/>
      <c r="Y12" s="178"/>
      <c r="Z12" s="180"/>
      <c r="AA12" s="178"/>
      <c r="AB12" s="178"/>
      <c r="AC12" s="178"/>
      <c r="AD12" s="178"/>
      <c r="AE12" s="178"/>
      <c r="AF12" s="188"/>
      <c r="AG12" s="146"/>
      <c r="AH12" s="147"/>
      <c r="AI12" s="148"/>
      <c r="AJ12" s="149"/>
      <c r="AK12" s="133"/>
      <c r="AL12" s="134"/>
      <c r="AM12" s="135"/>
      <c r="AN12" s="136"/>
      <c r="AO12" s="137"/>
      <c r="AP12" s="138"/>
    </row>
    <row r="13" ht="67.5" customHeight="1">
      <c r="A13" s="118"/>
      <c r="B13" s="177"/>
      <c r="C13" s="178"/>
      <c r="D13" s="178"/>
      <c r="E13" s="178"/>
      <c r="F13" s="179"/>
      <c r="G13" s="180"/>
      <c r="H13" s="178"/>
      <c r="I13" s="178"/>
      <c r="J13" s="178"/>
      <c r="K13" s="181"/>
      <c r="L13" s="181"/>
      <c r="M13" s="181"/>
      <c r="N13" s="182"/>
      <c r="O13" s="183"/>
      <c r="P13" s="190"/>
      <c r="Q13" s="185"/>
      <c r="R13" s="186"/>
      <c r="S13" s="190"/>
      <c r="T13" s="190"/>
      <c r="U13" s="190"/>
      <c r="V13" s="190"/>
      <c r="W13" s="187"/>
      <c r="X13" s="180"/>
      <c r="Y13" s="178"/>
      <c r="Z13" s="180"/>
      <c r="AA13" s="178"/>
      <c r="AB13" s="178"/>
      <c r="AC13" s="178"/>
      <c r="AD13" s="178"/>
      <c r="AE13" s="178"/>
      <c r="AF13" s="188"/>
      <c r="AG13" s="146"/>
      <c r="AH13" s="147"/>
      <c r="AI13" s="148"/>
      <c r="AJ13" s="149"/>
      <c r="AK13" s="133"/>
      <c r="AL13" s="134"/>
      <c r="AM13" s="135"/>
      <c r="AN13" s="136"/>
      <c r="AO13" s="137"/>
      <c r="AP13" s="138"/>
    </row>
    <row r="14" ht="67.5" customHeight="1">
      <c r="A14" s="118"/>
      <c r="B14" s="177"/>
      <c r="C14" s="178"/>
      <c r="D14" s="178"/>
      <c r="E14" s="178"/>
      <c r="F14" s="179"/>
      <c r="G14" s="180"/>
      <c r="H14" s="178"/>
      <c r="I14" s="178"/>
      <c r="J14" s="178"/>
      <c r="K14" s="181"/>
      <c r="L14" s="181"/>
      <c r="M14" s="181"/>
      <c r="N14" s="182"/>
      <c r="O14" s="183"/>
      <c r="P14" s="190"/>
      <c r="Q14" s="185"/>
      <c r="R14" s="186"/>
      <c r="S14" s="190"/>
      <c r="T14" s="190"/>
      <c r="U14" s="190"/>
      <c r="V14" s="190"/>
      <c r="W14" s="187"/>
      <c r="X14" s="180"/>
      <c r="Y14" s="178"/>
      <c r="Z14" s="180"/>
      <c r="AA14" s="178"/>
      <c r="AB14" s="178"/>
      <c r="AC14" s="178"/>
      <c r="AD14" s="178"/>
      <c r="AE14" s="178"/>
      <c r="AF14" s="188"/>
      <c r="AG14" s="146"/>
      <c r="AH14" s="147"/>
      <c r="AI14" s="148"/>
      <c r="AJ14" s="149"/>
      <c r="AK14" s="133"/>
      <c r="AL14" s="134"/>
      <c r="AM14" s="135"/>
      <c r="AN14" s="136"/>
      <c r="AO14" s="137"/>
      <c r="AP14" s="138"/>
    </row>
    <row r="15" ht="67.5" customHeight="1">
      <c r="A15" s="118"/>
      <c r="B15" s="177"/>
      <c r="C15" s="178"/>
      <c r="D15" s="178"/>
      <c r="E15" s="178"/>
      <c r="F15" s="179"/>
      <c r="G15" s="180"/>
      <c r="H15" s="178"/>
      <c r="I15" s="178"/>
      <c r="J15" s="178"/>
      <c r="K15" s="181"/>
      <c r="L15" s="181"/>
      <c r="M15" s="181"/>
      <c r="N15" s="182"/>
      <c r="O15" s="183"/>
      <c r="P15" s="190"/>
      <c r="Q15" s="185"/>
      <c r="R15" s="186"/>
      <c r="S15" s="190"/>
      <c r="T15" s="190"/>
      <c r="U15" s="190"/>
      <c r="V15" s="190"/>
      <c r="W15" s="187"/>
      <c r="X15" s="180"/>
      <c r="Y15" s="178"/>
      <c r="Z15" s="180"/>
      <c r="AA15" s="178"/>
      <c r="AB15" s="178"/>
      <c r="AC15" s="178"/>
      <c r="AD15" s="178"/>
      <c r="AE15" s="178"/>
      <c r="AF15" s="188"/>
      <c r="AG15" s="146"/>
      <c r="AH15" s="147"/>
      <c r="AI15" s="148"/>
      <c r="AJ15" s="149"/>
      <c r="AK15" s="133"/>
      <c r="AL15" s="134"/>
      <c r="AM15" s="135"/>
      <c r="AN15" s="136"/>
      <c r="AO15" s="137"/>
      <c r="AP15" s="138"/>
    </row>
    <row r="16" ht="67.5" customHeight="1">
      <c r="A16" s="118"/>
      <c r="B16" s="177"/>
      <c r="C16" s="178"/>
      <c r="D16" s="178"/>
      <c r="E16" s="178"/>
      <c r="F16" s="179"/>
      <c r="G16" s="180"/>
      <c r="H16" s="178"/>
      <c r="I16" s="178"/>
      <c r="J16" s="178"/>
      <c r="K16" s="181"/>
      <c r="L16" s="181"/>
      <c r="M16" s="181"/>
      <c r="N16" s="182"/>
      <c r="O16" s="183"/>
      <c r="P16" s="190"/>
      <c r="Q16" s="185"/>
      <c r="R16" s="186"/>
      <c r="S16" s="190"/>
      <c r="T16" s="190"/>
      <c r="U16" s="190"/>
      <c r="V16" s="190"/>
      <c r="W16" s="187"/>
      <c r="X16" s="180"/>
      <c r="Y16" s="178"/>
      <c r="Z16" s="180"/>
      <c r="AA16" s="178"/>
      <c r="AB16" s="178"/>
      <c r="AC16" s="178"/>
      <c r="AD16" s="178"/>
      <c r="AE16" s="178"/>
      <c r="AF16" s="188"/>
      <c r="AG16" s="146"/>
      <c r="AH16" s="147"/>
      <c r="AI16" s="148"/>
      <c r="AJ16" s="149"/>
      <c r="AK16" s="133"/>
      <c r="AL16" s="134"/>
      <c r="AM16" s="135"/>
      <c r="AN16" s="136"/>
      <c r="AO16" s="137"/>
      <c r="AP16" s="138"/>
    </row>
    <row r="17" ht="67.5" customHeight="1">
      <c r="A17" s="118"/>
      <c r="B17" s="192"/>
      <c r="C17" s="193"/>
      <c r="D17" s="193"/>
      <c r="E17" s="193"/>
      <c r="F17" s="194"/>
      <c r="G17" s="195"/>
      <c r="H17" s="193"/>
      <c r="I17" s="193"/>
      <c r="J17" s="193"/>
      <c r="K17" s="196"/>
      <c r="L17" s="196"/>
      <c r="M17" s="196"/>
      <c r="N17" s="197"/>
      <c r="O17" s="198"/>
      <c r="P17" s="199"/>
      <c r="Q17" s="200"/>
      <c r="R17" s="201"/>
      <c r="S17" s="199"/>
      <c r="T17" s="199"/>
      <c r="U17" s="199"/>
      <c r="V17" s="199"/>
      <c r="W17" s="202"/>
      <c r="X17" s="195"/>
      <c r="Y17" s="193"/>
      <c r="Z17" s="195"/>
      <c r="AA17" s="193"/>
      <c r="AB17" s="193"/>
      <c r="AC17" s="193"/>
      <c r="AD17" s="193"/>
      <c r="AE17" s="193"/>
      <c r="AF17" s="203"/>
      <c r="AG17" s="161"/>
      <c r="AH17" s="162"/>
      <c r="AI17" s="163"/>
      <c r="AJ17" s="164"/>
      <c r="AK17" s="165"/>
      <c r="AL17" s="166"/>
      <c r="AM17" s="167"/>
      <c r="AN17" s="168"/>
      <c r="AO17" s="169"/>
      <c r="AP17" s="138"/>
    </row>
    <row r="18" ht="15.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170"/>
      <c r="AH18" s="170"/>
      <c r="AI18" s="170"/>
      <c r="AJ18" s="88"/>
      <c r="AK18" s="88"/>
      <c r="AL18" s="88"/>
      <c r="AM18" s="88"/>
      <c r="AN18" s="88"/>
      <c r="AO18" s="88"/>
      <c r="AP18" s="88"/>
    </row>
  </sheetData>
  <autoFilter ref="$A$3:$AP$8"/>
  <mergeCells count="4">
    <mergeCell ref="B1:C1"/>
    <mergeCell ref="AG2:AI2"/>
    <mergeCell ref="AJ2:AK2"/>
    <mergeCell ref="AL2:AO2"/>
  </mergeCells>
  <conditionalFormatting sqref="AM4:AM17 AK9:AK17">
    <cfRule type="cellIs" dxfId="2" priority="1" operator="greaterThan">
      <formula>0</formula>
    </cfRule>
  </conditionalFormatting>
  <conditionalFormatting sqref="AM4:AM17 AK9:AK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5 AJ4:AJ5 AG7 AJ7 AG9:AG17 AJ9:AJ17">
      <formula1>0.0</formula1>
      <formula2>5000000.0</formula2>
    </dataValidation>
  </dataValidations>
  <hyperlinks>
    <hyperlink display="Home" location="Home!A1" ref="B1"/>
    <hyperlink r:id="rId1" ref="AI4"/>
    <hyperlink r:id="rId2" ref="AI5"/>
    <hyperlink r:id="rId3" ref="AI7"/>
  </hyperlinks>
  <printOptions gridLines="1" horizontalCentered="1"/>
  <pageMargins bottom="0.75" footer="0.0" header="0.0" left="0.7" right="0.7" top="0.75"/>
  <pageSetup cellComments="atEnd" orientation="portrait" pageOrder="overThenDown"/>
  <drawing r:id="rId4"/>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21" width="15.75"/>
    <col customWidth="1" min="22" max="22" width="15.75"/>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25.25"/>
    <col customWidth="1" min="35" max="35" width="38.0"/>
    <col customWidth="1" min="36" max="36" width="21.75"/>
    <col customWidth="1" min="37" max="37" width="20.25"/>
    <col customWidth="1" min="38" max="38" width="15.75"/>
    <col customWidth="1" min="39" max="39" width="15.63"/>
    <col customWidth="1" min="40" max="40" width="16.38"/>
    <col customWidth="1" min="41" max="41" width="18.25"/>
    <col customWidth="1" min="42" max="42" width="3.88"/>
  </cols>
  <sheetData>
    <row r="1" ht="33.75" customHeight="1">
      <c r="A1" s="85"/>
      <c r="B1" s="86" t="s">
        <v>108</v>
      </c>
      <c r="C1" s="87"/>
      <c r="D1" s="88"/>
      <c r="E1" s="89"/>
      <c r="F1" s="90"/>
      <c r="G1" s="90"/>
      <c r="H1" s="90"/>
      <c r="I1" s="90"/>
      <c r="J1" s="90"/>
      <c r="K1" s="90"/>
      <c r="L1" s="90"/>
      <c r="M1" s="90"/>
      <c r="N1" s="90"/>
      <c r="O1" s="90"/>
      <c r="P1" s="90"/>
      <c r="Q1" s="90"/>
      <c r="R1" s="90"/>
      <c r="S1" s="90"/>
      <c r="T1" s="90"/>
      <c r="U1" s="90"/>
      <c r="V1" s="90"/>
      <c r="W1" s="90"/>
      <c r="X1" s="90"/>
      <c r="Y1" s="90"/>
      <c r="Z1" s="90"/>
      <c r="AA1" s="90"/>
      <c r="AB1" s="90"/>
      <c r="AC1" s="90"/>
      <c r="AD1" s="90"/>
      <c r="AE1" s="90"/>
      <c r="AF1" s="88"/>
      <c r="AG1" s="91" t="s">
        <v>109</v>
      </c>
      <c r="AH1" s="92">
        <v>1.0</v>
      </c>
      <c r="AI1" s="93" t="s">
        <v>110</v>
      </c>
      <c r="AJ1" s="94"/>
      <c r="AK1" s="95"/>
      <c r="AL1" s="96">
        <v>43466.0</v>
      </c>
      <c r="AM1" s="97">
        <f>Alertas!B6</f>
        <v>44582</v>
      </c>
      <c r="AN1" s="96">
        <f>TODAY()-1</f>
        <v>44714</v>
      </c>
      <c r="AO1" s="93"/>
      <c r="AP1" s="93"/>
    </row>
    <row r="2" ht="33.75" customHeight="1">
      <c r="A2" s="85"/>
      <c r="B2" s="88"/>
      <c r="C2" s="98"/>
      <c r="D2" s="99"/>
      <c r="E2" s="88"/>
      <c r="F2" s="100"/>
      <c r="G2" s="88"/>
      <c r="H2" s="88"/>
      <c r="I2" s="88"/>
      <c r="J2" s="88"/>
      <c r="K2" s="88"/>
      <c r="L2" s="88"/>
      <c r="M2" s="88"/>
      <c r="N2" s="88"/>
      <c r="O2" s="88"/>
      <c r="P2" s="88"/>
      <c r="Q2" s="88"/>
      <c r="R2" s="88"/>
      <c r="S2" s="88"/>
      <c r="T2" s="88"/>
      <c r="U2" s="88"/>
      <c r="V2" s="88"/>
      <c r="W2" s="88"/>
      <c r="X2" s="88"/>
      <c r="Y2" s="88"/>
      <c r="Z2" s="88"/>
      <c r="AA2" s="88"/>
      <c r="AB2" s="88"/>
      <c r="AC2" s="88"/>
      <c r="AD2" s="88"/>
      <c r="AE2" s="88"/>
      <c r="AF2" s="17"/>
      <c r="AG2" s="101" t="s">
        <v>111</v>
      </c>
      <c r="AH2" s="102"/>
      <c r="AI2" s="103"/>
      <c r="AJ2" s="104" t="s">
        <v>112</v>
      </c>
      <c r="AK2" s="103"/>
      <c r="AL2" s="104" t="s">
        <v>113</v>
      </c>
      <c r="AM2" s="102"/>
      <c r="AN2" s="102"/>
      <c r="AO2" s="103"/>
      <c r="AP2" s="105"/>
    </row>
    <row r="3" ht="33.75" customHeight="1">
      <c r="A3" s="106"/>
      <c r="B3" s="171" t="s">
        <v>40</v>
      </c>
      <c r="C3" s="172" t="s">
        <v>41</v>
      </c>
      <c r="D3" s="173" t="s">
        <v>42</v>
      </c>
      <c r="E3" s="173" t="s">
        <v>43</v>
      </c>
      <c r="F3" s="174" t="s">
        <v>44</v>
      </c>
      <c r="G3" s="175" t="s">
        <v>45</v>
      </c>
      <c r="H3" s="173" t="s">
        <v>46</v>
      </c>
      <c r="I3" s="175" t="s">
        <v>47</v>
      </c>
      <c r="J3" s="175" t="s">
        <v>48</v>
      </c>
      <c r="K3" s="175" t="s">
        <v>49</v>
      </c>
      <c r="L3" s="175" t="s">
        <v>50</v>
      </c>
      <c r="M3" s="173" t="s">
        <v>51</v>
      </c>
      <c r="N3" s="173" t="s">
        <v>52</v>
      </c>
      <c r="O3" s="175" t="s">
        <v>53</v>
      </c>
      <c r="P3" s="175" t="s">
        <v>54</v>
      </c>
      <c r="Q3" s="173" t="s">
        <v>55</v>
      </c>
      <c r="R3" s="173" t="s">
        <v>56</v>
      </c>
      <c r="S3" s="175" t="s">
        <v>57</v>
      </c>
      <c r="T3" s="175" t="s">
        <v>58</v>
      </c>
      <c r="U3" s="175" t="s">
        <v>59</v>
      </c>
      <c r="V3" s="175" t="s">
        <v>60</v>
      </c>
      <c r="W3" s="173" t="s">
        <v>61</v>
      </c>
      <c r="X3" s="172" t="s">
        <v>62</v>
      </c>
      <c r="Y3" s="172" t="s">
        <v>63</v>
      </c>
      <c r="Z3" s="172" t="s">
        <v>64</v>
      </c>
      <c r="AA3" s="172" t="s">
        <v>65</v>
      </c>
      <c r="AB3" s="172" t="s">
        <v>66</v>
      </c>
      <c r="AC3" s="172" t="s">
        <v>67</v>
      </c>
      <c r="AD3" s="172" t="s">
        <v>68</v>
      </c>
      <c r="AE3" s="172" t="s">
        <v>69</v>
      </c>
      <c r="AF3" s="176" t="s">
        <v>70</v>
      </c>
      <c r="AG3" s="113" t="s">
        <v>71</v>
      </c>
      <c r="AH3" s="114" t="s">
        <v>72</v>
      </c>
      <c r="AI3" s="115" t="s">
        <v>73</v>
      </c>
      <c r="AJ3" s="116" t="s">
        <v>114</v>
      </c>
      <c r="AK3" s="117" t="s">
        <v>115</v>
      </c>
      <c r="AL3" s="113" t="s">
        <v>74</v>
      </c>
      <c r="AM3" s="114" t="s">
        <v>116</v>
      </c>
      <c r="AN3" s="114" t="s">
        <v>76</v>
      </c>
      <c r="AO3" s="117" t="s">
        <v>117</v>
      </c>
      <c r="AP3" s="105"/>
    </row>
    <row r="4" ht="67.5" customHeight="1">
      <c r="A4" s="118"/>
      <c r="B4" s="177">
        <v>82.0</v>
      </c>
      <c r="C4" s="178" t="s">
        <v>612</v>
      </c>
      <c r="D4" s="178" t="s">
        <v>228</v>
      </c>
      <c r="E4" s="178" t="s">
        <v>119</v>
      </c>
      <c r="F4" s="179">
        <v>2.018011000241E12</v>
      </c>
      <c r="G4" s="180" t="s">
        <v>120</v>
      </c>
      <c r="H4" s="178" t="s">
        <v>144</v>
      </c>
      <c r="I4" s="178" t="s">
        <v>145</v>
      </c>
      <c r="J4" s="178" t="s">
        <v>154</v>
      </c>
      <c r="K4" s="181" t="s">
        <v>147</v>
      </c>
      <c r="L4" s="181" t="s">
        <v>125</v>
      </c>
      <c r="M4" s="181" t="s">
        <v>148</v>
      </c>
      <c r="N4" s="182" t="s">
        <v>613</v>
      </c>
      <c r="O4" s="183"/>
      <c r="P4" s="184">
        <v>1.0</v>
      </c>
      <c r="Q4" s="185" t="s">
        <v>614</v>
      </c>
      <c r="R4" s="186" t="s">
        <v>157</v>
      </c>
      <c r="S4" s="184">
        <v>0.0</v>
      </c>
      <c r="T4" s="184">
        <v>0.5</v>
      </c>
      <c r="U4" s="184">
        <v>0.0</v>
      </c>
      <c r="V4" s="184">
        <v>0.5</v>
      </c>
      <c r="W4" s="187" t="s">
        <v>228</v>
      </c>
      <c r="X4" s="180" t="s">
        <v>615</v>
      </c>
      <c r="Y4" s="178" t="s">
        <v>616</v>
      </c>
      <c r="Z4" s="180" t="s">
        <v>617</v>
      </c>
      <c r="AA4" s="178" t="s">
        <v>302</v>
      </c>
      <c r="AB4" s="178" t="s">
        <v>618</v>
      </c>
      <c r="AC4" s="178" t="s">
        <v>135</v>
      </c>
      <c r="AD4" s="178" t="s">
        <v>228</v>
      </c>
      <c r="AE4" s="178" t="s">
        <v>228</v>
      </c>
      <c r="AF4" s="188" t="s">
        <v>138</v>
      </c>
      <c r="AG4" s="189">
        <v>0.5</v>
      </c>
      <c r="AH4" s="221" t="s">
        <v>619</v>
      </c>
      <c r="AI4" s="227" t="s">
        <v>620</v>
      </c>
      <c r="AJ4" s="189">
        <v>1.0</v>
      </c>
      <c r="AK4" s="221" t="s">
        <v>619</v>
      </c>
      <c r="AL4" s="134">
        <f t="shared" ref="AL4:AL7" si="1">$AM$1</f>
        <v>44582</v>
      </c>
      <c r="AM4" s="135">
        <f t="shared" ref="AM4:AM7" si="2">AL4-$AN$1</f>
        <v>-132</v>
      </c>
      <c r="AN4" s="136" t="str">
        <f t="shared" ref="AN4:AN7" si="3">IF(ISBLANK(AG4),"Pend. Ejec. Trim."&amp;CHAR(10),)&amp;
IF(ISBLANK(AH4),"Pend. Just. Trim."&amp;CHAR(10),)&amp;
IF(ISBLANK(AI4),"Pend. Evid. Trim."&amp;CHAR(10),)&amp;
IF(ISBLANK(AJ4),"Pend. Ejec. Año"&amp;CHAR(10),)&amp;
IF(ISBLANK(AK4),"Pend. Evid. Año",)&amp;
IF(OR(ISBLANK(AG4),ISBLANK(AH4),ISBLANK(AI4),ISBLANK(AJ4),ISBLANK(AK4)),,"Reporte ok")</f>
        <v>Reporte ok</v>
      </c>
      <c r="AO4" s="137"/>
      <c r="AP4" s="138"/>
    </row>
    <row r="5" ht="67.5" customHeight="1">
      <c r="A5" s="118"/>
      <c r="B5" s="177">
        <v>83.0</v>
      </c>
      <c r="C5" s="178" t="s">
        <v>612</v>
      </c>
      <c r="D5" s="178" t="s">
        <v>228</v>
      </c>
      <c r="E5" s="178" t="s">
        <v>119</v>
      </c>
      <c r="F5" s="179">
        <v>2.018011000241E12</v>
      </c>
      <c r="G5" s="180" t="s">
        <v>120</v>
      </c>
      <c r="H5" s="178" t="s">
        <v>144</v>
      </c>
      <c r="I5" s="178" t="s">
        <v>145</v>
      </c>
      <c r="J5" s="178" t="s">
        <v>154</v>
      </c>
      <c r="K5" s="181" t="s">
        <v>147</v>
      </c>
      <c r="L5" s="181" t="s">
        <v>125</v>
      </c>
      <c r="M5" s="181" t="s">
        <v>148</v>
      </c>
      <c r="N5" s="182" t="s">
        <v>621</v>
      </c>
      <c r="O5" s="183"/>
      <c r="P5" s="184">
        <v>1.0</v>
      </c>
      <c r="Q5" s="185" t="s">
        <v>622</v>
      </c>
      <c r="R5" s="186" t="s">
        <v>128</v>
      </c>
      <c r="S5" s="184">
        <v>0.0</v>
      </c>
      <c r="T5" s="184">
        <v>0.0</v>
      </c>
      <c r="U5" s="184">
        <v>0.0</v>
      </c>
      <c r="V5" s="184">
        <v>1.0</v>
      </c>
      <c r="W5" s="187" t="s">
        <v>228</v>
      </c>
      <c r="X5" s="180" t="s">
        <v>615</v>
      </c>
      <c r="Y5" s="178" t="s">
        <v>616</v>
      </c>
      <c r="Z5" s="180" t="s">
        <v>617</v>
      </c>
      <c r="AA5" s="178" t="s">
        <v>302</v>
      </c>
      <c r="AB5" s="178" t="s">
        <v>623</v>
      </c>
      <c r="AC5" s="178" t="s">
        <v>135</v>
      </c>
      <c r="AD5" s="178" t="s">
        <v>228</v>
      </c>
      <c r="AE5" s="178" t="s">
        <v>228</v>
      </c>
      <c r="AF5" s="188" t="s">
        <v>138</v>
      </c>
      <c r="AG5" s="189">
        <v>1.0</v>
      </c>
      <c r="AH5" s="221" t="s">
        <v>619</v>
      </c>
      <c r="AI5" s="227" t="s">
        <v>624</v>
      </c>
      <c r="AJ5" s="189">
        <v>1.0</v>
      </c>
      <c r="AK5" s="221" t="s">
        <v>619</v>
      </c>
      <c r="AL5" s="134">
        <f t="shared" si="1"/>
        <v>44582</v>
      </c>
      <c r="AM5" s="135">
        <f t="shared" si="2"/>
        <v>-132</v>
      </c>
      <c r="AN5" s="136" t="str">
        <f t="shared" si="3"/>
        <v>Reporte ok</v>
      </c>
      <c r="AO5" s="137"/>
      <c r="AP5" s="138"/>
    </row>
    <row r="6" ht="67.5" customHeight="1">
      <c r="A6" s="118"/>
      <c r="B6" s="177">
        <v>84.0</v>
      </c>
      <c r="C6" s="178" t="s">
        <v>612</v>
      </c>
      <c r="D6" s="178" t="s">
        <v>228</v>
      </c>
      <c r="E6" s="178" t="s">
        <v>119</v>
      </c>
      <c r="F6" s="179">
        <v>2.018011000241E12</v>
      </c>
      <c r="G6" s="180" t="s">
        <v>120</v>
      </c>
      <c r="H6" s="178" t="s">
        <v>144</v>
      </c>
      <c r="I6" s="178" t="s">
        <v>625</v>
      </c>
      <c r="J6" s="178" t="s">
        <v>626</v>
      </c>
      <c r="K6" s="181" t="s">
        <v>147</v>
      </c>
      <c r="L6" s="181" t="s">
        <v>125</v>
      </c>
      <c r="M6" s="181" t="s">
        <v>148</v>
      </c>
      <c r="N6" s="182" t="s">
        <v>627</v>
      </c>
      <c r="O6" s="183"/>
      <c r="P6" s="184">
        <v>1.0</v>
      </c>
      <c r="Q6" s="185" t="s">
        <v>628</v>
      </c>
      <c r="R6" s="186" t="s">
        <v>128</v>
      </c>
      <c r="S6" s="184">
        <v>0.0</v>
      </c>
      <c r="T6" s="184">
        <v>0.0</v>
      </c>
      <c r="U6" s="184">
        <v>0.0</v>
      </c>
      <c r="V6" s="184">
        <v>1.0</v>
      </c>
      <c r="W6" s="187" t="s">
        <v>228</v>
      </c>
      <c r="X6" s="180" t="s">
        <v>615</v>
      </c>
      <c r="Y6" s="178" t="s">
        <v>616</v>
      </c>
      <c r="Z6" s="180" t="s">
        <v>617</v>
      </c>
      <c r="AA6" s="178" t="s">
        <v>302</v>
      </c>
      <c r="AB6" s="178" t="s">
        <v>629</v>
      </c>
      <c r="AC6" s="178" t="s">
        <v>135</v>
      </c>
      <c r="AD6" s="178" t="s">
        <v>228</v>
      </c>
      <c r="AE6" s="178" t="s">
        <v>228</v>
      </c>
      <c r="AF6" s="188" t="s">
        <v>138</v>
      </c>
      <c r="AG6" s="189">
        <v>1.0</v>
      </c>
      <c r="AH6" s="221" t="s">
        <v>619</v>
      </c>
      <c r="AI6" s="230" t="s">
        <v>630</v>
      </c>
      <c r="AJ6" s="189">
        <v>1.0</v>
      </c>
      <c r="AK6" s="221" t="s">
        <v>619</v>
      </c>
      <c r="AL6" s="134">
        <f t="shared" si="1"/>
        <v>44582</v>
      </c>
      <c r="AM6" s="135">
        <f t="shared" si="2"/>
        <v>-132</v>
      </c>
      <c r="AN6" s="136" t="str">
        <f t="shared" si="3"/>
        <v>Reporte ok</v>
      </c>
      <c r="AO6" s="137"/>
      <c r="AP6" s="138"/>
    </row>
    <row r="7" ht="67.5" customHeight="1">
      <c r="A7" s="118"/>
      <c r="B7" s="177">
        <v>85.0</v>
      </c>
      <c r="C7" s="178" t="s">
        <v>612</v>
      </c>
      <c r="D7" s="178" t="s">
        <v>228</v>
      </c>
      <c r="E7" s="178" t="s">
        <v>119</v>
      </c>
      <c r="F7" s="179">
        <v>2.018011000241E12</v>
      </c>
      <c r="G7" s="180" t="s">
        <v>120</v>
      </c>
      <c r="H7" s="178" t="s">
        <v>144</v>
      </c>
      <c r="I7" s="178" t="s">
        <v>145</v>
      </c>
      <c r="J7" s="178" t="s">
        <v>154</v>
      </c>
      <c r="K7" s="181" t="s">
        <v>147</v>
      </c>
      <c r="L7" s="181" t="s">
        <v>125</v>
      </c>
      <c r="M7" s="181" t="s">
        <v>148</v>
      </c>
      <c r="N7" s="182" t="s">
        <v>631</v>
      </c>
      <c r="O7" s="183"/>
      <c r="P7" s="184">
        <v>1.0</v>
      </c>
      <c r="Q7" s="185" t="s">
        <v>632</v>
      </c>
      <c r="R7" s="186" t="s">
        <v>170</v>
      </c>
      <c r="S7" s="184">
        <v>0.25</v>
      </c>
      <c r="T7" s="184">
        <v>0.25</v>
      </c>
      <c r="U7" s="184">
        <v>0.25</v>
      </c>
      <c r="V7" s="184">
        <v>0.25</v>
      </c>
      <c r="W7" s="187" t="s">
        <v>228</v>
      </c>
      <c r="X7" s="180" t="s">
        <v>615</v>
      </c>
      <c r="Y7" s="178" t="s">
        <v>616</v>
      </c>
      <c r="Z7" s="180" t="s">
        <v>617</v>
      </c>
      <c r="AA7" s="178" t="s">
        <v>302</v>
      </c>
      <c r="AB7" s="178" t="s">
        <v>633</v>
      </c>
      <c r="AC7" s="178" t="s">
        <v>135</v>
      </c>
      <c r="AD7" s="178" t="s">
        <v>228</v>
      </c>
      <c r="AE7" s="178" t="s">
        <v>228</v>
      </c>
      <c r="AF7" s="188" t="s">
        <v>138</v>
      </c>
      <c r="AG7" s="189">
        <v>0.25</v>
      </c>
      <c r="AH7" s="221" t="s">
        <v>619</v>
      </c>
      <c r="AI7" s="230" t="s">
        <v>634</v>
      </c>
      <c r="AJ7" s="189">
        <v>1.0</v>
      </c>
      <c r="AK7" s="221" t="s">
        <v>619</v>
      </c>
      <c r="AL7" s="134">
        <f t="shared" si="1"/>
        <v>44582</v>
      </c>
      <c r="AM7" s="135">
        <f t="shared" si="2"/>
        <v>-132</v>
      </c>
      <c r="AN7" s="136" t="str">
        <f t="shared" si="3"/>
        <v>Reporte ok</v>
      </c>
      <c r="AO7" s="137"/>
      <c r="AP7" s="138"/>
    </row>
    <row r="8" ht="67.5" customHeight="1">
      <c r="A8" s="118"/>
      <c r="B8" s="177"/>
      <c r="C8" s="178"/>
      <c r="D8" s="178"/>
      <c r="E8" s="178"/>
      <c r="F8" s="179"/>
      <c r="G8" s="180"/>
      <c r="H8" s="178"/>
      <c r="I8" s="178"/>
      <c r="J8" s="178"/>
      <c r="K8" s="181"/>
      <c r="L8" s="181"/>
      <c r="M8" s="181"/>
      <c r="N8" s="182"/>
      <c r="O8" s="183"/>
      <c r="P8" s="190"/>
      <c r="Q8" s="185"/>
      <c r="R8" s="186"/>
      <c r="S8" s="190"/>
      <c r="T8" s="190"/>
      <c r="U8" s="190"/>
      <c r="V8" s="190"/>
      <c r="W8" s="187"/>
      <c r="X8" s="180"/>
      <c r="Y8" s="178"/>
      <c r="Z8" s="180"/>
      <c r="AA8" s="178"/>
      <c r="AB8" s="178"/>
      <c r="AC8" s="178"/>
      <c r="AD8" s="178"/>
      <c r="AE8" s="178"/>
      <c r="AF8" s="188"/>
      <c r="AG8" s="146"/>
      <c r="AH8" s="147"/>
      <c r="AI8" s="148"/>
      <c r="AJ8" s="149"/>
      <c r="AK8" s="133"/>
      <c r="AL8" s="134"/>
      <c r="AM8" s="135"/>
      <c r="AN8" s="136"/>
      <c r="AO8" s="137"/>
      <c r="AP8" s="138"/>
    </row>
    <row r="9" ht="67.5" customHeight="1">
      <c r="A9" s="118"/>
      <c r="B9" s="177"/>
      <c r="C9" s="178"/>
      <c r="D9" s="178"/>
      <c r="E9" s="178"/>
      <c r="F9" s="179"/>
      <c r="G9" s="180"/>
      <c r="H9" s="178"/>
      <c r="I9" s="178"/>
      <c r="J9" s="178"/>
      <c r="K9" s="181"/>
      <c r="L9" s="181"/>
      <c r="M9" s="181"/>
      <c r="N9" s="182"/>
      <c r="O9" s="183"/>
      <c r="P9" s="190"/>
      <c r="Q9" s="185"/>
      <c r="R9" s="186"/>
      <c r="S9" s="190"/>
      <c r="T9" s="190"/>
      <c r="U9" s="190"/>
      <c r="V9" s="190"/>
      <c r="W9" s="187"/>
      <c r="X9" s="180"/>
      <c r="Y9" s="178"/>
      <c r="Z9" s="180"/>
      <c r="AA9" s="178"/>
      <c r="AB9" s="178"/>
      <c r="AC9" s="178"/>
      <c r="AD9" s="178"/>
      <c r="AE9" s="178"/>
      <c r="AF9" s="188"/>
      <c r="AG9" s="146"/>
      <c r="AH9" s="147"/>
      <c r="AI9" s="148"/>
      <c r="AJ9" s="149"/>
      <c r="AK9" s="133"/>
      <c r="AL9" s="134"/>
      <c r="AM9" s="135"/>
      <c r="AN9" s="136"/>
      <c r="AO9" s="137"/>
      <c r="AP9" s="138"/>
    </row>
    <row r="10" ht="67.5" customHeight="1">
      <c r="A10" s="118"/>
      <c r="B10" s="177"/>
      <c r="C10" s="178"/>
      <c r="D10" s="178"/>
      <c r="E10" s="178"/>
      <c r="F10" s="179"/>
      <c r="G10" s="180"/>
      <c r="H10" s="178"/>
      <c r="I10" s="178"/>
      <c r="J10" s="178"/>
      <c r="K10" s="181"/>
      <c r="L10" s="181"/>
      <c r="M10" s="181"/>
      <c r="N10" s="182"/>
      <c r="O10" s="183"/>
      <c r="P10" s="190"/>
      <c r="Q10" s="185"/>
      <c r="R10" s="186"/>
      <c r="S10" s="190"/>
      <c r="T10" s="190"/>
      <c r="U10" s="190"/>
      <c r="V10" s="190"/>
      <c r="W10" s="187"/>
      <c r="X10" s="180"/>
      <c r="Y10" s="178"/>
      <c r="Z10" s="180"/>
      <c r="AA10" s="178"/>
      <c r="AB10" s="178"/>
      <c r="AC10" s="178"/>
      <c r="AD10" s="178"/>
      <c r="AE10" s="178"/>
      <c r="AF10" s="188"/>
      <c r="AG10" s="146"/>
      <c r="AH10" s="147"/>
      <c r="AI10" s="148"/>
      <c r="AJ10" s="149"/>
      <c r="AK10" s="133"/>
      <c r="AL10" s="134"/>
      <c r="AM10" s="135"/>
      <c r="AN10" s="136"/>
      <c r="AO10" s="137"/>
      <c r="AP10" s="138"/>
    </row>
    <row r="11" ht="67.5" customHeight="1">
      <c r="A11" s="118"/>
      <c r="B11" s="177"/>
      <c r="C11" s="178"/>
      <c r="D11" s="178"/>
      <c r="E11" s="178"/>
      <c r="F11" s="179"/>
      <c r="G11" s="180"/>
      <c r="H11" s="178"/>
      <c r="I11" s="178"/>
      <c r="J11" s="178"/>
      <c r="K11" s="181"/>
      <c r="L11" s="181"/>
      <c r="M11" s="181"/>
      <c r="N11" s="182"/>
      <c r="O11" s="183"/>
      <c r="P11" s="190"/>
      <c r="Q11" s="185"/>
      <c r="R11" s="186"/>
      <c r="S11" s="190"/>
      <c r="T11" s="190"/>
      <c r="U11" s="190"/>
      <c r="V11" s="190"/>
      <c r="W11" s="187"/>
      <c r="X11" s="180"/>
      <c r="Y11" s="178"/>
      <c r="Z11" s="180"/>
      <c r="AA11" s="178"/>
      <c r="AB11" s="178"/>
      <c r="AC11" s="178"/>
      <c r="AD11" s="178"/>
      <c r="AE11" s="178"/>
      <c r="AF11" s="188"/>
      <c r="AG11" s="146"/>
      <c r="AH11" s="147"/>
      <c r="AI11" s="148"/>
      <c r="AJ11" s="149"/>
      <c r="AK11" s="133"/>
      <c r="AL11" s="134"/>
      <c r="AM11" s="135"/>
      <c r="AN11" s="136"/>
      <c r="AO11" s="137"/>
      <c r="AP11" s="138"/>
    </row>
    <row r="12" ht="67.5" customHeight="1">
      <c r="A12" s="118"/>
      <c r="B12" s="177"/>
      <c r="C12" s="178"/>
      <c r="D12" s="178"/>
      <c r="E12" s="178"/>
      <c r="F12" s="179"/>
      <c r="G12" s="180"/>
      <c r="H12" s="178"/>
      <c r="I12" s="178"/>
      <c r="J12" s="178"/>
      <c r="K12" s="181"/>
      <c r="L12" s="181"/>
      <c r="M12" s="181"/>
      <c r="N12" s="182"/>
      <c r="O12" s="183"/>
      <c r="P12" s="190"/>
      <c r="Q12" s="185"/>
      <c r="R12" s="186"/>
      <c r="S12" s="190"/>
      <c r="T12" s="190"/>
      <c r="U12" s="190"/>
      <c r="V12" s="190"/>
      <c r="W12" s="187"/>
      <c r="X12" s="180"/>
      <c r="Y12" s="178"/>
      <c r="Z12" s="180"/>
      <c r="AA12" s="178"/>
      <c r="AB12" s="178"/>
      <c r="AC12" s="178"/>
      <c r="AD12" s="178"/>
      <c r="AE12" s="178"/>
      <c r="AF12" s="188"/>
      <c r="AG12" s="146"/>
      <c r="AH12" s="147"/>
      <c r="AI12" s="148"/>
      <c r="AJ12" s="149"/>
      <c r="AK12" s="133"/>
      <c r="AL12" s="134"/>
      <c r="AM12" s="135"/>
      <c r="AN12" s="136"/>
      <c r="AO12" s="137"/>
      <c r="AP12" s="138"/>
    </row>
    <row r="13" ht="67.5" customHeight="1">
      <c r="A13" s="118"/>
      <c r="B13" s="177"/>
      <c r="C13" s="178"/>
      <c r="D13" s="178"/>
      <c r="E13" s="178"/>
      <c r="F13" s="179"/>
      <c r="G13" s="180"/>
      <c r="H13" s="178"/>
      <c r="I13" s="178"/>
      <c r="J13" s="178"/>
      <c r="K13" s="181"/>
      <c r="L13" s="181"/>
      <c r="M13" s="181"/>
      <c r="N13" s="182"/>
      <c r="O13" s="183"/>
      <c r="P13" s="190"/>
      <c r="Q13" s="185"/>
      <c r="R13" s="186"/>
      <c r="S13" s="190"/>
      <c r="T13" s="190"/>
      <c r="U13" s="190"/>
      <c r="V13" s="190"/>
      <c r="W13" s="187"/>
      <c r="X13" s="180"/>
      <c r="Y13" s="178"/>
      <c r="Z13" s="180"/>
      <c r="AA13" s="178"/>
      <c r="AB13" s="178"/>
      <c r="AC13" s="178"/>
      <c r="AD13" s="178"/>
      <c r="AE13" s="178"/>
      <c r="AF13" s="188"/>
      <c r="AG13" s="146"/>
      <c r="AH13" s="147"/>
      <c r="AI13" s="148"/>
      <c r="AJ13" s="149"/>
      <c r="AK13" s="133"/>
      <c r="AL13" s="134"/>
      <c r="AM13" s="135"/>
      <c r="AN13" s="136"/>
      <c r="AO13" s="137"/>
      <c r="AP13" s="138"/>
    </row>
    <row r="14" ht="67.5" customHeight="1">
      <c r="A14" s="118"/>
      <c r="B14" s="177"/>
      <c r="C14" s="178"/>
      <c r="D14" s="178"/>
      <c r="E14" s="178"/>
      <c r="F14" s="179"/>
      <c r="G14" s="180"/>
      <c r="H14" s="178"/>
      <c r="I14" s="178"/>
      <c r="J14" s="178"/>
      <c r="K14" s="181"/>
      <c r="L14" s="181"/>
      <c r="M14" s="181"/>
      <c r="N14" s="182"/>
      <c r="O14" s="183"/>
      <c r="P14" s="190"/>
      <c r="Q14" s="185"/>
      <c r="R14" s="186"/>
      <c r="S14" s="190"/>
      <c r="T14" s="190"/>
      <c r="U14" s="190"/>
      <c r="V14" s="190"/>
      <c r="W14" s="187"/>
      <c r="X14" s="180"/>
      <c r="Y14" s="178"/>
      <c r="Z14" s="180"/>
      <c r="AA14" s="178"/>
      <c r="AB14" s="178"/>
      <c r="AC14" s="178"/>
      <c r="AD14" s="178"/>
      <c r="AE14" s="178"/>
      <c r="AF14" s="188"/>
      <c r="AG14" s="146"/>
      <c r="AH14" s="147"/>
      <c r="AI14" s="148"/>
      <c r="AJ14" s="149"/>
      <c r="AK14" s="133"/>
      <c r="AL14" s="134"/>
      <c r="AM14" s="135"/>
      <c r="AN14" s="136"/>
      <c r="AO14" s="137"/>
      <c r="AP14" s="138"/>
    </row>
    <row r="15" ht="67.5" customHeight="1">
      <c r="A15" s="118"/>
      <c r="B15" s="177"/>
      <c r="C15" s="178"/>
      <c r="D15" s="178"/>
      <c r="E15" s="178"/>
      <c r="F15" s="179"/>
      <c r="G15" s="180"/>
      <c r="H15" s="178"/>
      <c r="I15" s="178"/>
      <c r="J15" s="178"/>
      <c r="K15" s="181"/>
      <c r="L15" s="181"/>
      <c r="M15" s="181"/>
      <c r="N15" s="182"/>
      <c r="O15" s="183"/>
      <c r="P15" s="190"/>
      <c r="Q15" s="185"/>
      <c r="R15" s="186"/>
      <c r="S15" s="190"/>
      <c r="T15" s="190"/>
      <c r="U15" s="190"/>
      <c r="V15" s="190"/>
      <c r="W15" s="187"/>
      <c r="X15" s="180"/>
      <c r="Y15" s="178"/>
      <c r="Z15" s="180"/>
      <c r="AA15" s="178"/>
      <c r="AB15" s="178"/>
      <c r="AC15" s="178"/>
      <c r="AD15" s="178"/>
      <c r="AE15" s="178"/>
      <c r="AF15" s="188"/>
      <c r="AG15" s="146"/>
      <c r="AH15" s="147"/>
      <c r="AI15" s="148"/>
      <c r="AJ15" s="149"/>
      <c r="AK15" s="133"/>
      <c r="AL15" s="134"/>
      <c r="AM15" s="135"/>
      <c r="AN15" s="136"/>
      <c r="AO15" s="137"/>
      <c r="AP15" s="138"/>
    </row>
    <row r="16" ht="67.5" customHeight="1">
      <c r="A16" s="118"/>
      <c r="B16" s="177"/>
      <c r="C16" s="178"/>
      <c r="D16" s="178"/>
      <c r="E16" s="178"/>
      <c r="F16" s="179"/>
      <c r="G16" s="180"/>
      <c r="H16" s="178"/>
      <c r="I16" s="178"/>
      <c r="J16" s="178"/>
      <c r="K16" s="181"/>
      <c r="L16" s="181"/>
      <c r="M16" s="181"/>
      <c r="N16" s="182"/>
      <c r="O16" s="183"/>
      <c r="P16" s="190"/>
      <c r="Q16" s="185"/>
      <c r="R16" s="186"/>
      <c r="S16" s="190"/>
      <c r="T16" s="190"/>
      <c r="U16" s="190"/>
      <c r="V16" s="190"/>
      <c r="W16" s="187"/>
      <c r="X16" s="180"/>
      <c r="Y16" s="178"/>
      <c r="Z16" s="180"/>
      <c r="AA16" s="178"/>
      <c r="AB16" s="178"/>
      <c r="AC16" s="178"/>
      <c r="AD16" s="178"/>
      <c r="AE16" s="178"/>
      <c r="AF16" s="188"/>
      <c r="AG16" s="146"/>
      <c r="AH16" s="147"/>
      <c r="AI16" s="148"/>
      <c r="AJ16" s="149"/>
      <c r="AK16" s="133"/>
      <c r="AL16" s="134"/>
      <c r="AM16" s="135"/>
      <c r="AN16" s="136"/>
      <c r="AO16" s="137"/>
      <c r="AP16" s="138"/>
    </row>
    <row r="17" ht="67.5" customHeight="1">
      <c r="A17" s="118"/>
      <c r="B17" s="192"/>
      <c r="C17" s="193"/>
      <c r="D17" s="193"/>
      <c r="E17" s="193"/>
      <c r="F17" s="194"/>
      <c r="G17" s="195"/>
      <c r="H17" s="193"/>
      <c r="I17" s="193"/>
      <c r="J17" s="193"/>
      <c r="K17" s="196"/>
      <c r="L17" s="196"/>
      <c r="M17" s="196"/>
      <c r="N17" s="197"/>
      <c r="O17" s="198"/>
      <c r="P17" s="199"/>
      <c r="Q17" s="200"/>
      <c r="R17" s="201"/>
      <c r="S17" s="199"/>
      <c r="T17" s="199"/>
      <c r="U17" s="199"/>
      <c r="V17" s="199"/>
      <c r="W17" s="202"/>
      <c r="X17" s="195"/>
      <c r="Y17" s="193"/>
      <c r="Z17" s="195"/>
      <c r="AA17" s="193"/>
      <c r="AB17" s="193"/>
      <c r="AC17" s="193"/>
      <c r="AD17" s="193"/>
      <c r="AE17" s="193"/>
      <c r="AF17" s="203"/>
      <c r="AG17" s="161"/>
      <c r="AH17" s="162"/>
      <c r="AI17" s="163"/>
      <c r="AJ17" s="164"/>
      <c r="AK17" s="165"/>
      <c r="AL17" s="166"/>
      <c r="AM17" s="167"/>
      <c r="AN17" s="168"/>
      <c r="AO17" s="169"/>
      <c r="AP17" s="138"/>
    </row>
    <row r="18" ht="15.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170"/>
      <c r="AH18" s="170"/>
      <c r="AI18" s="170"/>
      <c r="AJ18" s="88"/>
      <c r="AK18" s="88"/>
      <c r="AL18" s="88"/>
      <c r="AM18" s="88"/>
      <c r="AN18" s="88"/>
      <c r="AO18" s="88"/>
      <c r="AP18" s="88"/>
    </row>
  </sheetData>
  <autoFilter ref="$A$3:$AP$7"/>
  <mergeCells count="4">
    <mergeCell ref="B1:C1"/>
    <mergeCell ref="AG2:AI2"/>
    <mergeCell ref="AJ2:AK2"/>
    <mergeCell ref="AL2:AO2"/>
  </mergeCells>
  <conditionalFormatting sqref="AM4:AM17 AK8:AK17">
    <cfRule type="cellIs" dxfId="2" priority="1" operator="greaterThan">
      <formula>0</formula>
    </cfRule>
  </conditionalFormatting>
  <conditionalFormatting sqref="AM4:AM17 AK8:AK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AJ4:AJ17">
      <formula1>0.0</formula1>
      <formula2>5000000.0</formula2>
    </dataValidation>
  </dataValidations>
  <hyperlinks>
    <hyperlink display="Home" location="Home!A1" ref="B1"/>
    <hyperlink r:id="rId1" ref="AI4"/>
    <hyperlink r:id="rId2" ref="AI5"/>
    <hyperlink r:id="rId3" ref="AI6"/>
    <hyperlink r:id="rId4" ref="AI7"/>
  </hyperlinks>
  <printOptions gridLines="1" horizontalCentered="1"/>
  <pageMargins bottom="0.75" footer="0.0" header="0.0" left="0.7" right="0.7" top="0.75"/>
  <pageSetup cellComments="atEnd" orientation="portrait" pageOrder="overThenDown"/>
  <drawing r:id="rId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63"/>
    <col customWidth="1" min="2" max="2" width="35.5"/>
    <col customWidth="1" min="3" max="6" width="12.63"/>
    <col customWidth="1" min="7" max="7" width="16.63"/>
    <col customWidth="1" min="8" max="8" width="2.63"/>
    <col hidden="1" min="9" max="26" width="12.63"/>
  </cols>
  <sheetData>
    <row r="1" ht="15.0" customHeight="1">
      <c r="B1" s="5"/>
      <c r="C1" s="5"/>
      <c r="D1" s="5"/>
      <c r="E1" s="5"/>
      <c r="F1" s="5"/>
      <c r="G1" s="5"/>
    </row>
    <row r="2" ht="30.0" customHeight="1">
      <c r="B2" s="6" t="s">
        <v>24</v>
      </c>
    </row>
    <row r="3" ht="37.5" customHeight="1">
      <c r="B3" s="7" t="s">
        <v>25</v>
      </c>
      <c r="C3" s="8" t="s">
        <v>26</v>
      </c>
      <c r="D3" s="8" t="s">
        <v>27</v>
      </c>
      <c r="E3" s="8" t="s">
        <v>28</v>
      </c>
      <c r="F3" s="8" t="s">
        <v>29</v>
      </c>
      <c r="G3" s="8" t="s">
        <v>30</v>
      </c>
    </row>
    <row r="4" ht="30.0" customHeight="1">
      <c r="B4" s="9" t="str">
        <f>Consolidado!BP3</f>
        <v>ADMINISTRATIVA</v>
      </c>
      <c r="C4" s="10">
        <f>Consolidado!BQ3</f>
        <v>3</v>
      </c>
      <c r="D4" s="11">
        <f>Consolidado!BR3</f>
        <v>1</v>
      </c>
      <c r="E4" s="11">
        <f>Consolidado!BS3</f>
        <v>2</v>
      </c>
      <c r="F4" s="12">
        <f>Consolidado!BT3</f>
        <v>2.6</v>
      </c>
      <c r="G4" s="11" t="str">
        <f>Consolidado!BU3</f>
        <v>Reporte con Sobre Ejecución</v>
      </c>
    </row>
    <row r="5" ht="30.0" customHeight="1">
      <c r="B5" s="9" t="str">
        <f>Consolidado!BP4</f>
        <v>COMUNICACIONES</v>
      </c>
      <c r="C5" s="13">
        <f>Consolidado!BQ4</f>
        <v>8</v>
      </c>
      <c r="D5" s="14">
        <f>Consolidado!BR4</f>
        <v>7</v>
      </c>
      <c r="E5" s="11">
        <f>Consolidado!BS4</f>
        <v>7</v>
      </c>
      <c r="F5" s="12">
        <f>Consolidado!BT4</f>
        <v>1.041666667</v>
      </c>
      <c r="G5" s="11" t="str">
        <f>Consolidado!BU4</f>
        <v>Reporte Completo</v>
      </c>
    </row>
    <row r="6" ht="30.0" customHeight="1">
      <c r="B6" s="9" t="str">
        <f>Consolidado!BP5</f>
        <v>ATENCIÓN AL CIUDADANO</v>
      </c>
      <c r="C6" s="13">
        <f>Consolidado!BQ5</f>
        <v>3</v>
      </c>
      <c r="D6" s="14">
        <f>Consolidado!BR5</f>
        <v>2</v>
      </c>
      <c r="E6" s="11">
        <f>Consolidado!BS5</f>
        <v>0</v>
      </c>
      <c r="F6" s="12">
        <f>Consolidado!BT5</f>
        <v>0</v>
      </c>
      <c r="G6" s="11" t="str">
        <f>Consolidado!BU5</f>
        <v>Reporte con Baja Ejecución</v>
      </c>
    </row>
    <row r="7" ht="30.0" customHeight="1">
      <c r="B7" s="9" t="str">
        <f>Consolidado!BP6</f>
        <v>CONTRATOS</v>
      </c>
      <c r="C7" s="13">
        <f>Consolidado!BQ6</f>
        <v>7</v>
      </c>
      <c r="D7" s="14">
        <f>Consolidado!BR6</f>
        <v>7</v>
      </c>
      <c r="E7" s="11">
        <f>Consolidado!BS6</f>
        <v>7</v>
      </c>
      <c r="F7" s="12">
        <f>Consolidado!BT6</f>
        <v>0.9157142857</v>
      </c>
      <c r="G7" s="11" t="str">
        <f>Consolidado!BU6</f>
        <v>Reporte Completo</v>
      </c>
    </row>
    <row r="8" ht="30.0" customHeight="1">
      <c r="B8" s="9" t="str">
        <f>Consolidado!BP7</f>
        <v>CONTROL INTERNO</v>
      </c>
      <c r="C8" s="13">
        <f>Consolidado!BQ7</f>
        <v>1</v>
      </c>
      <c r="D8" s="14">
        <f>Consolidado!BR7</f>
        <v>1</v>
      </c>
      <c r="E8" s="11">
        <f>Consolidado!BS7</f>
        <v>1</v>
      </c>
      <c r="F8" s="12">
        <f>Consolidado!BT7</f>
        <v>1.5</v>
      </c>
      <c r="G8" s="11" t="str">
        <f>Consolidado!BU7</f>
        <v>Reporte con Sobre Ejecución</v>
      </c>
    </row>
    <row r="9" ht="30.0" customHeight="1">
      <c r="B9" s="9" t="str">
        <f>Consolidado!BP8</f>
        <v>DIRECCIÓN TÉCNICA DE ADMINISTRACIÓN Y FOMENTO</v>
      </c>
      <c r="C9" s="13">
        <f>Consolidado!BQ8</f>
        <v>13</v>
      </c>
      <c r="D9" s="14">
        <f>Consolidado!BR8</f>
        <v>5</v>
      </c>
      <c r="E9" s="11">
        <f>Consolidado!BS8</f>
        <v>13</v>
      </c>
      <c r="F9" s="12">
        <f>Consolidado!BT8</f>
        <v>3276.103286</v>
      </c>
      <c r="G9" s="11" t="str">
        <f>Consolidado!BU8</f>
        <v>Reporte con Sobre Ejecución</v>
      </c>
    </row>
    <row r="10" ht="30.0" customHeight="1">
      <c r="B10" s="9" t="str">
        <f>Consolidado!BP9</f>
        <v>CONTROL INTERNO DISCIPLINARIO</v>
      </c>
      <c r="C10" s="13">
        <f>Consolidado!BQ9</f>
        <v>3</v>
      </c>
      <c r="D10" s="14">
        <f>Consolidado!BR9</f>
        <v>2</v>
      </c>
      <c r="E10" s="11">
        <f>Consolidado!BS9</f>
        <v>3</v>
      </c>
      <c r="F10" s="12">
        <f>Consolidado!BT9</f>
        <v>1.333333333</v>
      </c>
      <c r="G10" s="11" t="str">
        <f>Consolidado!BU9</f>
        <v>Reporte con Sobre Ejecución</v>
      </c>
    </row>
    <row r="11" ht="30.0" customHeight="1">
      <c r="B11" s="9" t="str">
        <f>Consolidado!BP10</f>
        <v>DIRECCIÓN TÉCNICA DE INSPECCIÓN Y VIGILANCIA</v>
      </c>
      <c r="C11" s="13">
        <f>Consolidado!BQ10</f>
        <v>7</v>
      </c>
      <c r="D11" s="14">
        <f>Consolidado!BR10</f>
        <v>5</v>
      </c>
      <c r="E11" s="11">
        <f>Consolidado!BS10</f>
        <v>6</v>
      </c>
      <c r="F11" s="12">
        <f>Consolidado!BT10</f>
        <v>1.508036338</v>
      </c>
      <c r="G11" s="11" t="str">
        <f>Consolidado!BU10</f>
        <v>Reporte con Sobre Ejecución</v>
      </c>
    </row>
    <row r="12" ht="30.0" customHeight="1">
      <c r="B12" s="9" t="str">
        <f>Consolidado!BP11</f>
        <v>FINANCIERA</v>
      </c>
      <c r="C12" s="13">
        <f>Consolidado!BQ11</f>
        <v>3</v>
      </c>
      <c r="D12" s="14">
        <f>Consolidado!BR11</f>
        <v>3</v>
      </c>
      <c r="E12" s="11">
        <f>Consolidado!BS11</f>
        <v>3</v>
      </c>
      <c r="F12" s="12">
        <f>Consolidado!BT11</f>
        <v>1</v>
      </c>
      <c r="G12" s="11" t="str">
        <f>Consolidado!BU11</f>
        <v>Reporte Completo</v>
      </c>
    </row>
    <row r="13" ht="30.0" customHeight="1">
      <c r="B13" s="9" t="str">
        <f>Consolidado!BP12</f>
        <v>GESTIÓN DOCUMENTAL</v>
      </c>
      <c r="C13" s="13">
        <f>Consolidado!BQ12</f>
        <v>3</v>
      </c>
      <c r="D13" s="14">
        <f>Consolidado!BR12</f>
        <v>3</v>
      </c>
      <c r="E13" s="11">
        <f>Consolidado!BS12</f>
        <v>3</v>
      </c>
      <c r="F13" s="12">
        <f>Consolidado!BT12</f>
        <v>0.3833333333</v>
      </c>
      <c r="G13" s="11" t="str">
        <f>Consolidado!BU12</f>
        <v>Reporte con Baja Ejecución</v>
      </c>
    </row>
    <row r="14" ht="30.0" customHeight="1">
      <c r="B14" s="9" t="str">
        <f>Consolidado!BP13</f>
        <v>OFICINA ASESOR JURÍDICA</v>
      </c>
      <c r="C14" s="13">
        <f>Consolidado!BQ13</f>
        <v>5</v>
      </c>
      <c r="D14" s="14">
        <f>Consolidado!BR13</f>
        <v>5</v>
      </c>
      <c r="E14" s="11">
        <f>Consolidado!BS13</f>
        <v>5</v>
      </c>
      <c r="F14" s="12">
        <f>Consolidado!BT13</f>
        <v>1</v>
      </c>
      <c r="G14" s="11" t="str">
        <f>Consolidado!BU13</f>
        <v>Reporte Completo</v>
      </c>
    </row>
    <row r="15" ht="30.0" customHeight="1">
      <c r="B15" s="9" t="str">
        <f>Consolidado!BP14</f>
        <v>OFICINA DE GENERACIÓN DEL CONOCIMIENTO Y LA INFORMACIÓN</v>
      </c>
      <c r="C15" s="13">
        <f>Consolidado!BQ14</f>
        <v>12</v>
      </c>
      <c r="D15" s="14">
        <f>Consolidado!BR14</f>
        <v>4</v>
      </c>
      <c r="E15" s="11">
        <f>Consolidado!BS14</f>
        <v>12</v>
      </c>
      <c r="F15" s="12">
        <f>Consolidado!BT14</f>
        <v>2.75</v>
      </c>
      <c r="G15" s="11" t="str">
        <f>Consolidado!BU14</f>
        <v>Reporte con Sobre Ejecución</v>
      </c>
    </row>
    <row r="16" ht="30.0" customHeight="1">
      <c r="B16" s="9" t="str">
        <f>Consolidado!BP15</f>
        <v>PLANEACIÓN</v>
      </c>
      <c r="C16" s="13">
        <f>Consolidado!BQ15</f>
        <v>8</v>
      </c>
      <c r="D16" s="14">
        <f>Consolidado!BR15</f>
        <v>1</v>
      </c>
      <c r="E16" s="11">
        <f>Consolidado!BS15</f>
        <v>6</v>
      </c>
      <c r="F16" s="12">
        <f>Consolidado!BT15</f>
        <v>2.653333333</v>
      </c>
      <c r="G16" s="11" t="str">
        <f>Consolidado!BU15</f>
        <v>Reporte con Sobre Ejecución</v>
      </c>
    </row>
    <row r="17" ht="30.0" customHeight="1">
      <c r="B17" s="9" t="str">
        <f>Consolidado!BP16</f>
        <v>SISTEMAS</v>
      </c>
      <c r="C17" s="13">
        <f>Consolidado!BQ16</f>
        <v>5</v>
      </c>
      <c r="D17" s="14">
        <f>Consolidado!BR16</f>
        <v>1</v>
      </c>
      <c r="E17" s="11">
        <f>Consolidado!BS16</f>
        <v>3</v>
      </c>
      <c r="F17" s="12" t="str">
        <f>Consolidado!BT16</f>
        <v>-</v>
      </c>
      <c r="G17" s="11" t="str">
        <f>Consolidado!BU16</f>
        <v>-</v>
      </c>
    </row>
    <row r="18" ht="30.0" customHeight="1">
      <c r="B18" s="9" t="str">
        <f>Consolidado!BP17</f>
        <v>TALENTO HUMANO</v>
      </c>
      <c r="C18" s="13">
        <f>Consolidado!BQ17</f>
        <v>4</v>
      </c>
      <c r="D18" s="14">
        <f>Consolidado!BR17</f>
        <v>2</v>
      </c>
      <c r="E18" s="11">
        <f>Consolidado!BS17</f>
        <v>4</v>
      </c>
      <c r="F18" s="12">
        <f>Consolidado!BT17</f>
        <v>1.5</v>
      </c>
      <c r="G18" s="11" t="str">
        <f>Consolidado!BU17</f>
        <v>Reporte con Sobre Ejecución</v>
      </c>
    </row>
    <row r="19" ht="30.0" customHeight="1">
      <c r="B19" s="9" t="str">
        <f>Consolidado!BP18</f>
        <v>REGIONAL BARRANCABERMEJA</v>
      </c>
      <c r="C19" s="13">
        <f>Consolidado!BQ18</f>
        <v>8</v>
      </c>
      <c r="D19" s="14">
        <f>Consolidado!BR18</f>
        <v>7</v>
      </c>
      <c r="E19" s="11">
        <f>Consolidado!BS18</f>
        <v>7</v>
      </c>
      <c r="F19" s="12">
        <f>Consolidado!BT18</f>
        <v>1.354029338</v>
      </c>
      <c r="G19" s="11" t="str">
        <f>Consolidado!BU18</f>
        <v>Reporte con Sobre Ejecución</v>
      </c>
    </row>
    <row r="20" ht="30.0" customHeight="1">
      <c r="B20" s="9" t="str">
        <f>Consolidado!BP19</f>
        <v>REGIONAL BARRANQUILLA</v>
      </c>
      <c r="C20" s="13">
        <f>Consolidado!BQ19</f>
        <v>17</v>
      </c>
      <c r="D20" s="14">
        <f>Consolidado!BR19</f>
        <v>12</v>
      </c>
      <c r="E20" s="11">
        <f>Consolidado!BS19</f>
        <v>15</v>
      </c>
      <c r="F20" s="12">
        <f>Consolidado!BT19</f>
        <v>61.82417808</v>
      </c>
      <c r="G20" s="11" t="str">
        <f>Consolidado!BU19</f>
        <v>Reporte con Sobre Ejecución</v>
      </c>
    </row>
    <row r="21" ht="30.0" customHeight="1">
      <c r="B21" s="9" t="str">
        <f>Consolidado!BP20</f>
        <v>REGIONAL BOGOTÁ</v>
      </c>
      <c r="C21" s="13">
        <f>Consolidado!BQ20</f>
        <v>10</v>
      </c>
      <c r="D21" s="14">
        <f>Consolidado!BR20</f>
        <v>9</v>
      </c>
      <c r="E21" s="11">
        <f>Consolidado!BS20</f>
        <v>10</v>
      </c>
      <c r="F21" s="12">
        <f>Consolidado!BT20</f>
        <v>4.355315738</v>
      </c>
      <c r="G21" s="11" t="str">
        <f>Consolidado!BU20</f>
        <v>Reporte con Sobre Ejecución</v>
      </c>
    </row>
    <row r="22" ht="30.0" customHeight="1">
      <c r="B22" s="9" t="str">
        <f>Consolidado!BP21</f>
        <v>REGIONAL CALI</v>
      </c>
      <c r="C22" s="13">
        <f>Consolidado!BQ21</f>
        <v>12</v>
      </c>
      <c r="D22" s="14">
        <f>Consolidado!BR21</f>
        <v>11</v>
      </c>
      <c r="E22" s="11">
        <f>Consolidado!BS21</f>
        <v>12</v>
      </c>
      <c r="F22" s="12">
        <f>Consolidado!BT21</f>
        <v>452.1051961</v>
      </c>
      <c r="G22" s="11" t="str">
        <f>Consolidado!BU21</f>
        <v>Reporte con Sobre Ejecución</v>
      </c>
    </row>
    <row r="23" ht="30.0" customHeight="1">
      <c r="B23" s="9" t="str">
        <f>Consolidado!BP22</f>
        <v>REGIONAL MAGANGUÉ</v>
      </c>
      <c r="C23" s="13">
        <f>Consolidado!BQ22</f>
        <v>6</v>
      </c>
      <c r="D23" s="14">
        <f>Consolidado!BR22</f>
        <v>6</v>
      </c>
      <c r="E23" s="11">
        <f>Consolidado!BS22</f>
        <v>6</v>
      </c>
      <c r="F23" s="12">
        <f>Consolidado!BT22</f>
        <v>0.7672142857</v>
      </c>
      <c r="G23" s="11" t="str">
        <f>Consolidado!BU22</f>
        <v>Reporte con Baja Ejecución</v>
      </c>
    </row>
    <row r="24" ht="30.0" customHeight="1">
      <c r="B24" s="9" t="str">
        <f>Consolidado!BP23</f>
        <v>REGIONAL MEDELLÍN</v>
      </c>
      <c r="C24" s="13">
        <f>Consolidado!BQ23</f>
        <v>10</v>
      </c>
      <c r="D24" s="14">
        <f>Consolidado!BR23</f>
        <v>10</v>
      </c>
      <c r="E24" s="11">
        <f>Consolidado!BS23</f>
        <v>10</v>
      </c>
      <c r="F24" s="12">
        <f>Consolidado!BT23</f>
        <v>2.715468326</v>
      </c>
      <c r="G24" s="11" t="str">
        <f>Consolidado!BU23</f>
        <v>Reporte con Sobre Ejecución</v>
      </c>
    </row>
    <row r="25" ht="30.0" customHeight="1">
      <c r="B25" s="9" t="str">
        <f>Consolidado!BP24</f>
        <v>REGIONAL VILLAVICENCIO</v>
      </c>
      <c r="C25" s="13">
        <f>Consolidado!BQ24</f>
        <v>8</v>
      </c>
      <c r="D25" s="14">
        <f>Consolidado!BR24</f>
        <v>6</v>
      </c>
      <c r="E25" s="11">
        <f>Consolidado!BS24</f>
        <v>6</v>
      </c>
      <c r="F25" s="12">
        <f>Consolidado!BT24</f>
        <v>31.52211905</v>
      </c>
      <c r="G25" s="11" t="str">
        <f>Consolidado!BU24</f>
        <v>Reporte con Sobre Ejecución</v>
      </c>
    </row>
    <row r="26" ht="15.0" customHeight="1"/>
    <row r="27" ht="15.75" hidden="1" customHeight="1"/>
    <row r="28" ht="15.75" hidden="1" customHeight="1"/>
    <row r="29" ht="15.75" hidden="1" customHeight="1"/>
    <row r="30" ht="15.75" hidden="1" customHeight="1"/>
    <row r="31" ht="15.75" hidden="1" customHeight="1"/>
    <row r="32" ht="15.75" hidden="1" customHeight="1"/>
    <row r="33" ht="15.75" hidden="1" customHeight="1"/>
    <row r="34" ht="15.75" hidden="1" customHeight="1"/>
    <row r="35" ht="15.75" hidden="1" customHeight="1"/>
    <row r="36" ht="15.75" hidden="1" customHeight="1"/>
    <row r="37" ht="15.75" hidden="1" customHeight="1"/>
    <row r="38" ht="15.75" hidden="1" customHeight="1"/>
    <row r="39" ht="15.75" hidden="1" customHeight="1"/>
    <row r="40" ht="15.75" hidden="1" customHeight="1"/>
    <row r="41" ht="15.75" hidden="1" customHeight="1"/>
    <row r="42" ht="15.75" hidden="1" customHeight="1"/>
    <row r="43" ht="15.75" hidden="1" customHeight="1"/>
    <row r="44" ht="15.75" hidden="1" customHeight="1"/>
    <row r="45" ht="15.75" hidden="1" customHeight="1"/>
    <row r="46" ht="15.75" hidden="1" customHeight="1"/>
    <row r="47" ht="15.75" hidden="1" customHeight="1"/>
    <row r="48" ht="15.75" hidden="1" customHeight="1"/>
    <row r="49" ht="15.75" hidden="1" customHeight="1"/>
    <row r="50" ht="15.75" hidden="1" customHeight="1"/>
    <row r="51" ht="15.75" hidden="1" customHeight="1"/>
    <row r="52" ht="15.75" hidden="1" customHeight="1"/>
    <row r="53" ht="15.75" hidden="1" customHeight="1"/>
    <row r="54" ht="15.75" hidden="1" customHeight="1"/>
    <row r="55" ht="15.75" hidden="1" customHeight="1"/>
    <row r="56" ht="15.75" hidden="1" customHeight="1"/>
    <row r="57" ht="15.75" hidden="1" customHeight="1"/>
    <row r="58" ht="15.75" hidden="1" customHeight="1"/>
    <row r="59" ht="15.75" hidden="1" customHeight="1"/>
    <row r="60" ht="15.75" hidden="1" customHeight="1"/>
    <row r="61" ht="15.75" hidden="1" customHeight="1"/>
    <row r="62" ht="15.75" hidden="1" customHeight="1"/>
    <row r="63" ht="15.75" hidden="1" customHeight="1"/>
    <row r="64" ht="15.75" hidden="1" customHeight="1"/>
    <row r="65" ht="15.75" hidden="1" customHeight="1"/>
    <row r="66" ht="15.75" hidden="1" customHeight="1"/>
    <row r="67" ht="15.75" hidden="1" customHeight="1"/>
    <row r="68" ht="15.75" hidden="1" customHeight="1"/>
    <row r="69" ht="15.75" hidden="1" customHeight="1"/>
    <row r="70" ht="15.75" hidden="1" customHeight="1"/>
    <row r="71" ht="15.75" hidden="1" customHeight="1"/>
    <row r="72" ht="15.75" hidden="1" customHeight="1"/>
    <row r="73" ht="15.75" hidden="1" customHeight="1"/>
    <row r="74" ht="15.75" hidden="1" customHeight="1"/>
    <row r="75" ht="15.75" hidden="1" customHeight="1"/>
    <row r="76" ht="15.75" hidden="1" customHeight="1"/>
    <row r="77" ht="15.75" hidden="1" customHeight="1"/>
    <row r="78" ht="15.75" hidden="1" customHeight="1"/>
    <row r="79" ht="15.75" hidden="1" customHeight="1"/>
    <row r="80" ht="15.75" hidden="1" customHeight="1"/>
    <row r="81" ht="15.75" hidden="1" customHeight="1"/>
    <row r="82" ht="15.75" hidden="1" customHeight="1"/>
    <row r="83" ht="15.75" hidden="1" customHeight="1"/>
    <row r="84" ht="15.75" hidden="1" customHeight="1"/>
    <row r="85" ht="15.75" hidden="1" customHeight="1"/>
    <row r="86" ht="15.75" hidden="1" customHeight="1"/>
    <row r="87" ht="15.75" hidden="1" customHeight="1"/>
    <row r="88" ht="15.75" hidden="1" customHeight="1"/>
    <row r="89" ht="15.75" hidden="1" customHeight="1"/>
    <row r="90" ht="15.75" hidden="1" customHeight="1"/>
    <row r="91" ht="15.75" hidden="1" customHeight="1"/>
    <row r="92" ht="15.75" hidden="1" customHeight="1"/>
    <row r="93" ht="15.75" hidden="1" customHeight="1"/>
    <row r="94" ht="15.75" hidden="1" customHeight="1"/>
    <row r="95" ht="15.75" hidden="1" customHeight="1"/>
    <row r="96" ht="15.75" hidden="1" customHeight="1"/>
    <row r="97" ht="15.75" hidden="1" customHeight="1"/>
    <row r="98" ht="15.75" hidden="1" customHeight="1"/>
    <row r="99" ht="15.75" hidden="1" customHeight="1"/>
    <row r="100" ht="15.75" hidden="1" customHeight="1"/>
    <row r="101" ht="15.75" hidden="1" customHeight="1"/>
    <row r="102" ht="15.75" hidden="1" customHeight="1"/>
    <row r="103" ht="15.75" hidden="1" customHeight="1"/>
    <row r="104" ht="15.75" hidden="1" customHeight="1"/>
    <row r="105" ht="15.75" hidden="1" customHeight="1"/>
    <row r="106" ht="15.75" hidden="1" customHeight="1"/>
    <row r="107" ht="15.75" hidden="1" customHeight="1"/>
    <row r="108" ht="15.75" hidden="1" customHeight="1"/>
    <row r="109" ht="15.75" hidden="1" customHeight="1"/>
    <row r="110" ht="15.75" hidden="1" customHeight="1"/>
    <row r="111" ht="15.75" hidden="1" customHeight="1"/>
    <row r="112" ht="15.75" hidden="1" customHeight="1"/>
    <row r="113" ht="15.75" hidden="1" customHeight="1"/>
    <row r="114" ht="15.75" hidden="1" customHeight="1"/>
    <row r="115" ht="15.75" hidden="1" customHeight="1"/>
    <row r="116" ht="15.75" hidden="1" customHeight="1"/>
    <row r="117" ht="15.75" hidden="1" customHeight="1"/>
    <row r="118" ht="15.75" hidden="1" customHeight="1"/>
    <row r="119" ht="15.75" hidden="1" customHeight="1"/>
    <row r="120" ht="15.75" hidden="1" customHeight="1"/>
    <row r="121" ht="15.75" hidden="1" customHeight="1"/>
    <row r="122" ht="15.75" hidden="1" customHeight="1"/>
    <row r="123" ht="15.75" hidden="1" customHeight="1"/>
    <row r="124" ht="15.75" hidden="1" customHeight="1"/>
    <row r="125" ht="15.75" hidden="1" customHeight="1"/>
    <row r="126" ht="15.75" hidden="1" customHeight="1"/>
    <row r="127" ht="15.75" hidden="1" customHeight="1"/>
    <row r="128" ht="15.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ht="15.75" hidden="1" customHeight="1"/>
    <row r="146" ht="15.75" hidden="1" customHeight="1"/>
    <row r="147" ht="15.75" hidden="1" customHeight="1"/>
    <row r="148" ht="15.75" hidden="1" customHeight="1"/>
    <row r="149" ht="15.75" hidden="1" customHeight="1"/>
    <row r="150" ht="15.75" hidden="1" customHeight="1"/>
    <row r="151" ht="15.75" hidden="1" customHeight="1"/>
    <row r="152" ht="15.75" hidden="1" customHeight="1"/>
    <row r="153" ht="15.75" hidden="1" customHeight="1"/>
    <row r="154" ht="15.75" hidden="1" customHeight="1"/>
    <row r="155" ht="15.75" hidden="1" customHeight="1"/>
    <row r="156" ht="15.75" hidden="1" customHeight="1"/>
    <row r="157" ht="15.75" hidden="1" customHeight="1"/>
    <row r="158" ht="15.75" hidden="1" customHeight="1"/>
    <row r="159" ht="15.75" hidden="1" customHeight="1"/>
    <row r="160" ht="15.75" hidden="1" customHeight="1"/>
    <row r="161" ht="15.75" hidden="1" customHeight="1"/>
    <row r="162" ht="15.75" hidden="1" customHeight="1"/>
    <row r="163" ht="15.75" hidden="1" customHeight="1"/>
    <row r="164" ht="15.75" hidden="1" customHeight="1"/>
    <row r="165" ht="15.75" hidden="1" customHeight="1"/>
    <row r="166" ht="15.75" hidden="1" customHeight="1"/>
    <row r="167" ht="15.75" hidden="1" customHeight="1"/>
    <row r="168" ht="15.75" hidden="1" customHeight="1"/>
    <row r="169" ht="15.75" hidden="1" customHeight="1"/>
    <row r="170" ht="15.75" hidden="1" customHeight="1"/>
    <row r="171" ht="15.75" hidden="1" customHeight="1"/>
    <row r="172" ht="15.75" hidden="1" customHeight="1"/>
    <row r="173" ht="15.75" hidden="1" customHeight="1"/>
    <row r="174" ht="15.75" hidden="1" customHeight="1"/>
    <row r="175" ht="15.75" hidden="1" customHeight="1"/>
    <row r="176" ht="15.75" hidden="1" customHeight="1"/>
    <row r="177" ht="15.75" hidden="1" customHeight="1"/>
    <row r="178" ht="15.75" hidden="1" customHeight="1"/>
    <row r="179" ht="15.75" hidden="1" customHeight="1"/>
    <row r="180" ht="15.75" hidden="1" customHeight="1"/>
    <row r="181" ht="15.75" hidden="1" customHeight="1"/>
    <row r="182" ht="15.75" hidden="1" customHeight="1"/>
    <row r="183" ht="15.75" hidden="1" customHeight="1"/>
    <row r="184" ht="15.75" hidden="1" customHeight="1"/>
    <row r="185" ht="15.75" hidden="1" customHeight="1"/>
    <row r="186" ht="15.75" hidden="1" customHeight="1"/>
    <row r="187" ht="15.75" hidden="1" customHeight="1"/>
    <row r="188" ht="15.75" hidden="1" customHeight="1"/>
    <row r="189" ht="15.75" hidden="1" customHeight="1"/>
    <row r="190" ht="15.75" hidden="1" customHeight="1"/>
    <row r="191" ht="15.75" hidden="1" customHeight="1"/>
    <row r="192" ht="15.75" hidden="1" customHeight="1"/>
    <row r="193" ht="15.75" hidden="1" customHeight="1"/>
    <row r="194" ht="15.75" hidden="1" customHeight="1"/>
    <row r="195" ht="15.75" hidden="1" customHeight="1"/>
    <row r="196" ht="15.75" hidden="1" customHeight="1"/>
    <row r="197" ht="15.75" hidden="1" customHeight="1"/>
    <row r="198" ht="15.75" hidden="1" customHeight="1"/>
    <row r="199" ht="15.75" hidden="1" customHeight="1"/>
    <row r="200" ht="15.75" hidden="1" customHeight="1"/>
    <row r="201" ht="15.75" hidden="1" customHeight="1"/>
    <row r="202" ht="15.75" hidden="1" customHeight="1"/>
    <row r="203" ht="15.75" hidden="1" customHeight="1"/>
    <row r="204" ht="15.75" hidden="1" customHeight="1"/>
    <row r="205" ht="15.75" hidden="1" customHeight="1"/>
    <row r="206" ht="15.75" hidden="1" customHeight="1"/>
    <row r="207" ht="15.75" hidden="1" customHeight="1"/>
    <row r="208" ht="15.75" hidden="1" customHeight="1"/>
    <row r="209" ht="15.75" hidden="1" customHeight="1"/>
    <row r="210" ht="15.75" hidden="1" customHeight="1"/>
    <row r="211" ht="15.75" hidden="1" customHeight="1"/>
    <row r="212" ht="15.75" hidden="1" customHeight="1"/>
    <row r="213" ht="15.75" hidden="1" customHeight="1"/>
    <row r="214" ht="15.75" hidden="1" customHeight="1"/>
    <row r="215" ht="15.75" hidden="1" customHeight="1"/>
    <row r="216" ht="15.75" hidden="1" customHeight="1"/>
    <row r="217" ht="15.75" hidden="1" customHeight="1"/>
    <row r="218" ht="15.75" hidden="1" customHeight="1"/>
    <row r="219" ht="15.75" hidden="1" customHeight="1"/>
    <row r="220" ht="15.75" hidden="1" customHeight="1"/>
    <row r="221" ht="15.75" hidden="1" customHeight="1"/>
    <row r="222" ht="15.75" hidden="1" customHeight="1"/>
    <row r="223" ht="15.75" hidden="1" customHeight="1"/>
    <row r="224" ht="15.75" hidden="1" customHeight="1"/>
    <row r="225" ht="15.75" hidden="1" customHeight="1"/>
    <row r="226" ht="15.75" hidden="1" customHeight="1"/>
    <row r="227" ht="15.75" hidden="1" customHeight="1"/>
    <row r="228" ht="15.75" hidden="1" customHeight="1"/>
    <row r="229" ht="15.75" hidden="1" customHeight="1"/>
    <row r="230" ht="15.75" hidden="1" customHeight="1"/>
    <row r="231" ht="15.75" hidden="1" customHeight="1"/>
    <row r="232" ht="15.75" hidden="1" customHeight="1"/>
    <row r="233" ht="15.75" hidden="1" customHeight="1"/>
    <row r="234" ht="15.75" hidden="1" customHeight="1"/>
    <row r="235" ht="15.75" hidden="1" customHeight="1"/>
    <row r="236" ht="15.75" hidden="1" customHeight="1"/>
    <row r="237" ht="15.75" hidden="1" customHeight="1"/>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sheetData>
  <mergeCells count="1">
    <mergeCell ref="B2:G2"/>
  </mergeCells>
  <conditionalFormatting sqref="F4:F25">
    <cfRule type="colorScale" priority="1">
      <colorScale>
        <cfvo type="min"/>
        <cfvo type="formula" val="1"/>
        <cfvo type="formula" val="140%"/>
        <color rgb="FFEA4335"/>
        <color rgb="FF57BB8A"/>
        <color rgb="FFEA4335"/>
      </colorScale>
    </cfRule>
  </conditionalFormatting>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21" width="15.75"/>
    <col customWidth="1" min="22" max="22" width="15.75"/>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21.0"/>
    <col customWidth="1" min="34" max="34" width="25.88"/>
    <col customWidth="1" min="35" max="35" width="22.88"/>
    <col customWidth="1" min="36" max="36" width="21.75"/>
    <col customWidth="1" min="37" max="37" width="20.25"/>
    <col customWidth="1" min="38" max="38" width="15.75"/>
    <col customWidth="1" min="39" max="39" width="15.63"/>
    <col customWidth="1" min="40" max="40" width="16.38"/>
    <col customWidth="1" min="41" max="41" width="18.25"/>
    <col customWidth="1" min="42" max="42" width="3.88"/>
  </cols>
  <sheetData>
    <row r="1" ht="33.75" customHeight="1">
      <c r="A1" s="85"/>
      <c r="B1" s="86" t="s">
        <v>108</v>
      </c>
      <c r="C1" s="87"/>
      <c r="D1" s="88"/>
      <c r="E1" s="89"/>
      <c r="F1" s="90"/>
      <c r="G1" s="90"/>
      <c r="H1" s="90"/>
      <c r="I1" s="90"/>
      <c r="J1" s="90"/>
      <c r="K1" s="90"/>
      <c r="L1" s="90"/>
      <c r="M1" s="90"/>
      <c r="N1" s="90"/>
      <c r="O1" s="90"/>
      <c r="P1" s="90"/>
      <c r="Q1" s="90"/>
      <c r="R1" s="90"/>
      <c r="S1" s="90"/>
      <c r="T1" s="90"/>
      <c r="U1" s="90"/>
      <c r="V1" s="90"/>
      <c r="W1" s="90"/>
      <c r="X1" s="90"/>
      <c r="Y1" s="90"/>
      <c r="Z1" s="90"/>
      <c r="AA1" s="90"/>
      <c r="AB1" s="90"/>
      <c r="AC1" s="90"/>
      <c r="AD1" s="90"/>
      <c r="AE1" s="90"/>
      <c r="AF1" s="88"/>
      <c r="AG1" s="91" t="s">
        <v>109</v>
      </c>
      <c r="AH1" s="92">
        <v>1.0</v>
      </c>
      <c r="AI1" s="93" t="s">
        <v>110</v>
      </c>
      <c r="AJ1" s="94"/>
      <c r="AK1" s="95"/>
      <c r="AL1" s="96">
        <v>43466.0</v>
      </c>
      <c r="AM1" s="97">
        <f>Alertas!B6</f>
        <v>44582</v>
      </c>
      <c r="AN1" s="96">
        <f>TODAY()-1</f>
        <v>44714</v>
      </c>
      <c r="AO1" s="93"/>
      <c r="AP1" s="93"/>
    </row>
    <row r="2" ht="33.75" customHeight="1">
      <c r="A2" s="85"/>
      <c r="B2" s="88"/>
      <c r="C2" s="98"/>
      <c r="D2" s="99"/>
      <c r="E2" s="88"/>
      <c r="F2" s="100"/>
      <c r="G2" s="88"/>
      <c r="H2" s="88"/>
      <c r="I2" s="88"/>
      <c r="J2" s="88"/>
      <c r="K2" s="88"/>
      <c r="L2" s="88"/>
      <c r="M2" s="88"/>
      <c r="N2" s="88"/>
      <c r="O2" s="88"/>
      <c r="P2" s="88"/>
      <c r="Q2" s="88"/>
      <c r="R2" s="88"/>
      <c r="S2" s="88"/>
      <c r="T2" s="88"/>
      <c r="U2" s="88"/>
      <c r="V2" s="88"/>
      <c r="W2" s="88"/>
      <c r="X2" s="88"/>
      <c r="Y2" s="88"/>
      <c r="Z2" s="88"/>
      <c r="AA2" s="88"/>
      <c r="AB2" s="88"/>
      <c r="AC2" s="88"/>
      <c r="AD2" s="88"/>
      <c r="AE2" s="88"/>
      <c r="AF2" s="17"/>
      <c r="AG2" s="101" t="s">
        <v>111</v>
      </c>
      <c r="AH2" s="102"/>
      <c r="AI2" s="103"/>
      <c r="AJ2" s="104" t="s">
        <v>112</v>
      </c>
      <c r="AK2" s="103"/>
      <c r="AL2" s="104" t="s">
        <v>113</v>
      </c>
      <c r="AM2" s="102"/>
      <c r="AN2" s="102"/>
      <c r="AO2" s="103"/>
      <c r="AP2" s="105"/>
    </row>
    <row r="3" ht="33.75" customHeight="1">
      <c r="A3" s="106"/>
      <c r="B3" s="171" t="s">
        <v>40</v>
      </c>
      <c r="C3" s="172" t="s">
        <v>41</v>
      </c>
      <c r="D3" s="173" t="s">
        <v>42</v>
      </c>
      <c r="E3" s="173" t="s">
        <v>43</v>
      </c>
      <c r="F3" s="174" t="s">
        <v>44</v>
      </c>
      <c r="G3" s="175" t="s">
        <v>45</v>
      </c>
      <c r="H3" s="173" t="s">
        <v>46</v>
      </c>
      <c r="I3" s="175" t="s">
        <v>47</v>
      </c>
      <c r="J3" s="175" t="s">
        <v>48</v>
      </c>
      <c r="K3" s="175" t="s">
        <v>49</v>
      </c>
      <c r="L3" s="175" t="s">
        <v>50</v>
      </c>
      <c r="M3" s="173" t="s">
        <v>51</v>
      </c>
      <c r="N3" s="173" t="s">
        <v>52</v>
      </c>
      <c r="O3" s="175" t="s">
        <v>53</v>
      </c>
      <c r="P3" s="175" t="s">
        <v>54</v>
      </c>
      <c r="Q3" s="173" t="s">
        <v>55</v>
      </c>
      <c r="R3" s="173" t="s">
        <v>56</v>
      </c>
      <c r="S3" s="175" t="s">
        <v>57</v>
      </c>
      <c r="T3" s="175" t="s">
        <v>58</v>
      </c>
      <c r="U3" s="175" t="s">
        <v>59</v>
      </c>
      <c r="V3" s="175" t="s">
        <v>60</v>
      </c>
      <c r="W3" s="173" t="s">
        <v>61</v>
      </c>
      <c r="X3" s="172" t="s">
        <v>62</v>
      </c>
      <c r="Y3" s="172" t="s">
        <v>63</v>
      </c>
      <c r="Z3" s="172" t="s">
        <v>64</v>
      </c>
      <c r="AA3" s="172" t="s">
        <v>65</v>
      </c>
      <c r="AB3" s="172" t="s">
        <v>66</v>
      </c>
      <c r="AC3" s="172" t="s">
        <v>67</v>
      </c>
      <c r="AD3" s="172" t="s">
        <v>68</v>
      </c>
      <c r="AE3" s="172" t="s">
        <v>69</v>
      </c>
      <c r="AF3" s="176" t="s">
        <v>70</v>
      </c>
      <c r="AG3" s="113" t="s">
        <v>71</v>
      </c>
      <c r="AH3" s="114" t="s">
        <v>72</v>
      </c>
      <c r="AI3" s="115" t="s">
        <v>73</v>
      </c>
      <c r="AJ3" s="116" t="s">
        <v>114</v>
      </c>
      <c r="AK3" s="117" t="s">
        <v>115</v>
      </c>
      <c r="AL3" s="113" t="s">
        <v>74</v>
      </c>
      <c r="AM3" s="114" t="s">
        <v>116</v>
      </c>
      <c r="AN3" s="114" t="s">
        <v>76</v>
      </c>
      <c r="AO3" s="117" t="s">
        <v>117</v>
      </c>
      <c r="AP3" s="105"/>
    </row>
    <row r="4" ht="67.5" customHeight="1">
      <c r="A4" s="118"/>
      <c r="B4" s="177">
        <v>94.0</v>
      </c>
      <c r="C4" s="178" t="s">
        <v>290</v>
      </c>
      <c r="D4" s="178" t="s">
        <v>635</v>
      </c>
      <c r="E4" s="178" t="s">
        <v>292</v>
      </c>
      <c r="F4" s="179">
        <v>2.01901100028E12</v>
      </c>
      <c r="G4" s="180" t="s">
        <v>293</v>
      </c>
      <c r="H4" s="178" t="s">
        <v>294</v>
      </c>
      <c r="I4" s="178" t="s">
        <v>295</v>
      </c>
      <c r="J4" s="178" t="s">
        <v>296</v>
      </c>
      <c r="K4" s="181" t="s">
        <v>124</v>
      </c>
      <c r="L4" s="181" t="s">
        <v>125</v>
      </c>
      <c r="M4" s="181" t="s">
        <v>126</v>
      </c>
      <c r="N4" s="182" t="s">
        <v>636</v>
      </c>
      <c r="O4" s="183"/>
      <c r="P4" s="190">
        <v>1000.0</v>
      </c>
      <c r="Q4" s="185" t="s">
        <v>637</v>
      </c>
      <c r="R4" s="186" t="s">
        <v>170</v>
      </c>
      <c r="S4" s="190">
        <v>178.0</v>
      </c>
      <c r="T4" s="190">
        <v>260.0</v>
      </c>
      <c r="U4" s="190">
        <v>247.0</v>
      </c>
      <c r="V4" s="190">
        <v>315.0</v>
      </c>
      <c r="W4" s="187" t="s">
        <v>635</v>
      </c>
      <c r="X4" s="180" t="s">
        <v>638</v>
      </c>
      <c r="Y4" s="178" t="s">
        <v>639</v>
      </c>
      <c r="Z4" s="180" t="s">
        <v>640</v>
      </c>
      <c r="AA4" s="178" t="s">
        <v>159</v>
      </c>
      <c r="AB4" s="178" t="s">
        <v>180</v>
      </c>
      <c r="AC4" s="178" t="s">
        <v>303</v>
      </c>
      <c r="AD4" s="178" t="s">
        <v>161</v>
      </c>
      <c r="AE4" s="178" t="s">
        <v>304</v>
      </c>
      <c r="AF4" s="188" t="s">
        <v>183</v>
      </c>
      <c r="AG4" s="251">
        <v>331.0</v>
      </c>
      <c r="AH4" s="252" t="s">
        <v>641</v>
      </c>
      <c r="AI4" s="253" t="s">
        <v>642</v>
      </c>
      <c r="AJ4" s="251">
        <v>1059.0</v>
      </c>
      <c r="AK4" s="254" t="s">
        <v>643</v>
      </c>
      <c r="AL4" s="134">
        <f t="shared" ref="AL4:AL6" si="1">$AM$1</f>
        <v>44582</v>
      </c>
      <c r="AM4" s="135">
        <f t="shared" ref="AM4:AM6" si="2">AL4-$AN$1</f>
        <v>-132</v>
      </c>
      <c r="AN4" s="136" t="str">
        <f t="shared" ref="AN4:AN6" si="3">IF(ISBLANK(AG4),"Pend. Ejec. Trim."&amp;CHAR(10),)&amp;
IF(ISBLANK(AH4),"Pend. Just. Trim."&amp;CHAR(10),)&amp;
IF(ISBLANK(AI4),"Pend. Evid. Trim."&amp;CHAR(10),)&amp;
IF(ISBLANK(AJ4),"Pend. Ejec. Año"&amp;CHAR(10),)&amp;
IF(ISBLANK(AK4),"Pend. Evid. Año",)&amp;
IF(OR(ISBLANK(AG4),ISBLANK(AH4),ISBLANK(AI4),ISBLANK(AJ4),ISBLANK(AK4)),,"Reporte ok")</f>
        <v>Reporte ok</v>
      </c>
      <c r="AO4" s="137"/>
      <c r="AP4" s="138"/>
    </row>
    <row r="5" ht="67.5" customHeight="1">
      <c r="A5" s="118"/>
      <c r="B5" s="177">
        <v>95.0</v>
      </c>
      <c r="C5" s="178" t="s">
        <v>290</v>
      </c>
      <c r="D5" s="178" t="s">
        <v>635</v>
      </c>
      <c r="E5" s="178" t="s">
        <v>292</v>
      </c>
      <c r="F5" s="179">
        <v>2.01901100028E12</v>
      </c>
      <c r="G5" s="180" t="s">
        <v>293</v>
      </c>
      <c r="H5" s="178" t="s">
        <v>294</v>
      </c>
      <c r="I5" s="178" t="s">
        <v>295</v>
      </c>
      <c r="J5" s="178" t="s">
        <v>321</v>
      </c>
      <c r="K5" s="181" t="s">
        <v>327</v>
      </c>
      <c r="L5" s="181" t="s">
        <v>125</v>
      </c>
      <c r="M5" s="181" t="s">
        <v>126</v>
      </c>
      <c r="N5" s="182" t="s">
        <v>644</v>
      </c>
      <c r="O5" s="183"/>
      <c r="P5" s="190">
        <v>5600000.0</v>
      </c>
      <c r="Q5" s="185" t="s">
        <v>645</v>
      </c>
      <c r="R5" s="186" t="s">
        <v>170</v>
      </c>
      <c r="S5" s="190">
        <v>3000000.0</v>
      </c>
      <c r="T5" s="190">
        <v>2000000.0</v>
      </c>
      <c r="U5" s="190">
        <v>600000.0</v>
      </c>
      <c r="V5" s="190">
        <v>0.0</v>
      </c>
      <c r="W5" s="187" t="s">
        <v>635</v>
      </c>
      <c r="X5" s="180" t="s">
        <v>638</v>
      </c>
      <c r="Y5" s="178" t="s">
        <v>639</v>
      </c>
      <c r="Z5" s="180" t="s">
        <v>640</v>
      </c>
      <c r="AA5" s="178" t="s">
        <v>159</v>
      </c>
      <c r="AB5" s="178" t="s">
        <v>180</v>
      </c>
      <c r="AC5" s="178" t="s">
        <v>135</v>
      </c>
      <c r="AD5" s="178" t="s">
        <v>161</v>
      </c>
      <c r="AE5" s="178" t="s">
        <v>304</v>
      </c>
      <c r="AF5" s="188" t="s">
        <v>183</v>
      </c>
      <c r="AG5" s="251">
        <v>0.0</v>
      </c>
      <c r="AH5" s="252" t="s">
        <v>646</v>
      </c>
      <c r="AI5" s="255" t="s">
        <v>39</v>
      </c>
      <c r="AJ5" s="256">
        <v>9884400.0</v>
      </c>
      <c r="AK5" s="254" t="s">
        <v>647</v>
      </c>
      <c r="AL5" s="134">
        <f t="shared" si="1"/>
        <v>44582</v>
      </c>
      <c r="AM5" s="135">
        <f t="shared" si="2"/>
        <v>-132</v>
      </c>
      <c r="AN5" s="136" t="str">
        <f t="shared" si="3"/>
        <v>Reporte ok</v>
      </c>
      <c r="AO5" s="137"/>
      <c r="AP5" s="138"/>
    </row>
    <row r="6" ht="67.5" customHeight="1">
      <c r="A6" s="118"/>
      <c r="B6" s="177">
        <v>96.0</v>
      </c>
      <c r="C6" s="178" t="s">
        <v>290</v>
      </c>
      <c r="D6" s="178" t="s">
        <v>635</v>
      </c>
      <c r="E6" s="178" t="s">
        <v>292</v>
      </c>
      <c r="F6" s="179">
        <v>2.01901100028E12</v>
      </c>
      <c r="G6" s="180" t="s">
        <v>293</v>
      </c>
      <c r="H6" s="178" t="s">
        <v>314</v>
      </c>
      <c r="I6" s="178" t="s">
        <v>648</v>
      </c>
      <c r="J6" s="178" t="s">
        <v>326</v>
      </c>
      <c r="K6" s="181" t="s">
        <v>124</v>
      </c>
      <c r="L6" s="181" t="s">
        <v>125</v>
      </c>
      <c r="M6" s="181" t="s">
        <v>126</v>
      </c>
      <c r="N6" s="182" t="s">
        <v>649</v>
      </c>
      <c r="O6" s="183"/>
      <c r="P6" s="190">
        <v>6.0</v>
      </c>
      <c r="Q6" s="185" t="s">
        <v>650</v>
      </c>
      <c r="R6" s="186" t="s">
        <v>170</v>
      </c>
      <c r="S6" s="190">
        <v>0.0</v>
      </c>
      <c r="T6" s="190">
        <v>2.0</v>
      </c>
      <c r="U6" s="190">
        <v>2.0</v>
      </c>
      <c r="V6" s="190">
        <v>2.0</v>
      </c>
      <c r="W6" s="187" t="s">
        <v>635</v>
      </c>
      <c r="X6" s="180" t="s">
        <v>638</v>
      </c>
      <c r="Y6" s="178" t="s">
        <v>639</v>
      </c>
      <c r="Z6" s="180" t="s">
        <v>640</v>
      </c>
      <c r="AA6" s="178" t="s">
        <v>159</v>
      </c>
      <c r="AB6" s="178" t="s">
        <v>180</v>
      </c>
      <c r="AC6" s="178" t="s">
        <v>135</v>
      </c>
      <c r="AD6" s="178" t="s">
        <v>161</v>
      </c>
      <c r="AE6" s="178" t="s">
        <v>304</v>
      </c>
      <c r="AF6" s="188" t="s">
        <v>183</v>
      </c>
      <c r="AG6" s="251">
        <v>2.0</v>
      </c>
      <c r="AH6" s="257" t="s">
        <v>651</v>
      </c>
      <c r="AI6" s="214" t="s">
        <v>652</v>
      </c>
      <c r="AJ6" s="251">
        <v>6.0</v>
      </c>
      <c r="AK6" s="254" t="s">
        <v>653</v>
      </c>
      <c r="AL6" s="134">
        <f t="shared" si="1"/>
        <v>44582</v>
      </c>
      <c r="AM6" s="135">
        <f t="shared" si="2"/>
        <v>-132</v>
      </c>
      <c r="AN6" s="136" t="str">
        <f t="shared" si="3"/>
        <v>Reporte ok</v>
      </c>
      <c r="AO6" s="137"/>
      <c r="AP6" s="138"/>
    </row>
    <row r="7" ht="67.5" customHeight="1">
      <c r="A7" s="118"/>
      <c r="B7" s="177">
        <v>97.0</v>
      </c>
      <c r="C7" s="178" t="s">
        <v>290</v>
      </c>
      <c r="D7" s="178" t="s">
        <v>635</v>
      </c>
      <c r="E7" s="178" t="s">
        <v>292</v>
      </c>
      <c r="F7" s="179">
        <v>2.01901100028E12</v>
      </c>
      <c r="G7" s="180" t="s">
        <v>293</v>
      </c>
      <c r="H7" s="178" t="s">
        <v>294</v>
      </c>
      <c r="I7" s="178" t="s">
        <v>295</v>
      </c>
      <c r="J7" s="178" t="s">
        <v>350</v>
      </c>
      <c r="K7" s="181" t="s">
        <v>147</v>
      </c>
      <c r="L7" s="181" t="s">
        <v>125</v>
      </c>
      <c r="M7" s="181" t="s">
        <v>126</v>
      </c>
      <c r="N7" s="182" t="s">
        <v>654</v>
      </c>
      <c r="O7" s="183"/>
      <c r="P7" s="190">
        <v>30.0</v>
      </c>
      <c r="Q7" s="185" t="s">
        <v>655</v>
      </c>
      <c r="R7" s="186" t="s">
        <v>128</v>
      </c>
      <c r="S7" s="190">
        <v>0.0</v>
      </c>
      <c r="T7" s="190">
        <v>0.0</v>
      </c>
      <c r="U7" s="190">
        <v>0.0</v>
      </c>
      <c r="V7" s="190">
        <v>30.0</v>
      </c>
      <c r="W7" s="187" t="s">
        <v>635</v>
      </c>
      <c r="X7" s="180" t="s">
        <v>638</v>
      </c>
      <c r="Y7" s="178" t="s">
        <v>639</v>
      </c>
      <c r="Z7" s="180" t="s">
        <v>640</v>
      </c>
      <c r="AA7" s="178" t="s">
        <v>159</v>
      </c>
      <c r="AB7" s="178" t="s">
        <v>180</v>
      </c>
      <c r="AC7" s="178" t="s">
        <v>384</v>
      </c>
      <c r="AD7" s="178" t="s">
        <v>161</v>
      </c>
      <c r="AE7" s="178" t="s">
        <v>304</v>
      </c>
      <c r="AF7" s="188" t="s">
        <v>183</v>
      </c>
      <c r="AG7" s="251">
        <v>41.0</v>
      </c>
      <c r="AH7" s="257" t="s">
        <v>656</v>
      </c>
      <c r="AI7" s="214" t="s">
        <v>657</v>
      </c>
      <c r="AJ7" s="251">
        <v>41.0</v>
      </c>
      <c r="AK7" s="254" t="s">
        <v>658</v>
      </c>
      <c r="AL7" s="134"/>
      <c r="AM7" s="135"/>
      <c r="AN7" s="136"/>
      <c r="AO7" s="137"/>
      <c r="AP7" s="138"/>
    </row>
    <row r="8" ht="67.5" customHeight="1">
      <c r="A8" s="118"/>
      <c r="B8" s="177">
        <v>98.0</v>
      </c>
      <c r="C8" s="178" t="s">
        <v>290</v>
      </c>
      <c r="D8" s="178" t="s">
        <v>635</v>
      </c>
      <c r="E8" s="178" t="s">
        <v>292</v>
      </c>
      <c r="F8" s="179">
        <v>2.01901100028E12</v>
      </c>
      <c r="G8" s="180" t="s">
        <v>293</v>
      </c>
      <c r="H8" s="178" t="s">
        <v>294</v>
      </c>
      <c r="I8" s="178" t="s">
        <v>295</v>
      </c>
      <c r="J8" s="178" t="s">
        <v>350</v>
      </c>
      <c r="K8" s="181" t="s">
        <v>327</v>
      </c>
      <c r="L8" s="181" t="s">
        <v>125</v>
      </c>
      <c r="M8" s="181" t="s">
        <v>126</v>
      </c>
      <c r="N8" s="182" t="s">
        <v>654</v>
      </c>
      <c r="O8" s="183"/>
      <c r="P8" s="190">
        <v>15.0</v>
      </c>
      <c r="Q8" s="185" t="s">
        <v>659</v>
      </c>
      <c r="R8" s="186" t="s">
        <v>128</v>
      </c>
      <c r="S8" s="190">
        <v>0.0</v>
      </c>
      <c r="T8" s="190">
        <v>0.0</v>
      </c>
      <c r="U8" s="190">
        <v>0.0</v>
      </c>
      <c r="V8" s="190">
        <v>15.0</v>
      </c>
      <c r="W8" s="187" t="s">
        <v>635</v>
      </c>
      <c r="X8" s="180" t="s">
        <v>638</v>
      </c>
      <c r="Y8" s="178" t="s">
        <v>639</v>
      </c>
      <c r="Z8" s="180" t="s">
        <v>640</v>
      </c>
      <c r="AA8" s="178" t="s">
        <v>159</v>
      </c>
      <c r="AB8" s="178" t="s">
        <v>180</v>
      </c>
      <c r="AC8" s="178" t="s">
        <v>384</v>
      </c>
      <c r="AD8" s="178" t="s">
        <v>161</v>
      </c>
      <c r="AE8" s="178" t="s">
        <v>304</v>
      </c>
      <c r="AF8" s="188" t="s">
        <v>183</v>
      </c>
      <c r="AG8" s="251">
        <v>21.0</v>
      </c>
      <c r="AH8" s="257" t="s">
        <v>660</v>
      </c>
      <c r="AI8" s="214" t="s">
        <v>661</v>
      </c>
      <c r="AJ8" s="251">
        <v>21.0</v>
      </c>
      <c r="AK8" s="254" t="s">
        <v>662</v>
      </c>
      <c r="AL8" s="134"/>
      <c r="AM8" s="135"/>
      <c r="AN8" s="136"/>
      <c r="AO8" s="137"/>
      <c r="AP8" s="138"/>
    </row>
    <row r="9" ht="67.5" customHeight="1">
      <c r="A9" s="118"/>
      <c r="B9" s="177">
        <v>99.0</v>
      </c>
      <c r="C9" s="178" t="s">
        <v>290</v>
      </c>
      <c r="D9" s="178" t="s">
        <v>635</v>
      </c>
      <c r="E9" s="178" t="s">
        <v>292</v>
      </c>
      <c r="F9" s="179">
        <v>2.01901100028E12</v>
      </c>
      <c r="G9" s="180" t="s">
        <v>293</v>
      </c>
      <c r="H9" s="178" t="s">
        <v>314</v>
      </c>
      <c r="I9" s="178" t="s">
        <v>315</v>
      </c>
      <c r="J9" s="178" t="s">
        <v>316</v>
      </c>
      <c r="K9" s="181" t="s">
        <v>147</v>
      </c>
      <c r="L9" s="181" t="s">
        <v>125</v>
      </c>
      <c r="M9" s="181" t="s">
        <v>126</v>
      </c>
      <c r="N9" s="182" t="s">
        <v>663</v>
      </c>
      <c r="O9" s="183"/>
      <c r="P9" s="190">
        <v>3.0</v>
      </c>
      <c r="Q9" s="185" t="s">
        <v>664</v>
      </c>
      <c r="R9" s="186" t="s">
        <v>128</v>
      </c>
      <c r="S9" s="190">
        <v>0.0</v>
      </c>
      <c r="T9" s="190">
        <v>0.0</v>
      </c>
      <c r="U9" s="190">
        <v>0.0</v>
      </c>
      <c r="V9" s="190">
        <v>3.0</v>
      </c>
      <c r="W9" s="187" t="s">
        <v>635</v>
      </c>
      <c r="X9" s="180" t="s">
        <v>638</v>
      </c>
      <c r="Y9" s="178" t="s">
        <v>639</v>
      </c>
      <c r="Z9" s="180" t="s">
        <v>640</v>
      </c>
      <c r="AA9" s="178" t="s">
        <v>159</v>
      </c>
      <c r="AB9" s="178" t="s">
        <v>180</v>
      </c>
      <c r="AC9" s="178" t="s">
        <v>384</v>
      </c>
      <c r="AD9" s="178" t="s">
        <v>161</v>
      </c>
      <c r="AE9" s="178" t="s">
        <v>304</v>
      </c>
      <c r="AF9" s="188" t="s">
        <v>183</v>
      </c>
      <c r="AG9" s="251">
        <v>3.0</v>
      </c>
      <c r="AH9" s="257" t="s">
        <v>665</v>
      </c>
      <c r="AI9" s="214" t="s">
        <v>666</v>
      </c>
      <c r="AJ9" s="251">
        <v>3.0</v>
      </c>
      <c r="AK9" s="258" t="s">
        <v>667</v>
      </c>
      <c r="AL9" s="134"/>
      <c r="AM9" s="135"/>
      <c r="AN9" s="136"/>
      <c r="AO9" s="137"/>
      <c r="AP9" s="138"/>
    </row>
    <row r="10" ht="67.5" customHeight="1">
      <c r="A10" s="118"/>
      <c r="B10" s="177">
        <v>100.0</v>
      </c>
      <c r="C10" s="178" t="s">
        <v>290</v>
      </c>
      <c r="D10" s="178" t="s">
        <v>635</v>
      </c>
      <c r="E10" s="178" t="s">
        <v>292</v>
      </c>
      <c r="F10" s="179">
        <v>2.01901100028E12</v>
      </c>
      <c r="G10" s="180" t="s">
        <v>293</v>
      </c>
      <c r="H10" s="178" t="s">
        <v>314</v>
      </c>
      <c r="I10" s="178" t="s">
        <v>315</v>
      </c>
      <c r="J10" s="178" t="s">
        <v>316</v>
      </c>
      <c r="K10" s="181" t="s">
        <v>124</v>
      </c>
      <c r="L10" s="181" t="s">
        <v>125</v>
      </c>
      <c r="M10" s="181" t="s">
        <v>126</v>
      </c>
      <c r="N10" s="182" t="s">
        <v>668</v>
      </c>
      <c r="O10" s="183"/>
      <c r="P10" s="190">
        <v>1.0</v>
      </c>
      <c r="Q10" s="185" t="s">
        <v>669</v>
      </c>
      <c r="R10" s="186" t="s">
        <v>170</v>
      </c>
      <c r="S10" s="190">
        <v>1.0</v>
      </c>
      <c r="T10" s="190">
        <v>0.0</v>
      </c>
      <c r="U10" s="190">
        <v>0.0</v>
      </c>
      <c r="V10" s="190">
        <v>0.0</v>
      </c>
      <c r="W10" s="187" t="s">
        <v>635</v>
      </c>
      <c r="X10" s="180" t="s">
        <v>638</v>
      </c>
      <c r="Y10" s="178" t="s">
        <v>639</v>
      </c>
      <c r="Z10" s="180" t="s">
        <v>640</v>
      </c>
      <c r="AA10" s="178" t="s">
        <v>159</v>
      </c>
      <c r="AB10" s="178" t="s">
        <v>180</v>
      </c>
      <c r="AC10" s="178" t="s">
        <v>384</v>
      </c>
      <c r="AD10" s="178" t="s">
        <v>161</v>
      </c>
      <c r="AE10" s="178" t="s">
        <v>304</v>
      </c>
      <c r="AF10" s="188" t="s">
        <v>183</v>
      </c>
      <c r="AG10" s="251">
        <v>0.0</v>
      </c>
      <c r="AH10" s="257" t="s">
        <v>646</v>
      </c>
      <c r="AI10" s="259" t="s">
        <v>39</v>
      </c>
      <c r="AJ10" s="251">
        <v>1.0</v>
      </c>
      <c r="AK10" s="258" t="s">
        <v>670</v>
      </c>
      <c r="AL10" s="134"/>
      <c r="AM10" s="135"/>
      <c r="AN10" s="136"/>
      <c r="AO10" s="137"/>
      <c r="AP10" s="138"/>
    </row>
    <row r="11" ht="67.5" customHeight="1">
      <c r="A11" s="118"/>
      <c r="B11" s="177">
        <v>101.0</v>
      </c>
      <c r="C11" s="178" t="s">
        <v>290</v>
      </c>
      <c r="D11" s="178" t="s">
        <v>635</v>
      </c>
      <c r="E11" s="178" t="s">
        <v>292</v>
      </c>
      <c r="F11" s="179">
        <v>2.01901100028E12</v>
      </c>
      <c r="G11" s="180" t="s">
        <v>293</v>
      </c>
      <c r="H11" s="178" t="s">
        <v>294</v>
      </c>
      <c r="I11" s="178" t="s">
        <v>295</v>
      </c>
      <c r="J11" s="178" t="s">
        <v>350</v>
      </c>
      <c r="K11" s="181" t="s">
        <v>327</v>
      </c>
      <c r="L11" s="181" t="s">
        <v>125</v>
      </c>
      <c r="M11" s="181" t="s">
        <v>126</v>
      </c>
      <c r="N11" s="182" t="s">
        <v>671</v>
      </c>
      <c r="O11" s="183"/>
      <c r="P11" s="190">
        <v>1.0</v>
      </c>
      <c r="Q11" s="185" t="s">
        <v>672</v>
      </c>
      <c r="R11" s="186" t="s">
        <v>170</v>
      </c>
      <c r="S11" s="190">
        <v>1.0</v>
      </c>
      <c r="T11" s="190">
        <v>1.0</v>
      </c>
      <c r="U11" s="190">
        <v>1.0</v>
      </c>
      <c r="V11" s="190">
        <v>1.0</v>
      </c>
      <c r="W11" s="187" t="s">
        <v>635</v>
      </c>
      <c r="X11" s="180" t="s">
        <v>638</v>
      </c>
      <c r="Y11" s="178" t="s">
        <v>639</v>
      </c>
      <c r="Z11" s="180" t="s">
        <v>640</v>
      </c>
      <c r="AA11" s="178" t="s">
        <v>159</v>
      </c>
      <c r="AB11" s="178" t="s">
        <v>180</v>
      </c>
      <c r="AC11" s="178" t="s">
        <v>384</v>
      </c>
      <c r="AD11" s="178" t="s">
        <v>161</v>
      </c>
      <c r="AE11" s="178" t="s">
        <v>304</v>
      </c>
      <c r="AF11" s="188" t="s">
        <v>183</v>
      </c>
      <c r="AG11" s="260">
        <v>1.0</v>
      </c>
      <c r="AH11" s="257" t="s">
        <v>673</v>
      </c>
      <c r="AI11" s="214" t="s">
        <v>674</v>
      </c>
      <c r="AJ11" s="260">
        <v>1.0</v>
      </c>
      <c r="AK11" s="258" t="s">
        <v>675</v>
      </c>
      <c r="AL11" s="134"/>
      <c r="AM11" s="135"/>
      <c r="AN11" s="136"/>
      <c r="AO11" s="137"/>
      <c r="AP11" s="138"/>
    </row>
    <row r="12" ht="67.5" customHeight="1">
      <c r="A12" s="118"/>
      <c r="B12" s="177">
        <v>102.0</v>
      </c>
      <c r="C12" s="178" t="s">
        <v>290</v>
      </c>
      <c r="D12" s="178" t="s">
        <v>635</v>
      </c>
      <c r="E12" s="178" t="s">
        <v>292</v>
      </c>
      <c r="F12" s="179">
        <v>2.01901100028E12</v>
      </c>
      <c r="G12" s="180" t="s">
        <v>293</v>
      </c>
      <c r="H12" s="178" t="s">
        <v>314</v>
      </c>
      <c r="I12" s="178" t="s">
        <v>315</v>
      </c>
      <c r="J12" s="178" t="s">
        <v>316</v>
      </c>
      <c r="K12" s="181" t="s">
        <v>147</v>
      </c>
      <c r="L12" s="181" t="s">
        <v>125</v>
      </c>
      <c r="M12" s="181" t="s">
        <v>126</v>
      </c>
      <c r="N12" s="182" t="s">
        <v>676</v>
      </c>
      <c r="O12" s="183"/>
      <c r="P12" s="190">
        <v>50.0</v>
      </c>
      <c r="Q12" s="185" t="s">
        <v>677</v>
      </c>
      <c r="R12" s="186" t="s">
        <v>128</v>
      </c>
      <c r="S12" s="190">
        <v>0.0</v>
      </c>
      <c r="T12" s="190">
        <v>0.0</v>
      </c>
      <c r="U12" s="190">
        <v>0.0</v>
      </c>
      <c r="V12" s="190">
        <v>50.0</v>
      </c>
      <c r="W12" s="187" t="s">
        <v>635</v>
      </c>
      <c r="X12" s="180" t="s">
        <v>638</v>
      </c>
      <c r="Y12" s="178" t="s">
        <v>639</v>
      </c>
      <c r="Z12" s="180" t="s">
        <v>640</v>
      </c>
      <c r="AA12" s="178" t="s">
        <v>159</v>
      </c>
      <c r="AB12" s="178" t="s">
        <v>180</v>
      </c>
      <c r="AC12" s="178" t="s">
        <v>135</v>
      </c>
      <c r="AD12" s="178" t="s">
        <v>161</v>
      </c>
      <c r="AE12" s="178" t="s">
        <v>304</v>
      </c>
      <c r="AF12" s="188" t="s">
        <v>183</v>
      </c>
      <c r="AG12" s="251">
        <v>907.0</v>
      </c>
      <c r="AH12" s="229" t="s">
        <v>678</v>
      </c>
      <c r="AI12" s="214" t="s">
        <v>679</v>
      </c>
      <c r="AJ12" s="191">
        <v>907.0</v>
      </c>
      <c r="AK12" s="133" t="s">
        <v>680</v>
      </c>
      <c r="AL12" s="134"/>
      <c r="AM12" s="135"/>
      <c r="AN12" s="136"/>
      <c r="AO12" s="137"/>
      <c r="AP12" s="138"/>
    </row>
    <row r="13" ht="67.5" customHeight="1">
      <c r="A13" s="118"/>
      <c r="B13" s="177">
        <v>103.0</v>
      </c>
      <c r="C13" s="178" t="s">
        <v>290</v>
      </c>
      <c r="D13" s="178" t="s">
        <v>635</v>
      </c>
      <c r="E13" s="178" t="s">
        <v>292</v>
      </c>
      <c r="F13" s="179">
        <v>2.01901100028E12</v>
      </c>
      <c r="G13" s="180" t="s">
        <v>293</v>
      </c>
      <c r="H13" s="178" t="s">
        <v>294</v>
      </c>
      <c r="I13" s="178" t="s">
        <v>295</v>
      </c>
      <c r="J13" s="178" t="s">
        <v>296</v>
      </c>
      <c r="K13" s="181" t="s">
        <v>147</v>
      </c>
      <c r="L13" s="181" t="s">
        <v>125</v>
      </c>
      <c r="M13" s="181" t="s">
        <v>126</v>
      </c>
      <c r="N13" s="182" t="s">
        <v>681</v>
      </c>
      <c r="O13" s="183"/>
      <c r="P13" s="190">
        <v>5000.0</v>
      </c>
      <c r="Q13" s="185" t="s">
        <v>682</v>
      </c>
      <c r="R13" s="186" t="s">
        <v>170</v>
      </c>
      <c r="S13" s="190">
        <v>700.0</v>
      </c>
      <c r="T13" s="190">
        <v>1000.0</v>
      </c>
      <c r="U13" s="190">
        <v>1800.0</v>
      </c>
      <c r="V13" s="190">
        <v>1500.0</v>
      </c>
      <c r="W13" s="187" t="s">
        <v>635</v>
      </c>
      <c r="X13" s="180" t="s">
        <v>638</v>
      </c>
      <c r="Y13" s="178" t="s">
        <v>639</v>
      </c>
      <c r="Z13" s="180" t="s">
        <v>640</v>
      </c>
      <c r="AA13" s="178" t="s">
        <v>159</v>
      </c>
      <c r="AB13" s="178" t="s">
        <v>180</v>
      </c>
      <c r="AC13" s="178" t="s">
        <v>303</v>
      </c>
      <c r="AD13" s="178" t="s">
        <v>161</v>
      </c>
      <c r="AE13" s="178" t="s">
        <v>304</v>
      </c>
      <c r="AF13" s="188" t="s">
        <v>183</v>
      </c>
      <c r="AG13" s="251">
        <v>1028.0</v>
      </c>
      <c r="AH13" s="257" t="s">
        <v>683</v>
      </c>
      <c r="AI13" s="261" t="s">
        <v>684</v>
      </c>
      <c r="AJ13" s="251">
        <v>8870.0</v>
      </c>
      <c r="AK13" s="258" t="s">
        <v>685</v>
      </c>
      <c r="AL13" s="134"/>
      <c r="AM13" s="135"/>
      <c r="AN13" s="136"/>
      <c r="AO13" s="137"/>
      <c r="AP13" s="138"/>
    </row>
    <row r="14" ht="67.5" customHeight="1">
      <c r="A14" s="118"/>
      <c r="B14" s="177">
        <v>104.0</v>
      </c>
      <c r="C14" s="178" t="s">
        <v>372</v>
      </c>
      <c r="D14" s="178" t="s">
        <v>635</v>
      </c>
      <c r="E14" s="178" t="s">
        <v>374</v>
      </c>
      <c r="F14" s="179">
        <v>2.019011000276E12</v>
      </c>
      <c r="G14" s="180" t="s">
        <v>375</v>
      </c>
      <c r="H14" s="178" t="s">
        <v>388</v>
      </c>
      <c r="I14" s="178" t="s">
        <v>389</v>
      </c>
      <c r="J14" s="178" t="s">
        <v>390</v>
      </c>
      <c r="K14" s="181" t="s">
        <v>147</v>
      </c>
      <c r="L14" s="181" t="s">
        <v>125</v>
      </c>
      <c r="M14" s="181" t="s">
        <v>126</v>
      </c>
      <c r="N14" s="182" t="s">
        <v>686</v>
      </c>
      <c r="O14" s="183"/>
      <c r="P14" s="190">
        <v>1000.0</v>
      </c>
      <c r="Q14" s="185" t="s">
        <v>687</v>
      </c>
      <c r="R14" s="186" t="s">
        <v>170</v>
      </c>
      <c r="S14" s="190">
        <v>130.0</v>
      </c>
      <c r="T14" s="190">
        <v>300.0</v>
      </c>
      <c r="U14" s="190">
        <v>300.0</v>
      </c>
      <c r="V14" s="190">
        <v>270.0</v>
      </c>
      <c r="W14" s="187" t="s">
        <v>635</v>
      </c>
      <c r="X14" s="180" t="s">
        <v>638</v>
      </c>
      <c r="Y14" s="178" t="s">
        <v>639</v>
      </c>
      <c r="Z14" s="180" t="s">
        <v>640</v>
      </c>
      <c r="AA14" s="178" t="s">
        <v>159</v>
      </c>
      <c r="AB14" s="178" t="s">
        <v>180</v>
      </c>
      <c r="AC14" s="178" t="s">
        <v>384</v>
      </c>
      <c r="AD14" s="178" t="s">
        <v>161</v>
      </c>
      <c r="AE14" s="178" t="s">
        <v>304</v>
      </c>
      <c r="AF14" s="188" t="s">
        <v>183</v>
      </c>
      <c r="AG14" s="191">
        <v>134.0</v>
      </c>
      <c r="AH14" s="257" t="s">
        <v>688</v>
      </c>
      <c r="AI14" s="261" t="s">
        <v>689</v>
      </c>
      <c r="AJ14" s="191">
        <v>1038.0</v>
      </c>
      <c r="AK14" s="133"/>
      <c r="AL14" s="134"/>
      <c r="AM14" s="135"/>
      <c r="AN14" s="136"/>
      <c r="AO14" s="137"/>
      <c r="AP14" s="138"/>
    </row>
    <row r="15" ht="67.5" customHeight="1">
      <c r="A15" s="118"/>
      <c r="B15" s="177">
        <v>105.0</v>
      </c>
      <c r="C15" s="178" t="s">
        <v>290</v>
      </c>
      <c r="D15" s="178" t="s">
        <v>635</v>
      </c>
      <c r="E15" s="178" t="s">
        <v>292</v>
      </c>
      <c r="F15" s="179">
        <v>2.01901100028E12</v>
      </c>
      <c r="G15" s="180" t="s">
        <v>293</v>
      </c>
      <c r="H15" s="178" t="s">
        <v>294</v>
      </c>
      <c r="I15" s="178" t="s">
        <v>690</v>
      </c>
      <c r="J15" s="178" t="s">
        <v>321</v>
      </c>
      <c r="K15" s="181" t="s">
        <v>124</v>
      </c>
      <c r="L15" s="181" t="s">
        <v>125</v>
      </c>
      <c r="M15" s="181" t="s">
        <v>126</v>
      </c>
      <c r="N15" s="182" t="s">
        <v>691</v>
      </c>
      <c r="O15" s="183"/>
      <c r="P15" s="190">
        <v>1.201E7</v>
      </c>
      <c r="Q15" s="185" t="s">
        <v>692</v>
      </c>
      <c r="R15" s="186" t="s">
        <v>170</v>
      </c>
      <c r="S15" s="190">
        <v>100000.0</v>
      </c>
      <c r="T15" s="190">
        <v>3200000.0</v>
      </c>
      <c r="U15" s="190">
        <v>4305000.0</v>
      </c>
      <c r="V15" s="190">
        <v>4405000.0</v>
      </c>
      <c r="W15" s="187" t="s">
        <v>635</v>
      </c>
      <c r="X15" s="180" t="s">
        <v>638</v>
      </c>
      <c r="Y15" s="178" t="s">
        <v>639</v>
      </c>
      <c r="Z15" s="180" t="s">
        <v>640</v>
      </c>
      <c r="AA15" s="178" t="s">
        <v>159</v>
      </c>
      <c r="AB15" s="178" t="s">
        <v>180</v>
      </c>
      <c r="AC15" s="178" t="s">
        <v>135</v>
      </c>
      <c r="AD15" s="178" t="s">
        <v>161</v>
      </c>
      <c r="AE15" s="178" t="s">
        <v>304</v>
      </c>
      <c r="AF15" s="188" t="s">
        <v>183</v>
      </c>
      <c r="AG15" s="251">
        <v>3949900.0</v>
      </c>
      <c r="AH15" s="257" t="s">
        <v>693</v>
      </c>
      <c r="AI15" s="214" t="s">
        <v>694</v>
      </c>
      <c r="AJ15" s="262">
        <v>1.47949E7</v>
      </c>
      <c r="AK15" s="258" t="s">
        <v>695</v>
      </c>
      <c r="AL15" s="134"/>
      <c r="AM15" s="135"/>
      <c r="AN15" s="136"/>
      <c r="AO15" s="137"/>
      <c r="AP15" s="138"/>
    </row>
    <row r="16" ht="67.5" customHeight="1">
      <c r="A16" s="118"/>
      <c r="B16" s="177">
        <v>106.0</v>
      </c>
      <c r="C16" s="178" t="s">
        <v>290</v>
      </c>
      <c r="D16" s="178" t="s">
        <v>635</v>
      </c>
      <c r="E16" s="178" t="s">
        <v>292</v>
      </c>
      <c r="F16" s="179">
        <v>2.01901100028E12</v>
      </c>
      <c r="G16" s="180" t="s">
        <v>293</v>
      </c>
      <c r="H16" s="178" t="s">
        <v>314</v>
      </c>
      <c r="I16" s="178" t="s">
        <v>295</v>
      </c>
      <c r="J16" s="178" t="s">
        <v>350</v>
      </c>
      <c r="K16" s="181" t="s">
        <v>147</v>
      </c>
      <c r="L16" s="181" t="s">
        <v>125</v>
      </c>
      <c r="M16" s="181" t="s">
        <v>126</v>
      </c>
      <c r="N16" s="182" t="s">
        <v>696</v>
      </c>
      <c r="O16" s="183"/>
      <c r="P16" s="190">
        <v>50.0</v>
      </c>
      <c r="Q16" s="185" t="s">
        <v>697</v>
      </c>
      <c r="R16" s="186" t="s">
        <v>170</v>
      </c>
      <c r="S16" s="190">
        <v>5.0</v>
      </c>
      <c r="T16" s="190">
        <v>15.0</v>
      </c>
      <c r="U16" s="190">
        <v>15.0</v>
      </c>
      <c r="V16" s="190">
        <v>15.0</v>
      </c>
      <c r="W16" s="187" t="s">
        <v>635</v>
      </c>
      <c r="X16" s="180" t="s">
        <v>638</v>
      </c>
      <c r="Y16" s="178" t="s">
        <v>639</v>
      </c>
      <c r="Z16" s="180" t="s">
        <v>640</v>
      </c>
      <c r="AA16" s="178" t="s">
        <v>159</v>
      </c>
      <c r="AB16" s="178" t="s">
        <v>180</v>
      </c>
      <c r="AC16" s="178" t="s">
        <v>135</v>
      </c>
      <c r="AD16" s="178" t="s">
        <v>161</v>
      </c>
      <c r="AE16" s="178" t="s">
        <v>304</v>
      </c>
      <c r="AF16" s="188" t="s">
        <v>183</v>
      </c>
      <c r="AG16" s="251">
        <v>14.0</v>
      </c>
      <c r="AH16" s="229" t="s">
        <v>698</v>
      </c>
      <c r="AI16" s="214" t="s">
        <v>699</v>
      </c>
      <c r="AJ16" s="251">
        <v>54.0</v>
      </c>
      <c r="AK16" s="133" t="s">
        <v>700</v>
      </c>
      <c r="AL16" s="134"/>
      <c r="AM16" s="135"/>
      <c r="AN16" s="136"/>
      <c r="AO16" s="137"/>
      <c r="AP16" s="138"/>
    </row>
    <row r="17" ht="67.5" customHeight="1">
      <c r="A17" s="118"/>
      <c r="B17" s="177">
        <v>107.0</v>
      </c>
      <c r="C17" s="178" t="s">
        <v>290</v>
      </c>
      <c r="D17" s="178" t="s">
        <v>635</v>
      </c>
      <c r="E17" s="178" t="s">
        <v>292</v>
      </c>
      <c r="F17" s="179">
        <v>2.01901100028E12</v>
      </c>
      <c r="G17" s="180" t="s">
        <v>293</v>
      </c>
      <c r="H17" s="178" t="s">
        <v>314</v>
      </c>
      <c r="I17" s="178" t="s">
        <v>295</v>
      </c>
      <c r="J17" s="178" t="s">
        <v>350</v>
      </c>
      <c r="K17" s="181" t="s">
        <v>147</v>
      </c>
      <c r="L17" s="181" t="s">
        <v>125</v>
      </c>
      <c r="M17" s="181" t="s">
        <v>126</v>
      </c>
      <c r="N17" s="182" t="s">
        <v>701</v>
      </c>
      <c r="O17" s="183"/>
      <c r="P17" s="190">
        <v>30.0</v>
      </c>
      <c r="Q17" s="185" t="s">
        <v>702</v>
      </c>
      <c r="R17" s="186" t="s">
        <v>170</v>
      </c>
      <c r="S17" s="190">
        <v>0.0</v>
      </c>
      <c r="T17" s="190">
        <v>5.0</v>
      </c>
      <c r="U17" s="190">
        <v>14.0</v>
      </c>
      <c r="V17" s="190">
        <v>11.0</v>
      </c>
      <c r="W17" s="187" t="s">
        <v>635</v>
      </c>
      <c r="X17" s="180" t="s">
        <v>638</v>
      </c>
      <c r="Y17" s="178" t="s">
        <v>639</v>
      </c>
      <c r="Z17" s="180" t="s">
        <v>640</v>
      </c>
      <c r="AA17" s="178" t="s">
        <v>159</v>
      </c>
      <c r="AB17" s="178" t="s">
        <v>180</v>
      </c>
      <c r="AC17" s="178" t="s">
        <v>135</v>
      </c>
      <c r="AD17" s="178" t="s">
        <v>161</v>
      </c>
      <c r="AE17" s="178" t="s">
        <v>304</v>
      </c>
      <c r="AF17" s="188" t="s">
        <v>183</v>
      </c>
      <c r="AG17" s="251">
        <v>11.0</v>
      </c>
      <c r="AH17" s="257" t="s">
        <v>703</v>
      </c>
      <c r="AI17" s="231" t="s">
        <v>704</v>
      </c>
      <c r="AJ17" s="251">
        <v>30.0</v>
      </c>
      <c r="AK17" s="258" t="s">
        <v>705</v>
      </c>
      <c r="AL17" s="134"/>
      <c r="AM17" s="135"/>
      <c r="AN17" s="136"/>
      <c r="AO17" s="137"/>
      <c r="AP17" s="138"/>
    </row>
    <row r="18" ht="67.5" customHeight="1">
      <c r="A18" s="118"/>
      <c r="B18" s="177">
        <v>108.0</v>
      </c>
      <c r="C18" s="178" t="s">
        <v>372</v>
      </c>
      <c r="D18" s="178" t="s">
        <v>635</v>
      </c>
      <c r="E18" s="178" t="s">
        <v>374</v>
      </c>
      <c r="F18" s="179">
        <v>2.019011000276E12</v>
      </c>
      <c r="G18" s="180" t="s">
        <v>375</v>
      </c>
      <c r="H18" s="178" t="s">
        <v>388</v>
      </c>
      <c r="I18" s="178" t="s">
        <v>389</v>
      </c>
      <c r="J18" s="178" t="s">
        <v>390</v>
      </c>
      <c r="K18" s="181" t="s">
        <v>327</v>
      </c>
      <c r="L18" s="181" t="s">
        <v>125</v>
      </c>
      <c r="M18" s="181" t="s">
        <v>126</v>
      </c>
      <c r="N18" s="182" t="s">
        <v>706</v>
      </c>
      <c r="O18" s="183"/>
      <c r="P18" s="190">
        <v>40.0</v>
      </c>
      <c r="Q18" s="185" t="s">
        <v>707</v>
      </c>
      <c r="R18" s="186" t="s">
        <v>170</v>
      </c>
      <c r="S18" s="190">
        <v>5.0</v>
      </c>
      <c r="T18" s="190">
        <v>7.0</v>
      </c>
      <c r="U18" s="190">
        <v>11.0</v>
      </c>
      <c r="V18" s="190">
        <v>17.0</v>
      </c>
      <c r="W18" s="187" t="s">
        <v>635</v>
      </c>
      <c r="X18" s="180" t="s">
        <v>638</v>
      </c>
      <c r="Y18" s="178" t="s">
        <v>639</v>
      </c>
      <c r="Z18" s="180" t="s">
        <v>640</v>
      </c>
      <c r="AA18" s="178" t="s">
        <v>159</v>
      </c>
      <c r="AB18" s="178" t="s">
        <v>180</v>
      </c>
      <c r="AC18" s="178" t="s">
        <v>384</v>
      </c>
      <c r="AD18" s="178" t="s">
        <v>161</v>
      </c>
      <c r="AE18" s="178" t="s">
        <v>304</v>
      </c>
      <c r="AF18" s="188" t="s">
        <v>183</v>
      </c>
      <c r="AG18" s="251">
        <v>11.0</v>
      </c>
      <c r="AH18" s="257" t="s">
        <v>708</v>
      </c>
      <c r="AI18" s="214" t="s">
        <v>709</v>
      </c>
      <c r="AJ18" s="251">
        <v>51.0</v>
      </c>
      <c r="AK18" s="258" t="s">
        <v>710</v>
      </c>
      <c r="AL18" s="134"/>
      <c r="AM18" s="135"/>
      <c r="AN18" s="136"/>
      <c r="AO18" s="137"/>
      <c r="AP18" s="138"/>
    </row>
    <row r="19" ht="67.5" customHeight="1">
      <c r="A19" s="118"/>
      <c r="B19" s="177">
        <v>109.0</v>
      </c>
      <c r="C19" s="178" t="s">
        <v>372</v>
      </c>
      <c r="D19" s="178" t="s">
        <v>635</v>
      </c>
      <c r="E19" s="178" t="s">
        <v>374</v>
      </c>
      <c r="F19" s="179">
        <v>2.019011000276E12</v>
      </c>
      <c r="G19" s="180" t="s">
        <v>375</v>
      </c>
      <c r="H19" s="178" t="s">
        <v>376</v>
      </c>
      <c r="I19" s="178" t="s">
        <v>377</v>
      </c>
      <c r="J19" s="178" t="s">
        <v>378</v>
      </c>
      <c r="K19" s="181" t="s">
        <v>147</v>
      </c>
      <c r="L19" s="181" t="s">
        <v>125</v>
      </c>
      <c r="M19" s="181" t="s">
        <v>126</v>
      </c>
      <c r="N19" s="182" t="s">
        <v>711</v>
      </c>
      <c r="O19" s="183"/>
      <c r="P19" s="190">
        <v>40.0</v>
      </c>
      <c r="Q19" s="185" t="s">
        <v>712</v>
      </c>
      <c r="R19" s="186" t="s">
        <v>170</v>
      </c>
      <c r="S19" s="190">
        <v>5.0</v>
      </c>
      <c r="T19" s="190">
        <v>10.0</v>
      </c>
      <c r="U19" s="190">
        <v>15.0</v>
      </c>
      <c r="V19" s="190">
        <v>10.0</v>
      </c>
      <c r="W19" s="187" t="s">
        <v>635</v>
      </c>
      <c r="X19" s="180" t="s">
        <v>638</v>
      </c>
      <c r="Y19" s="178" t="s">
        <v>639</v>
      </c>
      <c r="Z19" s="180" t="s">
        <v>640</v>
      </c>
      <c r="AA19" s="178" t="s">
        <v>159</v>
      </c>
      <c r="AB19" s="178" t="s">
        <v>180</v>
      </c>
      <c r="AC19" s="178" t="s">
        <v>303</v>
      </c>
      <c r="AD19" s="178" t="s">
        <v>161</v>
      </c>
      <c r="AE19" s="178" t="s">
        <v>304</v>
      </c>
      <c r="AF19" s="188" t="s">
        <v>183</v>
      </c>
      <c r="AG19" s="251">
        <v>12.0</v>
      </c>
      <c r="AH19" s="257" t="s">
        <v>713</v>
      </c>
      <c r="AI19" s="214" t="s">
        <v>714</v>
      </c>
      <c r="AJ19" s="251">
        <v>40.0</v>
      </c>
      <c r="AK19" s="258" t="s">
        <v>715</v>
      </c>
      <c r="AL19" s="134" t="str">
        <f t="shared" ref="AL19:AL20" si="4">IF(ISBLANK(AG19),"Pendiente Ejecución"&amp;CHAR(10),)&amp;IF(ISBLANK(AH19),"Pendiente Justificación"&amp;CHAR(10),)&amp;IF(ISBLANK(AI19),"Pendiente Evidencia",)&amp;IF(OR(ISBLANK(AG19),ISBLANK(AH19),ISBLANK(AI19)),,"Reporte ok")</f>
        <v>Reporte ok</v>
      </c>
      <c r="AM19" s="135"/>
      <c r="AN19" s="136"/>
      <c r="AO19" s="137"/>
      <c r="AP19" s="138"/>
    </row>
    <row r="20" ht="67.5" customHeight="1">
      <c r="A20" s="118"/>
      <c r="B20" s="177">
        <v>110.0</v>
      </c>
      <c r="C20" s="178" t="s">
        <v>372</v>
      </c>
      <c r="D20" s="178" t="s">
        <v>635</v>
      </c>
      <c r="E20" s="178" t="s">
        <v>374</v>
      </c>
      <c r="F20" s="179">
        <v>2.019011000276E12</v>
      </c>
      <c r="G20" s="180" t="s">
        <v>375</v>
      </c>
      <c r="H20" s="178" t="s">
        <v>376</v>
      </c>
      <c r="I20" s="178" t="s">
        <v>377</v>
      </c>
      <c r="J20" s="178" t="s">
        <v>378</v>
      </c>
      <c r="K20" s="181" t="s">
        <v>147</v>
      </c>
      <c r="L20" s="181" t="s">
        <v>125</v>
      </c>
      <c r="M20" s="181" t="s">
        <v>126</v>
      </c>
      <c r="N20" s="182" t="s">
        <v>716</v>
      </c>
      <c r="O20" s="183"/>
      <c r="P20" s="190">
        <v>40.0</v>
      </c>
      <c r="Q20" s="185" t="s">
        <v>717</v>
      </c>
      <c r="R20" s="186" t="s">
        <v>170</v>
      </c>
      <c r="S20" s="190">
        <v>5.0</v>
      </c>
      <c r="T20" s="190">
        <v>10.0</v>
      </c>
      <c r="U20" s="190">
        <v>15.0</v>
      </c>
      <c r="V20" s="190">
        <v>10.0</v>
      </c>
      <c r="W20" s="187" t="s">
        <v>635</v>
      </c>
      <c r="X20" s="180" t="s">
        <v>638</v>
      </c>
      <c r="Y20" s="178" t="s">
        <v>639</v>
      </c>
      <c r="Z20" s="180" t="s">
        <v>640</v>
      </c>
      <c r="AA20" s="178" t="s">
        <v>159</v>
      </c>
      <c r="AB20" s="178" t="s">
        <v>180</v>
      </c>
      <c r="AC20" s="178" t="s">
        <v>303</v>
      </c>
      <c r="AD20" s="178" t="s">
        <v>161</v>
      </c>
      <c r="AE20" s="178" t="s">
        <v>304</v>
      </c>
      <c r="AF20" s="188" t="s">
        <v>183</v>
      </c>
      <c r="AG20" s="251">
        <v>13.0</v>
      </c>
      <c r="AH20" s="257" t="s">
        <v>718</v>
      </c>
      <c r="AI20" s="214" t="s">
        <v>719</v>
      </c>
      <c r="AJ20" s="251">
        <v>40.0</v>
      </c>
      <c r="AK20" s="258" t="s">
        <v>715</v>
      </c>
      <c r="AL20" s="134" t="str">
        <f t="shared" si="4"/>
        <v>Reporte ok</v>
      </c>
      <c r="AM20" s="135"/>
      <c r="AN20" s="136"/>
      <c r="AO20" s="137"/>
      <c r="AP20" s="138"/>
    </row>
    <row r="21" ht="67.5" customHeight="1">
      <c r="A21" s="118"/>
      <c r="B21" s="177"/>
      <c r="C21" s="178"/>
      <c r="D21" s="178"/>
      <c r="E21" s="178"/>
      <c r="F21" s="179"/>
      <c r="G21" s="180"/>
      <c r="H21" s="178"/>
      <c r="I21" s="178"/>
      <c r="J21" s="178"/>
      <c r="K21" s="181"/>
      <c r="L21" s="181"/>
      <c r="M21" s="181"/>
      <c r="N21" s="182"/>
      <c r="O21" s="183"/>
      <c r="P21" s="190"/>
      <c r="Q21" s="185"/>
      <c r="R21" s="186"/>
      <c r="S21" s="190"/>
      <c r="T21" s="190"/>
      <c r="U21" s="190"/>
      <c r="V21" s="190"/>
      <c r="W21" s="187"/>
      <c r="X21" s="180"/>
      <c r="Y21" s="178"/>
      <c r="Z21" s="180"/>
      <c r="AA21" s="178"/>
      <c r="AB21" s="178"/>
      <c r="AC21" s="178"/>
      <c r="AD21" s="178"/>
      <c r="AE21" s="178"/>
      <c r="AF21" s="188"/>
      <c r="AG21" s="146"/>
      <c r="AH21" s="147"/>
      <c r="AI21" s="148"/>
      <c r="AJ21" s="149"/>
      <c r="AK21" s="133"/>
      <c r="AL21" s="134"/>
      <c r="AM21" s="135"/>
      <c r="AN21" s="136"/>
      <c r="AO21" s="137"/>
      <c r="AP21" s="138"/>
    </row>
    <row r="22" ht="67.5" customHeight="1">
      <c r="A22" s="118"/>
      <c r="B22" s="177"/>
      <c r="C22" s="178"/>
      <c r="D22" s="178"/>
      <c r="E22" s="178"/>
      <c r="F22" s="179"/>
      <c r="G22" s="180"/>
      <c r="H22" s="178"/>
      <c r="I22" s="178"/>
      <c r="J22" s="178"/>
      <c r="K22" s="181"/>
      <c r="L22" s="181"/>
      <c r="M22" s="181"/>
      <c r="N22" s="182"/>
      <c r="O22" s="183"/>
      <c r="P22" s="190"/>
      <c r="Q22" s="185"/>
      <c r="R22" s="186"/>
      <c r="S22" s="190"/>
      <c r="T22" s="190"/>
      <c r="U22" s="190"/>
      <c r="V22" s="190"/>
      <c r="W22" s="187"/>
      <c r="X22" s="180"/>
      <c r="Y22" s="178"/>
      <c r="Z22" s="180"/>
      <c r="AA22" s="178"/>
      <c r="AB22" s="178"/>
      <c r="AC22" s="178"/>
      <c r="AD22" s="178"/>
      <c r="AE22" s="178"/>
      <c r="AF22" s="188"/>
      <c r="AG22" s="146"/>
      <c r="AH22" s="147"/>
      <c r="AI22" s="148"/>
      <c r="AJ22" s="149"/>
      <c r="AK22" s="133"/>
      <c r="AL22" s="134"/>
      <c r="AM22" s="135"/>
      <c r="AN22" s="136"/>
      <c r="AO22" s="137"/>
      <c r="AP22" s="138"/>
    </row>
    <row r="23" ht="67.5" customHeight="1">
      <c r="A23" s="118"/>
      <c r="B23" s="192"/>
      <c r="C23" s="193"/>
      <c r="D23" s="193"/>
      <c r="E23" s="193"/>
      <c r="F23" s="194"/>
      <c r="G23" s="195"/>
      <c r="H23" s="193"/>
      <c r="I23" s="193"/>
      <c r="J23" s="193"/>
      <c r="K23" s="196"/>
      <c r="L23" s="196"/>
      <c r="M23" s="196"/>
      <c r="N23" s="197"/>
      <c r="O23" s="198"/>
      <c r="P23" s="199"/>
      <c r="Q23" s="200"/>
      <c r="R23" s="201"/>
      <c r="S23" s="199"/>
      <c r="T23" s="199"/>
      <c r="U23" s="199"/>
      <c r="V23" s="199"/>
      <c r="W23" s="202"/>
      <c r="X23" s="195"/>
      <c r="Y23" s="193"/>
      <c r="Z23" s="195"/>
      <c r="AA23" s="193"/>
      <c r="AB23" s="193"/>
      <c r="AC23" s="193"/>
      <c r="AD23" s="193"/>
      <c r="AE23" s="193"/>
      <c r="AF23" s="203"/>
      <c r="AG23" s="161"/>
      <c r="AH23" s="162"/>
      <c r="AI23" s="163"/>
      <c r="AJ23" s="164"/>
      <c r="AK23" s="165"/>
      <c r="AL23" s="166"/>
      <c r="AM23" s="167"/>
      <c r="AN23" s="168"/>
      <c r="AO23" s="169"/>
      <c r="AP23" s="138"/>
    </row>
    <row r="24" ht="15.75" customHeight="1">
      <c r="A24" s="88"/>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row>
  </sheetData>
  <autoFilter ref="$A$3:$AP$20"/>
  <mergeCells count="4">
    <mergeCell ref="B1:C1"/>
    <mergeCell ref="AG2:AI2"/>
    <mergeCell ref="AJ2:AK2"/>
    <mergeCell ref="AL2:AO2"/>
  </mergeCells>
  <conditionalFormatting sqref="AK4:AK24 AM4:AM23">
    <cfRule type="cellIs" dxfId="2" priority="1" operator="greaterThan">
      <formula>0</formula>
    </cfRule>
  </conditionalFormatting>
  <conditionalFormatting sqref="AK4:AK24 AM4:AM23">
    <cfRule type="cellIs" dxfId="3" priority="2" operator="lessThan">
      <formula>0</formula>
    </cfRule>
  </conditionalFormatting>
  <dataValidations>
    <dataValidation type="decimal" allowBlank="1" showDropDown="1" showInputMessage="1" showErrorMessage="1" prompt="Recuerde que debe ingresar un valor numérico o porcentaje" sqref="AJ4 AJ6:AJ14 AG4:AG17 AJ16:AJ17 AG19:AG23">
      <formula1>0.0</formula1>
      <formula2>5000000.0</formula2>
    </dataValidation>
  </dataValidations>
  <hyperlinks>
    <hyperlink display="Home" location="Home!A1" ref="B1"/>
    <hyperlink r:id="rId1" ref="AI4"/>
    <hyperlink r:id="rId2" ref="AI6"/>
    <hyperlink r:id="rId3" ref="AI7"/>
    <hyperlink r:id="rId4" ref="AI8"/>
    <hyperlink r:id="rId5" ref="AI9"/>
    <hyperlink r:id="rId6" ref="AI11"/>
    <hyperlink r:id="rId7" ref="AI12"/>
    <hyperlink r:id="rId8" location="gid=1329489843" ref="AI13"/>
    <hyperlink r:id="rId9" location="gid=1017707799" ref="AI14"/>
    <hyperlink r:id="rId10" location="gid=1888431094" ref="AI15"/>
    <hyperlink r:id="rId11" ref="AI16"/>
    <hyperlink r:id="rId12" ref="AI17"/>
    <hyperlink r:id="rId13" ref="AI18"/>
    <hyperlink r:id="rId14" ref="AI19"/>
    <hyperlink r:id="rId15" ref="AI20"/>
  </hyperlinks>
  <printOptions gridLines="1" horizontalCentered="1"/>
  <pageMargins bottom="0.75" footer="0.0" header="0.0" left="0.7" right="0.7" top="0.75"/>
  <pageSetup cellComments="atEnd" orientation="portrait" pageOrder="overThenDown"/>
  <drawing r:id="rId16"/>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21" width="15.75"/>
    <col customWidth="1" min="22" max="22" width="15.75"/>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4" width="21.0"/>
    <col customWidth="1" min="35" max="35" width="22.88"/>
    <col customWidth="1" min="36" max="36" width="21.75"/>
    <col customWidth="1" min="37" max="37" width="20.25"/>
    <col customWidth="1" min="38" max="38" width="15.75"/>
    <col customWidth="1" min="39" max="39" width="15.63"/>
    <col customWidth="1" min="40" max="40" width="16.38"/>
    <col customWidth="1" min="41" max="41" width="18.25"/>
    <col customWidth="1" min="42" max="42" width="3.88"/>
  </cols>
  <sheetData>
    <row r="1" ht="33.75" customHeight="1">
      <c r="A1" s="85"/>
      <c r="B1" s="86" t="s">
        <v>108</v>
      </c>
      <c r="C1" s="87"/>
      <c r="D1" s="88"/>
      <c r="E1" s="89"/>
      <c r="F1" s="90"/>
      <c r="G1" s="90"/>
      <c r="H1" s="90"/>
      <c r="I1" s="90"/>
      <c r="J1" s="90"/>
      <c r="K1" s="90"/>
      <c r="L1" s="90"/>
      <c r="M1" s="90"/>
      <c r="N1" s="90"/>
      <c r="O1" s="90"/>
      <c r="P1" s="90"/>
      <c r="Q1" s="90"/>
      <c r="R1" s="90"/>
      <c r="S1" s="90"/>
      <c r="T1" s="90"/>
      <c r="U1" s="90"/>
      <c r="V1" s="90"/>
      <c r="W1" s="90"/>
      <c r="X1" s="90"/>
      <c r="Y1" s="90"/>
      <c r="Z1" s="90"/>
      <c r="AA1" s="90"/>
      <c r="AB1" s="90"/>
      <c r="AC1" s="90"/>
      <c r="AD1" s="90"/>
      <c r="AE1" s="90"/>
      <c r="AF1" s="88"/>
      <c r="AG1" s="91" t="s">
        <v>109</v>
      </c>
      <c r="AH1" s="92">
        <v>1.0</v>
      </c>
      <c r="AI1" s="93" t="s">
        <v>110</v>
      </c>
      <c r="AJ1" s="94"/>
      <c r="AK1" s="95"/>
      <c r="AL1" s="96">
        <v>43466.0</v>
      </c>
      <c r="AM1" s="97">
        <f>Alertas!B6</f>
        <v>44582</v>
      </c>
      <c r="AN1" s="96">
        <f>TODAY()-1</f>
        <v>44714</v>
      </c>
      <c r="AO1" s="93"/>
      <c r="AP1" s="93"/>
    </row>
    <row r="2" ht="33.75" customHeight="1">
      <c r="A2" s="85"/>
      <c r="B2" s="88"/>
      <c r="C2" s="98"/>
      <c r="D2" s="99"/>
      <c r="E2" s="88"/>
      <c r="F2" s="100"/>
      <c r="G2" s="88"/>
      <c r="H2" s="88"/>
      <c r="I2" s="88"/>
      <c r="J2" s="88"/>
      <c r="K2" s="88"/>
      <c r="L2" s="88"/>
      <c r="M2" s="88"/>
      <c r="N2" s="88"/>
      <c r="O2" s="88"/>
      <c r="P2" s="88"/>
      <c r="Q2" s="88"/>
      <c r="R2" s="88"/>
      <c r="S2" s="88"/>
      <c r="T2" s="88"/>
      <c r="U2" s="88"/>
      <c r="V2" s="88"/>
      <c r="W2" s="88"/>
      <c r="X2" s="88"/>
      <c r="Y2" s="88"/>
      <c r="Z2" s="88"/>
      <c r="AA2" s="88"/>
      <c r="AB2" s="88"/>
      <c r="AC2" s="88"/>
      <c r="AD2" s="88"/>
      <c r="AE2" s="88"/>
      <c r="AF2" s="17"/>
      <c r="AG2" s="101" t="s">
        <v>111</v>
      </c>
      <c r="AH2" s="102"/>
      <c r="AI2" s="103"/>
      <c r="AJ2" s="104" t="s">
        <v>112</v>
      </c>
      <c r="AK2" s="103"/>
      <c r="AL2" s="104" t="s">
        <v>113</v>
      </c>
      <c r="AM2" s="102"/>
      <c r="AN2" s="102"/>
      <c r="AO2" s="103"/>
      <c r="AP2" s="105"/>
    </row>
    <row r="3" ht="33.75" customHeight="1">
      <c r="A3" s="106"/>
      <c r="B3" s="171" t="s">
        <v>40</v>
      </c>
      <c r="C3" s="172" t="s">
        <v>41</v>
      </c>
      <c r="D3" s="173" t="s">
        <v>42</v>
      </c>
      <c r="E3" s="173" t="s">
        <v>43</v>
      </c>
      <c r="F3" s="174" t="s">
        <v>44</v>
      </c>
      <c r="G3" s="175" t="s">
        <v>45</v>
      </c>
      <c r="H3" s="173" t="s">
        <v>46</v>
      </c>
      <c r="I3" s="175" t="s">
        <v>47</v>
      </c>
      <c r="J3" s="175" t="s">
        <v>48</v>
      </c>
      <c r="K3" s="175" t="s">
        <v>49</v>
      </c>
      <c r="L3" s="175" t="s">
        <v>50</v>
      </c>
      <c r="M3" s="173" t="s">
        <v>51</v>
      </c>
      <c r="N3" s="173" t="s">
        <v>52</v>
      </c>
      <c r="O3" s="175" t="s">
        <v>53</v>
      </c>
      <c r="P3" s="175" t="s">
        <v>54</v>
      </c>
      <c r="Q3" s="173" t="s">
        <v>55</v>
      </c>
      <c r="R3" s="173" t="s">
        <v>56</v>
      </c>
      <c r="S3" s="175" t="s">
        <v>57</v>
      </c>
      <c r="T3" s="175" t="s">
        <v>58</v>
      </c>
      <c r="U3" s="175" t="s">
        <v>59</v>
      </c>
      <c r="V3" s="175" t="s">
        <v>60</v>
      </c>
      <c r="W3" s="173" t="s">
        <v>61</v>
      </c>
      <c r="X3" s="172" t="s">
        <v>62</v>
      </c>
      <c r="Y3" s="172" t="s">
        <v>63</v>
      </c>
      <c r="Z3" s="172" t="s">
        <v>64</v>
      </c>
      <c r="AA3" s="172" t="s">
        <v>65</v>
      </c>
      <c r="AB3" s="172" t="s">
        <v>66</v>
      </c>
      <c r="AC3" s="172" t="s">
        <v>67</v>
      </c>
      <c r="AD3" s="172" t="s">
        <v>68</v>
      </c>
      <c r="AE3" s="172" t="s">
        <v>69</v>
      </c>
      <c r="AF3" s="176" t="s">
        <v>70</v>
      </c>
      <c r="AG3" s="113" t="s">
        <v>71</v>
      </c>
      <c r="AH3" s="114" t="s">
        <v>72</v>
      </c>
      <c r="AI3" s="115" t="s">
        <v>73</v>
      </c>
      <c r="AJ3" s="116" t="s">
        <v>114</v>
      </c>
      <c r="AK3" s="117" t="s">
        <v>115</v>
      </c>
      <c r="AL3" s="113" t="s">
        <v>74</v>
      </c>
      <c r="AM3" s="114" t="s">
        <v>116</v>
      </c>
      <c r="AN3" s="114" t="s">
        <v>76</v>
      </c>
      <c r="AO3" s="117" t="s">
        <v>117</v>
      </c>
      <c r="AP3" s="105"/>
    </row>
    <row r="4" ht="67.5" customHeight="1">
      <c r="A4" s="118"/>
      <c r="B4" s="177">
        <v>111.0</v>
      </c>
      <c r="C4" s="178" t="s">
        <v>290</v>
      </c>
      <c r="D4" s="178" t="s">
        <v>720</v>
      </c>
      <c r="E4" s="178" t="s">
        <v>292</v>
      </c>
      <c r="F4" s="179">
        <v>2.01901100028E12</v>
      </c>
      <c r="G4" s="180" t="s">
        <v>293</v>
      </c>
      <c r="H4" s="178" t="s">
        <v>294</v>
      </c>
      <c r="I4" s="178" t="s">
        <v>320</v>
      </c>
      <c r="J4" s="178" t="s">
        <v>326</v>
      </c>
      <c r="K4" s="181" t="s">
        <v>124</v>
      </c>
      <c r="L4" s="181" t="s">
        <v>125</v>
      </c>
      <c r="M4" s="181" t="s">
        <v>126</v>
      </c>
      <c r="N4" s="182" t="s">
        <v>322</v>
      </c>
      <c r="O4" s="183"/>
      <c r="P4" s="190">
        <v>1.0</v>
      </c>
      <c r="Q4" s="185" t="s">
        <v>721</v>
      </c>
      <c r="R4" s="186" t="s">
        <v>128</v>
      </c>
      <c r="S4" s="190">
        <v>0.0</v>
      </c>
      <c r="T4" s="190">
        <v>0.0</v>
      </c>
      <c r="U4" s="190">
        <v>0.0</v>
      </c>
      <c r="V4" s="190">
        <v>1.0</v>
      </c>
      <c r="W4" s="187" t="s">
        <v>722</v>
      </c>
      <c r="X4" s="180" t="s">
        <v>723</v>
      </c>
      <c r="Y4" s="178" t="s">
        <v>724</v>
      </c>
      <c r="Z4" s="180" t="s">
        <v>725</v>
      </c>
      <c r="AA4" s="178" t="s">
        <v>159</v>
      </c>
      <c r="AB4" s="178" t="s">
        <v>180</v>
      </c>
      <c r="AC4" s="178" t="s">
        <v>135</v>
      </c>
      <c r="AD4" s="178" t="s">
        <v>161</v>
      </c>
      <c r="AE4" s="178" t="s">
        <v>304</v>
      </c>
      <c r="AF4" s="188" t="s">
        <v>183</v>
      </c>
      <c r="AG4" s="191">
        <v>1.0</v>
      </c>
      <c r="AH4" s="133" t="s">
        <v>726</v>
      </c>
      <c r="AI4" s="263" t="s">
        <v>727</v>
      </c>
      <c r="AJ4" s="191">
        <v>1.0</v>
      </c>
      <c r="AK4" s="133" t="s">
        <v>728</v>
      </c>
      <c r="AL4" s="134">
        <f t="shared" ref="AL4:AL13" si="1">$AM$1</f>
        <v>44582</v>
      </c>
      <c r="AM4" s="135">
        <f t="shared" ref="AM4:AM13" si="2">AL4-$AN$1</f>
        <v>-132</v>
      </c>
      <c r="AN4" s="136" t="str">
        <f t="shared" ref="AN4:AN13" si="3">IF(ISBLANK(AG4),"Pend. Ejec. Trim."&amp;CHAR(10),)&amp;
IF(ISBLANK(AH4),"Pend. Just. Trim."&amp;CHAR(10),)&amp;
IF(ISBLANK(AI4),"Pend. Evid. Trim."&amp;CHAR(10),)&amp;
IF(ISBLANK(AJ4),"Pend. Ejec. Año"&amp;CHAR(10),)&amp;
IF(ISBLANK(AK4),"Pend. Evid. Año",)&amp;
IF(OR(ISBLANK(AG4),ISBLANK(AH4),ISBLANK(AI4),ISBLANK(AJ4),ISBLANK(AK4)),,"Reporte ok")</f>
        <v>Reporte ok</v>
      </c>
      <c r="AO4" s="137"/>
      <c r="AP4" s="138"/>
    </row>
    <row r="5" ht="67.5" customHeight="1">
      <c r="A5" s="118"/>
      <c r="B5" s="177">
        <v>112.0</v>
      </c>
      <c r="C5" s="178" t="s">
        <v>290</v>
      </c>
      <c r="D5" s="178" t="s">
        <v>720</v>
      </c>
      <c r="E5" s="178" t="s">
        <v>292</v>
      </c>
      <c r="F5" s="179">
        <v>2.01901100028E12</v>
      </c>
      <c r="G5" s="180" t="s">
        <v>293</v>
      </c>
      <c r="H5" s="178" t="s">
        <v>294</v>
      </c>
      <c r="I5" s="178" t="s">
        <v>295</v>
      </c>
      <c r="J5" s="178" t="s">
        <v>296</v>
      </c>
      <c r="K5" s="181" t="s">
        <v>124</v>
      </c>
      <c r="L5" s="181" t="s">
        <v>125</v>
      </c>
      <c r="M5" s="181" t="s">
        <v>126</v>
      </c>
      <c r="N5" s="182" t="s">
        <v>636</v>
      </c>
      <c r="O5" s="183"/>
      <c r="P5" s="190">
        <v>750.0</v>
      </c>
      <c r="Q5" s="185" t="s">
        <v>729</v>
      </c>
      <c r="R5" s="186" t="s">
        <v>170</v>
      </c>
      <c r="S5" s="190">
        <v>120.0</v>
      </c>
      <c r="T5" s="190">
        <v>100.0</v>
      </c>
      <c r="U5" s="190">
        <v>250.0</v>
      </c>
      <c r="V5" s="190">
        <v>280.0</v>
      </c>
      <c r="W5" s="187" t="s">
        <v>722</v>
      </c>
      <c r="X5" s="180" t="s">
        <v>723</v>
      </c>
      <c r="Y5" s="178" t="s">
        <v>724</v>
      </c>
      <c r="Z5" s="180" t="s">
        <v>725</v>
      </c>
      <c r="AA5" s="178" t="s">
        <v>159</v>
      </c>
      <c r="AB5" s="178" t="s">
        <v>180</v>
      </c>
      <c r="AC5" s="178" t="s">
        <v>135</v>
      </c>
      <c r="AD5" s="178" t="s">
        <v>161</v>
      </c>
      <c r="AE5" s="178" t="s">
        <v>304</v>
      </c>
      <c r="AF5" s="188" t="s">
        <v>183</v>
      </c>
      <c r="AG5" s="191">
        <v>94.0</v>
      </c>
      <c r="AH5" s="133" t="s">
        <v>730</v>
      </c>
      <c r="AI5" s="263" t="s">
        <v>727</v>
      </c>
      <c r="AJ5" s="191">
        <v>562.0</v>
      </c>
      <c r="AK5" s="133" t="s">
        <v>731</v>
      </c>
      <c r="AL5" s="134">
        <f t="shared" si="1"/>
        <v>44582</v>
      </c>
      <c r="AM5" s="135">
        <f t="shared" si="2"/>
        <v>-132</v>
      </c>
      <c r="AN5" s="136" t="str">
        <f t="shared" si="3"/>
        <v>Reporte ok</v>
      </c>
      <c r="AO5" s="137"/>
      <c r="AP5" s="138"/>
    </row>
    <row r="6" ht="67.5" customHeight="1">
      <c r="A6" s="118"/>
      <c r="B6" s="177">
        <v>113.0</v>
      </c>
      <c r="C6" s="178" t="s">
        <v>290</v>
      </c>
      <c r="D6" s="178" t="s">
        <v>720</v>
      </c>
      <c r="E6" s="178" t="s">
        <v>292</v>
      </c>
      <c r="F6" s="179">
        <v>2.01901100028E12</v>
      </c>
      <c r="G6" s="180" t="s">
        <v>293</v>
      </c>
      <c r="H6" s="178" t="s">
        <v>294</v>
      </c>
      <c r="I6" s="178" t="s">
        <v>690</v>
      </c>
      <c r="J6" s="178" t="s">
        <v>321</v>
      </c>
      <c r="K6" s="181" t="s">
        <v>124</v>
      </c>
      <c r="L6" s="181" t="s">
        <v>125</v>
      </c>
      <c r="M6" s="181" t="s">
        <v>126</v>
      </c>
      <c r="N6" s="182" t="s">
        <v>691</v>
      </c>
      <c r="O6" s="183"/>
      <c r="P6" s="190">
        <v>6100000.0</v>
      </c>
      <c r="Q6" s="185" t="s">
        <v>732</v>
      </c>
      <c r="R6" s="186" t="s">
        <v>170</v>
      </c>
      <c r="S6" s="190">
        <v>600000.0</v>
      </c>
      <c r="T6" s="190">
        <v>600000.0</v>
      </c>
      <c r="U6" s="190">
        <v>2400000.0</v>
      </c>
      <c r="V6" s="190">
        <v>2500000.0</v>
      </c>
      <c r="W6" s="187" t="s">
        <v>722</v>
      </c>
      <c r="X6" s="180" t="s">
        <v>723</v>
      </c>
      <c r="Y6" s="178" t="s">
        <v>724</v>
      </c>
      <c r="Z6" s="180" t="s">
        <v>725</v>
      </c>
      <c r="AA6" s="178" t="s">
        <v>159</v>
      </c>
      <c r="AB6" s="178" t="s">
        <v>180</v>
      </c>
      <c r="AC6" s="178" t="s">
        <v>303</v>
      </c>
      <c r="AD6" s="178" t="s">
        <v>161</v>
      </c>
      <c r="AE6" s="178" t="s">
        <v>304</v>
      </c>
      <c r="AF6" s="188" t="s">
        <v>183</v>
      </c>
      <c r="AG6" s="191">
        <v>2828083.0</v>
      </c>
      <c r="AH6" s="133" t="s">
        <v>733</v>
      </c>
      <c r="AI6" s="263" t="s">
        <v>727</v>
      </c>
      <c r="AJ6" s="191">
        <v>4441866.0</v>
      </c>
      <c r="AK6" s="133" t="s">
        <v>734</v>
      </c>
      <c r="AL6" s="134">
        <f t="shared" si="1"/>
        <v>44582</v>
      </c>
      <c r="AM6" s="135">
        <f t="shared" si="2"/>
        <v>-132</v>
      </c>
      <c r="AN6" s="136" t="str">
        <f t="shared" si="3"/>
        <v>Reporte ok</v>
      </c>
      <c r="AO6" s="137"/>
      <c r="AP6" s="138"/>
    </row>
    <row r="7" ht="67.5" customHeight="1">
      <c r="A7" s="118"/>
      <c r="B7" s="177">
        <v>114.0</v>
      </c>
      <c r="C7" s="178" t="s">
        <v>290</v>
      </c>
      <c r="D7" s="178" t="s">
        <v>720</v>
      </c>
      <c r="E7" s="178" t="s">
        <v>292</v>
      </c>
      <c r="F7" s="179">
        <v>2.01901100028E12</v>
      </c>
      <c r="G7" s="180" t="s">
        <v>293</v>
      </c>
      <c r="H7" s="178" t="s">
        <v>294</v>
      </c>
      <c r="I7" s="178" t="s">
        <v>648</v>
      </c>
      <c r="J7" s="178" t="s">
        <v>326</v>
      </c>
      <c r="K7" s="181" t="s">
        <v>124</v>
      </c>
      <c r="L7" s="181" t="s">
        <v>125</v>
      </c>
      <c r="M7" s="181" t="s">
        <v>126</v>
      </c>
      <c r="N7" s="182" t="s">
        <v>379</v>
      </c>
      <c r="O7" s="183"/>
      <c r="P7" s="190">
        <v>7.0</v>
      </c>
      <c r="Q7" s="185" t="s">
        <v>735</v>
      </c>
      <c r="R7" s="186" t="s">
        <v>170</v>
      </c>
      <c r="S7" s="190">
        <v>1.0</v>
      </c>
      <c r="T7" s="190">
        <v>1.0</v>
      </c>
      <c r="U7" s="190">
        <v>2.0</v>
      </c>
      <c r="V7" s="190">
        <v>3.0</v>
      </c>
      <c r="W7" s="187" t="s">
        <v>722</v>
      </c>
      <c r="X7" s="180" t="s">
        <v>723</v>
      </c>
      <c r="Y7" s="178" t="s">
        <v>724</v>
      </c>
      <c r="Z7" s="180" t="s">
        <v>725</v>
      </c>
      <c r="AA7" s="178" t="s">
        <v>159</v>
      </c>
      <c r="AB7" s="178" t="s">
        <v>180</v>
      </c>
      <c r="AC7" s="178" t="s">
        <v>135</v>
      </c>
      <c r="AD7" s="178" t="s">
        <v>161</v>
      </c>
      <c r="AE7" s="178" t="s">
        <v>304</v>
      </c>
      <c r="AF7" s="188" t="s">
        <v>183</v>
      </c>
      <c r="AG7" s="191">
        <v>8.0</v>
      </c>
      <c r="AH7" s="133" t="s">
        <v>736</v>
      </c>
      <c r="AI7" s="263" t="s">
        <v>727</v>
      </c>
      <c r="AJ7" s="191">
        <v>10.0</v>
      </c>
      <c r="AK7" s="133" t="s">
        <v>737</v>
      </c>
      <c r="AL7" s="134">
        <f t="shared" si="1"/>
        <v>44582</v>
      </c>
      <c r="AM7" s="135">
        <f t="shared" si="2"/>
        <v>-132</v>
      </c>
      <c r="AN7" s="136" t="str">
        <f t="shared" si="3"/>
        <v>Reporte ok</v>
      </c>
      <c r="AO7" s="137"/>
      <c r="AP7" s="138"/>
    </row>
    <row r="8" ht="67.5" customHeight="1">
      <c r="A8" s="118"/>
      <c r="B8" s="177">
        <v>115.0</v>
      </c>
      <c r="C8" s="178" t="s">
        <v>290</v>
      </c>
      <c r="D8" s="178" t="s">
        <v>720</v>
      </c>
      <c r="E8" s="178" t="s">
        <v>292</v>
      </c>
      <c r="F8" s="179">
        <v>2.01901100028E12</v>
      </c>
      <c r="G8" s="180" t="s">
        <v>293</v>
      </c>
      <c r="H8" s="178" t="s">
        <v>294</v>
      </c>
      <c r="I8" s="178" t="s">
        <v>295</v>
      </c>
      <c r="J8" s="178" t="s">
        <v>350</v>
      </c>
      <c r="K8" s="181" t="s">
        <v>147</v>
      </c>
      <c r="L8" s="181" t="s">
        <v>125</v>
      </c>
      <c r="M8" s="181" t="s">
        <v>126</v>
      </c>
      <c r="N8" s="182" t="s">
        <v>738</v>
      </c>
      <c r="O8" s="183"/>
      <c r="P8" s="190">
        <v>90.0</v>
      </c>
      <c r="Q8" s="185" t="s">
        <v>739</v>
      </c>
      <c r="R8" s="186" t="s">
        <v>170</v>
      </c>
      <c r="S8" s="190">
        <v>15.0</v>
      </c>
      <c r="T8" s="190">
        <v>25.0</v>
      </c>
      <c r="U8" s="190">
        <v>25.0</v>
      </c>
      <c r="V8" s="190">
        <v>25.0</v>
      </c>
      <c r="W8" s="187" t="s">
        <v>722</v>
      </c>
      <c r="X8" s="180" t="s">
        <v>723</v>
      </c>
      <c r="Y8" s="178" t="s">
        <v>724</v>
      </c>
      <c r="Z8" s="180" t="s">
        <v>725</v>
      </c>
      <c r="AA8" s="178" t="s">
        <v>159</v>
      </c>
      <c r="AB8" s="178" t="s">
        <v>180</v>
      </c>
      <c r="AC8" s="178" t="s">
        <v>135</v>
      </c>
      <c r="AD8" s="178" t="s">
        <v>161</v>
      </c>
      <c r="AE8" s="178" t="s">
        <v>304</v>
      </c>
      <c r="AF8" s="188" t="s">
        <v>183</v>
      </c>
      <c r="AG8" s="191">
        <v>5.0</v>
      </c>
      <c r="AH8" s="133" t="s">
        <v>740</v>
      </c>
      <c r="AI8" s="263" t="s">
        <v>727</v>
      </c>
      <c r="AJ8" s="191">
        <v>25.0</v>
      </c>
      <c r="AK8" s="133" t="s">
        <v>741</v>
      </c>
      <c r="AL8" s="134">
        <f t="shared" si="1"/>
        <v>44582</v>
      </c>
      <c r="AM8" s="135">
        <f t="shared" si="2"/>
        <v>-132</v>
      </c>
      <c r="AN8" s="136" t="str">
        <f t="shared" si="3"/>
        <v>Reporte ok</v>
      </c>
      <c r="AO8" s="137"/>
      <c r="AP8" s="138"/>
    </row>
    <row r="9" ht="67.5" customHeight="1">
      <c r="A9" s="118"/>
      <c r="B9" s="177">
        <v>116.0</v>
      </c>
      <c r="C9" s="178" t="s">
        <v>290</v>
      </c>
      <c r="D9" s="178" t="s">
        <v>720</v>
      </c>
      <c r="E9" s="178" t="s">
        <v>292</v>
      </c>
      <c r="F9" s="179">
        <v>2.01901100028E12</v>
      </c>
      <c r="G9" s="180" t="s">
        <v>293</v>
      </c>
      <c r="H9" s="178" t="s">
        <v>294</v>
      </c>
      <c r="I9" s="178" t="s">
        <v>295</v>
      </c>
      <c r="J9" s="178" t="s">
        <v>350</v>
      </c>
      <c r="K9" s="181" t="s">
        <v>147</v>
      </c>
      <c r="L9" s="181" t="s">
        <v>125</v>
      </c>
      <c r="M9" s="181" t="s">
        <v>126</v>
      </c>
      <c r="N9" s="182" t="s">
        <v>742</v>
      </c>
      <c r="O9" s="183"/>
      <c r="P9" s="190">
        <v>35.0</v>
      </c>
      <c r="Q9" s="185" t="s">
        <v>743</v>
      </c>
      <c r="R9" s="186" t="s">
        <v>170</v>
      </c>
      <c r="S9" s="190">
        <v>6.0</v>
      </c>
      <c r="T9" s="190">
        <v>8.0</v>
      </c>
      <c r="U9" s="190">
        <v>9.0</v>
      </c>
      <c r="V9" s="190">
        <v>12.0</v>
      </c>
      <c r="W9" s="187" t="s">
        <v>722</v>
      </c>
      <c r="X9" s="180" t="s">
        <v>723</v>
      </c>
      <c r="Y9" s="178" t="s">
        <v>724</v>
      </c>
      <c r="Z9" s="180" t="s">
        <v>725</v>
      </c>
      <c r="AA9" s="178" t="s">
        <v>159</v>
      </c>
      <c r="AB9" s="178" t="s">
        <v>180</v>
      </c>
      <c r="AC9" s="178" t="s">
        <v>135</v>
      </c>
      <c r="AD9" s="178" t="s">
        <v>161</v>
      </c>
      <c r="AE9" s="178" t="s">
        <v>304</v>
      </c>
      <c r="AF9" s="188" t="s">
        <v>183</v>
      </c>
      <c r="AG9" s="191">
        <v>17.0</v>
      </c>
      <c r="AH9" s="133" t="s">
        <v>744</v>
      </c>
      <c r="AI9" s="263" t="s">
        <v>727</v>
      </c>
      <c r="AJ9" s="191">
        <v>41.0</v>
      </c>
      <c r="AK9" s="133" t="s">
        <v>745</v>
      </c>
      <c r="AL9" s="134">
        <f t="shared" si="1"/>
        <v>44582</v>
      </c>
      <c r="AM9" s="135">
        <f t="shared" si="2"/>
        <v>-132</v>
      </c>
      <c r="AN9" s="136" t="str">
        <f t="shared" si="3"/>
        <v>Reporte ok</v>
      </c>
      <c r="AO9" s="137"/>
      <c r="AP9" s="138"/>
    </row>
    <row r="10" ht="67.5" customHeight="1">
      <c r="A10" s="118"/>
      <c r="B10" s="177">
        <v>117.0</v>
      </c>
      <c r="C10" s="178" t="s">
        <v>290</v>
      </c>
      <c r="D10" s="178" t="s">
        <v>720</v>
      </c>
      <c r="E10" s="178" t="s">
        <v>292</v>
      </c>
      <c r="F10" s="179">
        <v>2.01901100028E12</v>
      </c>
      <c r="G10" s="180" t="s">
        <v>293</v>
      </c>
      <c r="H10" s="178" t="s">
        <v>294</v>
      </c>
      <c r="I10" s="178" t="s">
        <v>295</v>
      </c>
      <c r="J10" s="178" t="s">
        <v>296</v>
      </c>
      <c r="K10" s="181" t="s">
        <v>147</v>
      </c>
      <c r="L10" s="181" t="s">
        <v>125</v>
      </c>
      <c r="M10" s="181" t="s">
        <v>126</v>
      </c>
      <c r="N10" s="182" t="s">
        <v>746</v>
      </c>
      <c r="O10" s="183"/>
      <c r="P10" s="190">
        <v>800.0</v>
      </c>
      <c r="Q10" s="185" t="s">
        <v>747</v>
      </c>
      <c r="R10" s="186" t="s">
        <v>170</v>
      </c>
      <c r="S10" s="190">
        <v>200.0</v>
      </c>
      <c r="T10" s="190">
        <v>200.0</v>
      </c>
      <c r="U10" s="190">
        <v>200.0</v>
      </c>
      <c r="V10" s="190">
        <v>200.0</v>
      </c>
      <c r="W10" s="187" t="s">
        <v>722</v>
      </c>
      <c r="X10" s="180" t="s">
        <v>723</v>
      </c>
      <c r="Y10" s="178" t="s">
        <v>724</v>
      </c>
      <c r="Z10" s="180" t="s">
        <v>725</v>
      </c>
      <c r="AA10" s="178" t="s">
        <v>159</v>
      </c>
      <c r="AB10" s="178" t="s">
        <v>180</v>
      </c>
      <c r="AC10" s="178" t="s">
        <v>135</v>
      </c>
      <c r="AD10" s="178" t="s">
        <v>161</v>
      </c>
      <c r="AE10" s="178" t="s">
        <v>748</v>
      </c>
      <c r="AF10" s="188" t="s">
        <v>183</v>
      </c>
      <c r="AG10" s="191">
        <v>39.0</v>
      </c>
      <c r="AH10" s="133" t="s">
        <v>749</v>
      </c>
      <c r="AI10" s="263" t="s">
        <v>727</v>
      </c>
      <c r="AJ10" s="191">
        <v>788.0</v>
      </c>
      <c r="AK10" s="133" t="s">
        <v>750</v>
      </c>
      <c r="AL10" s="134">
        <f t="shared" si="1"/>
        <v>44582</v>
      </c>
      <c r="AM10" s="135">
        <f t="shared" si="2"/>
        <v>-132</v>
      </c>
      <c r="AN10" s="136" t="str">
        <f t="shared" si="3"/>
        <v>Reporte ok</v>
      </c>
      <c r="AO10" s="137"/>
      <c r="AP10" s="138"/>
    </row>
    <row r="11" ht="67.5" customHeight="1">
      <c r="A11" s="118"/>
      <c r="B11" s="177">
        <v>118.0</v>
      </c>
      <c r="C11" s="178" t="s">
        <v>372</v>
      </c>
      <c r="D11" s="178" t="s">
        <v>720</v>
      </c>
      <c r="E11" s="178" t="s">
        <v>374</v>
      </c>
      <c r="F11" s="179">
        <v>2.019011000276E12</v>
      </c>
      <c r="G11" s="180" t="s">
        <v>375</v>
      </c>
      <c r="H11" s="178" t="s">
        <v>388</v>
      </c>
      <c r="I11" s="178" t="s">
        <v>389</v>
      </c>
      <c r="J11" s="178" t="s">
        <v>390</v>
      </c>
      <c r="K11" s="181" t="s">
        <v>124</v>
      </c>
      <c r="L11" s="181" t="s">
        <v>125</v>
      </c>
      <c r="M11" s="181" t="s">
        <v>126</v>
      </c>
      <c r="N11" s="182" t="s">
        <v>391</v>
      </c>
      <c r="O11" s="183"/>
      <c r="P11" s="190">
        <v>510.0</v>
      </c>
      <c r="Q11" s="185" t="s">
        <v>751</v>
      </c>
      <c r="R11" s="186" t="s">
        <v>170</v>
      </c>
      <c r="S11" s="190">
        <v>106.0</v>
      </c>
      <c r="T11" s="190">
        <v>120.0</v>
      </c>
      <c r="U11" s="190">
        <v>164.0</v>
      </c>
      <c r="V11" s="190">
        <v>120.0</v>
      </c>
      <c r="W11" s="187" t="s">
        <v>722</v>
      </c>
      <c r="X11" s="180" t="s">
        <v>723</v>
      </c>
      <c r="Y11" s="178" t="s">
        <v>724</v>
      </c>
      <c r="Z11" s="180" t="s">
        <v>725</v>
      </c>
      <c r="AA11" s="178" t="s">
        <v>159</v>
      </c>
      <c r="AB11" s="178" t="s">
        <v>180</v>
      </c>
      <c r="AC11" s="178" t="s">
        <v>135</v>
      </c>
      <c r="AD11" s="178" t="s">
        <v>161</v>
      </c>
      <c r="AE11" s="178" t="s">
        <v>304</v>
      </c>
      <c r="AF11" s="188" t="s">
        <v>183</v>
      </c>
      <c r="AG11" s="191">
        <v>180.0</v>
      </c>
      <c r="AH11" s="133" t="s">
        <v>752</v>
      </c>
      <c r="AI11" s="211" t="s">
        <v>753</v>
      </c>
      <c r="AJ11" s="191">
        <v>533.0</v>
      </c>
      <c r="AK11" s="133" t="s">
        <v>754</v>
      </c>
      <c r="AL11" s="134">
        <f t="shared" si="1"/>
        <v>44582</v>
      </c>
      <c r="AM11" s="135">
        <f t="shared" si="2"/>
        <v>-132</v>
      </c>
      <c r="AN11" s="136" t="str">
        <f t="shared" si="3"/>
        <v>Reporte ok</v>
      </c>
      <c r="AO11" s="137"/>
      <c r="AP11" s="138"/>
    </row>
    <row r="12" ht="67.5" customHeight="1">
      <c r="A12" s="118"/>
      <c r="B12" s="177">
        <v>119.0</v>
      </c>
      <c r="C12" s="178" t="s">
        <v>290</v>
      </c>
      <c r="D12" s="178" t="s">
        <v>720</v>
      </c>
      <c r="E12" s="178" t="s">
        <v>292</v>
      </c>
      <c r="F12" s="179">
        <v>2.01901100028E12</v>
      </c>
      <c r="G12" s="180" t="s">
        <v>293</v>
      </c>
      <c r="H12" s="178" t="s">
        <v>294</v>
      </c>
      <c r="I12" s="178" t="s">
        <v>308</v>
      </c>
      <c r="J12" s="178" t="s">
        <v>316</v>
      </c>
      <c r="K12" s="181" t="s">
        <v>147</v>
      </c>
      <c r="L12" s="181" t="s">
        <v>125</v>
      </c>
      <c r="M12" s="181" t="s">
        <v>126</v>
      </c>
      <c r="N12" s="182" t="s">
        <v>755</v>
      </c>
      <c r="O12" s="183"/>
      <c r="P12" s="190">
        <v>1450000.0</v>
      </c>
      <c r="Q12" s="185" t="s">
        <v>756</v>
      </c>
      <c r="R12" s="186" t="s">
        <v>170</v>
      </c>
      <c r="S12" s="190">
        <v>150000.0</v>
      </c>
      <c r="T12" s="190">
        <v>350000.0</v>
      </c>
      <c r="U12" s="190">
        <v>450000.0</v>
      </c>
      <c r="V12" s="190">
        <v>500000.0</v>
      </c>
      <c r="W12" s="187" t="s">
        <v>722</v>
      </c>
      <c r="X12" s="180" t="s">
        <v>723</v>
      </c>
      <c r="Y12" s="178" t="s">
        <v>724</v>
      </c>
      <c r="Z12" s="180" t="s">
        <v>725</v>
      </c>
      <c r="AA12" s="178" t="s">
        <v>159</v>
      </c>
      <c r="AB12" s="178" t="s">
        <v>180</v>
      </c>
      <c r="AC12" s="178" t="s">
        <v>135</v>
      </c>
      <c r="AD12" s="178" t="s">
        <v>161</v>
      </c>
      <c r="AE12" s="178" t="s">
        <v>304</v>
      </c>
      <c r="AF12" s="188" t="s">
        <v>183</v>
      </c>
      <c r="AG12" s="191">
        <v>1885550.0</v>
      </c>
      <c r="AH12" s="133" t="s">
        <v>757</v>
      </c>
      <c r="AI12" s="211" t="s">
        <v>758</v>
      </c>
      <c r="AJ12" s="191">
        <v>2938615.0</v>
      </c>
      <c r="AK12" s="133" t="s">
        <v>759</v>
      </c>
      <c r="AL12" s="134">
        <f t="shared" si="1"/>
        <v>44582</v>
      </c>
      <c r="AM12" s="135">
        <f t="shared" si="2"/>
        <v>-132</v>
      </c>
      <c r="AN12" s="136" t="str">
        <f t="shared" si="3"/>
        <v>Reporte ok</v>
      </c>
      <c r="AO12" s="137"/>
      <c r="AP12" s="138"/>
    </row>
    <row r="13" ht="67.5" customHeight="1">
      <c r="A13" s="118"/>
      <c r="B13" s="177">
        <v>120.0</v>
      </c>
      <c r="C13" s="178" t="s">
        <v>290</v>
      </c>
      <c r="D13" s="178" t="s">
        <v>720</v>
      </c>
      <c r="E13" s="178" t="s">
        <v>292</v>
      </c>
      <c r="F13" s="179">
        <v>2.01901100028E12</v>
      </c>
      <c r="G13" s="180" t="s">
        <v>293</v>
      </c>
      <c r="H13" s="178" t="s">
        <v>294</v>
      </c>
      <c r="I13" s="178" t="s">
        <v>315</v>
      </c>
      <c r="J13" s="178" t="s">
        <v>316</v>
      </c>
      <c r="K13" s="181" t="s">
        <v>147</v>
      </c>
      <c r="L13" s="181" t="s">
        <v>125</v>
      </c>
      <c r="M13" s="181" t="s">
        <v>126</v>
      </c>
      <c r="N13" s="182" t="s">
        <v>760</v>
      </c>
      <c r="O13" s="183"/>
      <c r="P13" s="190">
        <v>110000.0</v>
      </c>
      <c r="Q13" s="185" t="s">
        <v>761</v>
      </c>
      <c r="R13" s="186" t="s">
        <v>170</v>
      </c>
      <c r="S13" s="190">
        <v>0.0</v>
      </c>
      <c r="T13" s="190">
        <v>30000.0</v>
      </c>
      <c r="U13" s="190">
        <v>50000.0</v>
      </c>
      <c r="V13" s="190">
        <v>30000.0</v>
      </c>
      <c r="W13" s="187" t="s">
        <v>722</v>
      </c>
      <c r="X13" s="180" t="s">
        <v>723</v>
      </c>
      <c r="Y13" s="178" t="s">
        <v>724</v>
      </c>
      <c r="Z13" s="180" t="s">
        <v>725</v>
      </c>
      <c r="AA13" s="178" t="s">
        <v>159</v>
      </c>
      <c r="AB13" s="178" t="s">
        <v>180</v>
      </c>
      <c r="AC13" s="178" t="s">
        <v>135</v>
      </c>
      <c r="AD13" s="178" t="s">
        <v>161</v>
      </c>
      <c r="AE13" s="178" t="s">
        <v>304</v>
      </c>
      <c r="AF13" s="188" t="s">
        <v>183</v>
      </c>
      <c r="AG13" s="191">
        <v>554772.0</v>
      </c>
      <c r="AH13" s="133" t="s">
        <v>762</v>
      </c>
      <c r="AI13" s="263" t="s">
        <v>763</v>
      </c>
      <c r="AJ13" s="191">
        <v>592697.0</v>
      </c>
      <c r="AK13" s="133" t="s">
        <v>764</v>
      </c>
      <c r="AL13" s="134">
        <f t="shared" si="1"/>
        <v>44582</v>
      </c>
      <c r="AM13" s="135">
        <f t="shared" si="2"/>
        <v>-132</v>
      </c>
      <c r="AN13" s="136" t="str">
        <f t="shared" si="3"/>
        <v>Reporte ok</v>
      </c>
      <c r="AO13" s="137"/>
      <c r="AP13" s="138"/>
    </row>
    <row r="14" ht="67.5" customHeight="1">
      <c r="A14" s="118"/>
      <c r="B14" s="177"/>
      <c r="C14" s="178"/>
      <c r="D14" s="178"/>
      <c r="E14" s="178"/>
      <c r="F14" s="179"/>
      <c r="G14" s="180"/>
      <c r="H14" s="178"/>
      <c r="I14" s="178"/>
      <c r="J14" s="178"/>
      <c r="K14" s="181"/>
      <c r="L14" s="181"/>
      <c r="M14" s="181"/>
      <c r="N14" s="182"/>
      <c r="O14" s="183"/>
      <c r="P14" s="190"/>
      <c r="Q14" s="185"/>
      <c r="R14" s="186"/>
      <c r="S14" s="190"/>
      <c r="T14" s="190"/>
      <c r="U14" s="190"/>
      <c r="V14" s="190"/>
      <c r="W14" s="187"/>
      <c r="X14" s="180"/>
      <c r="Y14" s="178"/>
      <c r="Z14" s="180"/>
      <c r="AA14" s="178"/>
      <c r="AB14" s="178"/>
      <c r="AC14" s="178"/>
      <c r="AD14" s="178"/>
      <c r="AE14" s="178"/>
      <c r="AF14" s="188"/>
      <c r="AG14" s="146"/>
      <c r="AH14" s="147"/>
      <c r="AI14" s="148"/>
      <c r="AJ14" s="149"/>
      <c r="AK14" s="133"/>
      <c r="AL14" s="134"/>
      <c r="AM14" s="135"/>
      <c r="AN14" s="136"/>
      <c r="AO14" s="137"/>
      <c r="AP14" s="138"/>
    </row>
    <row r="15" ht="67.5" customHeight="1">
      <c r="A15" s="118"/>
      <c r="B15" s="177"/>
      <c r="C15" s="178"/>
      <c r="D15" s="178"/>
      <c r="E15" s="178"/>
      <c r="F15" s="179"/>
      <c r="G15" s="180"/>
      <c r="H15" s="178"/>
      <c r="I15" s="178"/>
      <c r="J15" s="178"/>
      <c r="K15" s="181"/>
      <c r="L15" s="181"/>
      <c r="M15" s="181"/>
      <c r="N15" s="182"/>
      <c r="O15" s="183"/>
      <c r="P15" s="190"/>
      <c r="Q15" s="185"/>
      <c r="R15" s="186"/>
      <c r="S15" s="190"/>
      <c r="T15" s="190"/>
      <c r="U15" s="190"/>
      <c r="V15" s="190"/>
      <c r="W15" s="187"/>
      <c r="X15" s="180"/>
      <c r="Y15" s="178"/>
      <c r="Z15" s="180"/>
      <c r="AA15" s="178"/>
      <c r="AB15" s="178"/>
      <c r="AC15" s="178"/>
      <c r="AD15" s="178"/>
      <c r="AE15" s="178"/>
      <c r="AF15" s="188"/>
      <c r="AG15" s="146"/>
      <c r="AH15" s="147"/>
      <c r="AI15" s="148"/>
      <c r="AJ15" s="149"/>
      <c r="AK15" s="133"/>
      <c r="AL15" s="134"/>
      <c r="AM15" s="135"/>
      <c r="AN15" s="136"/>
      <c r="AO15" s="137"/>
      <c r="AP15" s="138"/>
    </row>
    <row r="16" ht="67.5" customHeight="1">
      <c r="A16" s="118"/>
      <c r="B16" s="177"/>
      <c r="C16" s="178"/>
      <c r="D16" s="178"/>
      <c r="E16" s="178"/>
      <c r="F16" s="179"/>
      <c r="G16" s="180"/>
      <c r="H16" s="178"/>
      <c r="I16" s="178"/>
      <c r="J16" s="178"/>
      <c r="K16" s="181"/>
      <c r="L16" s="181"/>
      <c r="M16" s="181"/>
      <c r="N16" s="182"/>
      <c r="O16" s="183"/>
      <c r="P16" s="190"/>
      <c r="Q16" s="185"/>
      <c r="R16" s="186"/>
      <c r="S16" s="190"/>
      <c r="T16" s="190"/>
      <c r="U16" s="190"/>
      <c r="V16" s="190"/>
      <c r="W16" s="187"/>
      <c r="X16" s="180"/>
      <c r="Y16" s="178"/>
      <c r="Z16" s="180"/>
      <c r="AA16" s="178"/>
      <c r="AB16" s="178"/>
      <c r="AC16" s="178"/>
      <c r="AD16" s="178"/>
      <c r="AE16" s="178"/>
      <c r="AF16" s="188"/>
      <c r="AG16" s="146"/>
      <c r="AH16" s="147"/>
      <c r="AI16" s="148"/>
      <c r="AJ16" s="149"/>
      <c r="AK16" s="133"/>
      <c r="AL16" s="134"/>
      <c r="AM16" s="135"/>
      <c r="AN16" s="136"/>
      <c r="AO16" s="137"/>
      <c r="AP16" s="138"/>
    </row>
    <row r="17" ht="67.5" customHeight="1">
      <c r="A17" s="118"/>
      <c r="B17" s="192"/>
      <c r="C17" s="193"/>
      <c r="D17" s="193"/>
      <c r="E17" s="193"/>
      <c r="F17" s="194"/>
      <c r="G17" s="195"/>
      <c r="H17" s="193"/>
      <c r="I17" s="193"/>
      <c r="J17" s="193"/>
      <c r="K17" s="196"/>
      <c r="L17" s="196"/>
      <c r="M17" s="196"/>
      <c r="N17" s="197"/>
      <c r="O17" s="198"/>
      <c r="P17" s="199"/>
      <c r="Q17" s="200"/>
      <c r="R17" s="201"/>
      <c r="S17" s="199"/>
      <c r="T17" s="199"/>
      <c r="U17" s="199"/>
      <c r="V17" s="199"/>
      <c r="W17" s="202"/>
      <c r="X17" s="195"/>
      <c r="Y17" s="193"/>
      <c r="Z17" s="195"/>
      <c r="AA17" s="193"/>
      <c r="AB17" s="193"/>
      <c r="AC17" s="193"/>
      <c r="AD17" s="193"/>
      <c r="AE17" s="193"/>
      <c r="AF17" s="203"/>
      <c r="AG17" s="161"/>
      <c r="AH17" s="162"/>
      <c r="AI17" s="163"/>
      <c r="AJ17" s="164"/>
      <c r="AK17" s="165"/>
      <c r="AL17" s="166"/>
      <c r="AM17" s="167"/>
      <c r="AN17" s="168"/>
      <c r="AO17" s="169"/>
      <c r="AP17" s="138"/>
    </row>
    <row r="18" ht="15.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row>
  </sheetData>
  <autoFilter ref="$A$3:$AP$13"/>
  <mergeCells count="4">
    <mergeCell ref="B1:C1"/>
    <mergeCell ref="AG2:AI2"/>
    <mergeCell ref="AJ2:AK2"/>
    <mergeCell ref="AL2:AO2"/>
  </mergeCells>
  <conditionalFormatting sqref="AH4:AI13 AK4:AK18 AM4:AM17">
    <cfRule type="cellIs" dxfId="2" priority="1" operator="greaterThan">
      <formula>0</formula>
    </cfRule>
  </conditionalFormatting>
  <conditionalFormatting sqref="AH4:AI13 AK4:AK18 AM4:AM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AJ4:AJ17">
      <formula1>0.0</formula1>
      <formula2>5000000.0</formula2>
    </dataValidation>
  </dataValidations>
  <hyperlinks>
    <hyperlink display="Home" location="Home!A1" ref="B1"/>
    <hyperlink r:id="rId1" ref="AI4"/>
    <hyperlink r:id="rId2" ref="AI5"/>
    <hyperlink r:id="rId3" ref="AI6"/>
    <hyperlink r:id="rId4" ref="AI7"/>
    <hyperlink r:id="rId5" ref="AI8"/>
    <hyperlink r:id="rId6" ref="AI9"/>
    <hyperlink r:id="rId7" ref="AI10"/>
    <hyperlink r:id="rId8" ref="AI11"/>
    <hyperlink r:id="rId9" ref="AI12"/>
    <hyperlink r:id="rId10" ref="AI13"/>
  </hyperlinks>
  <printOptions gridLines="1" horizontalCentered="1"/>
  <pageMargins bottom="0.75" footer="0.0" header="0.0" left="0.7" right="0.7" top="0.75"/>
  <pageSetup cellComments="atEnd" orientation="portrait" pageOrder="overThenDown"/>
  <drawing r:id="rId1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21" width="15.75"/>
    <col customWidth="1" min="22" max="22" width="15.75"/>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4" width="21.0"/>
    <col customWidth="1" min="35" max="35" width="22.88"/>
    <col customWidth="1" min="36" max="36" width="21.75"/>
    <col customWidth="1" min="37" max="37" width="20.25"/>
    <col customWidth="1" min="38" max="38" width="15.75"/>
    <col customWidth="1" min="39" max="39" width="15.63"/>
    <col customWidth="1" min="40" max="40" width="16.38"/>
    <col customWidth="1" min="41" max="41" width="18.25"/>
    <col customWidth="1" min="42" max="42" width="3.88"/>
  </cols>
  <sheetData>
    <row r="1" ht="33.75" customHeight="1">
      <c r="A1" s="85"/>
      <c r="B1" s="86" t="s">
        <v>108</v>
      </c>
      <c r="C1" s="87"/>
      <c r="D1" s="88"/>
      <c r="E1" s="89"/>
      <c r="F1" s="90"/>
      <c r="G1" s="90"/>
      <c r="H1" s="90"/>
      <c r="I1" s="90"/>
      <c r="J1" s="90"/>
      <c r="K1" s="90"/>
      <c r="L1" s="90"/>
      <c r="M1" s="90"/>
      <c r="N1" s="90"/>
      <c r="O1" s="90"/>
      <c r="P1" s="90"/>
      <c r="Q1" s="90"/>
      <c r="R1" s="90"/>
      <c r="S1" s="90"/>
      <c r="T1" s="90"/>
      <c r="U1" s="90"/>
      <c r="V1" s="90"/>
      <c r="W1" s="90"/>
      <c r="X1" s="90"/>
      <c r="Y1" s="90"/>
      <c r="Z1" s="90"/>
      <c r="AA1" s="90"/>
      <c r="AB1" s="90"/>
      <c r="AC1" s="90"/>
      <c r="AD1" s="90"/>
      <c r="AE1" s="90"/>
      <c r="AF1" s="88"/>
      <c r="AG1" s="91" t="s">
        <v>109</v>
      </c>
      <c r="AH1" s="92">
        <v>1.0</v>
      </c>
      <c r="AI1" s="93" t="s">
        <v>110</v>
      </c>
      <c r="AJ1" s="94"/>
      <c r="AK1" s="95"/>
      <c r="AL1" s="96">
        <v>43466.0</v>
      </c>
      <c r="AM1" s="97">
        <f>Alertas!B6</f>
        <v>44582</v>
      </c>
      <c r="AN1" s="96">
        <f>TODAY()-1</f>
        <v>44714</v>
      </c>
      <c r="AO1" s="93"/>
      <c r="AP1" s="93"/>
    </row>
    <row r="2" ht="33.75" customHeight="1">
      <c r="A2" s="85"/>
      <c r="B2" s="88"/>
      <c r="C2" s="98"/>
      <c r="D2" s="99"/>
      <c r="E2" s="88"/>
      <c r="F2" s="100"/>
      <c r="G2" s="88"/>
      <c r="H2" s="88"/>
      <c r="I2" s="88"/>
      <c r="J2" s="88"/>
      <c r="K2" s="88"/>
      <c r="L2" s="88"/>
      <c r="M2" s="88"/>
      <c r="N2" s="88"/>
      <c r="O2" s="88"/>
      <c r="P2" s="88"/>
      <c r="Q2" s="88"/>
      <c r="R2" s="88"/>
      <c r="S2" s="88"/>
      <c r="T2" s="88"/>
      <c r="U2" s="88"/>
      <c r="V2" s="88"/>
      <c r="W2" s="88"/>
      <c r="X2" s="88"/>
      <c r="Y2" s="88"/>
      <c r="Z2" s="88"/>
      <c r="AA2" s="88"/>
      <c r="AB2" s="88"/>
      <c r="AC2" s="88"/>
      <c r="AD2" s="88"/>
      <c r="AE2" s="88"/>
      <c r="AF2" s="17"/>
      <c r="AG2" s="101" t="s">
        <v>111</v>
      </c>
      <c r="AH2" s="102"/>
      <c r="AI2" s="103"/>
      <c r="AJ2" s="104" t="s">
        <v>112</v>
      </c>
      <c r="AK2" s="103"/>
      <c r="AL2" s="104" t="s">
        <v>113</v>
      </c>
      <c r="AM2" s="102"/>
      <c r="AN2" s="102"/>
      <c r="AO2" s="103"/>
      <c r="AP2" s="105"/>
    </row>
    <row r="3" ht="33.75" customHeight="1">
      <c r="A3" s="106"/>
      <c r="B3" s="171" t="s">
        <v>40</v>
      </c>
      <c r="C3" s="172" t="s">
        <v>41</v>
      </c>
      <c r="D3" s="173" t="s">
        <v>42</v>
      </c>
      <c r="E3" s="173" t="s">
        <v>43</v>
      </c>
      <c r="F3" s="174" t="s">
        <v>44</v>
      </c>
      <c r="G3" s="175" t="s">
        <v>45</v>
      </c>
      <c r="H3" s="173" t="s">
        <v>46</v>
      </c>
      <c r="I3" s="175" t="s">
        <v>47</v>
      </c>
      <c r="J3" s="175" t="s">
        <v>48</v>
      </c>
      <c r="K3" s="175" t="s">
        <v>49</v>
      </c>
      <c r="L3" s="175" t="s">
        <v>50</v>
      </c>
      <c r="M3" s="173" t="s">
        <v>51</v>
      </c>
      <c r="N3" s="173" t="s">
        <v>52</v>
      </c>
      <c r="O3" s="175" t="s">
        <v>53</v>
      </c>
      <c r="P3" s="175" t="s">
        <v>54</v>
      </c>
      <c r="Q3" s="173" t="s">
        <v>55</v>
      </c>
      <c r="R3" s="173" t="s">
        <v>56</v>
      </c>
      <c r="S3" s="175" t="s">
        <v>57</v>
      </c>
      <c r="T3" s="175" t="s">
        <v>58</v>
      </c>
      <c r="U3" s="175" t="s">
        <v>59</v>
      </c>
      <c r="V3" s="175" t="s">
        <v>60</v>
      </c>
      <c r="W3" s="173" t="s">
        <v>61</v>
      </c>
      <c r="X3" s="172" t="s">
        <v>62</v>
      </c>
      <c r="Y3" s="172" t="s">
        <v>63</v>
      </c>
      <c r="Z3" s="172" t="s">
        <v>64</v>
      </c>
      <c r="AA3" s="172" t="s">
        <v>65</v>
      </c>
      <c r="AB3" s="172" t="s">
        <v>66</v>
      </c>
      <c r="AC3" s="172" t="s">
        <v>67</v>
      </c>
      <c r="AD3" s="172" t="s">
        <v>68</v>
      </c>
      <c r="AE3" s="172" t="s">
        <v>69</v>
      </c>
      <c r="AF3" s="176" t="s">
        <v>70</v>
      </c>
      <c r="AG3" s="113" t="s">
        <v>71</v>
      </c>
      <c r="AH3" s="114" t="s">
        <v>72</v>
      </c>
      <c r="AI3" s="115" t="s">
        <v>73</v>
      </c>
      <c r="AJ3" s="116" t="s">
        <v>114</v>
      </c>
      <c r="AK3" s="117" t="s">
        <v>115</v>
      </c>
      <c r="AL3" s="113" t="s">
        <v>74</v>
      </c>
      <c r="AM3" s="114" t="s">
        <v>116</v>
      </c>
      <c r="AN3" s="114" t="s">
        <v>76</v>
      </c>
      <c r="AO3" s="117" t="s">
        <v>117</v>
      </c>
      <c r="AP3" s="105"/>
    </row>
    <row r="4" ht="67.5" customHeight="1">
      <c r="A4" s="118"/>
      <c r="B4" s="177">
        <v>121.0</v>
      </c>
      <c r="C4" s="178" t="s">
        <v>290</v>
      </c>
      <c r="D4" s="178" t="s">
        <v>765</v>
      </c>
      <c r="E4" s="178" t="s">
        <v>292</v>
      </c>
      <c r="F4" s="179">
        <v>2.01901100028E12</v>
      </c>
      <c r="G4" s="180" t="s">
        <v>293</v>
      </c>
      <c r="H4" s="178" t="s">
        <v>294</v>
      </c>
      <c r="I4" s="178" t="s">
        <v>295</v>
      </c>
      <c r="J4" s="178" t="s">
        <v>296</v>
      </c>
      <c r="K4" s="181" t="s">
        <v>124</v>
      </c>
      <c r="L4" s="181" t="s">
        <v>125</v>
      </c>
      <c r="M4" s="181" t="s">
        <v>126</v>
      </c>
      <c r="N4" s="182" t="s">
        <v>636</v>
      </c>
      <c r="O4" s="183">
        <v>-7140.0</v>
      </c>
      <c r="P4" s="190">
        <v>410.0</v>
      </c>
      <c r="Q4" s="185" t="s">
        <v>766</v>
      </c>
      <c r="R4" s="186" t="s">
        <v>170</v>
      </c>
      <c r="S4" s="190">
        <v>105.0</v>
      </c>
      <c r="T4" s="190">
        <v>85.0</v>
      </c>
      <c r="U4" s="190">
        <v>120.0</v>
      </c>
      <c r="V4" s="190">
        <v>100.0</v>
      </c>
      <c r="W4" s="187" t="s">
        <v>765</v>
      </c>
      <c r="X4" s="180" t="s">
        <v>767</v>
      </c>
      <c r="Y4" s="178" t="s">
        <v>639</v>
      </c>
      <c r="Z4" s="180" t="s">
        <v>768</v>
      </c>
      <c r="AA4" s="178" t="s">
        <v>500</v>
      </c>
      <c r="AB4" s="178" t="s">
        <v>180</v>
      </c>
      <c r="AC4" s="178" t="s">
        <v>303</v>
      </c>
      <c r="AD4" s="178" t="s">
        <v>161</v>
      </c>
      <c r="AE4" s="178" t="s">
        <v>304</v>
      </c>
      <c r="AF4" s="188" t="s">
        <v>183</v>
      </c>
      <c r="AG4" s="191">
        <v>174.0</v>
      </c>
      <c r="AH4" s="229" t="s">
        <v>769</v>
      </c>
      <c r="AI4" s="204" t="s">
        <v>770</v>
      </c>
      <c r="AJ4" s="264">
        <f>172+133+159+174</f>
        <v>638</v>
      </c>
      <c r="AK4" s="133" t="s">
        <v>771</v>
      </c>
      <c r="AL4" s="134">
        <f t="shared" ref="AL4:AL15" si="1">$AM$1</f>
        <v>44582</v>
      </c>
      <c r="AM4" s="135">
        <f t="shared" ref="AM4:AM15" si="2">AL4-$AN$1</f>
        <v>-132</v>
      </c>
      <c r="AN4" s="136" t="str">
        <f t="shared" ref="AN4:AN15" si="3">IF(ISBLANK(AG4),"Pend. Ejec. Trim."&amp;CHAR(10),)&amp;
IF(ISBLANK(AH4),"Pend. Just. Trim."&amp;CHAR(10),)&amp;
IF(ISBLANK(AI4),"Pend. Evid. Trim."&amp;CHAR(10),)&amp;
IF(ISBLANK(AJ4),"Pend. Ejec. Año"&amp;CHAR(10),)&amp;
IF(ISBLANK(AK4),"Pend. Evid. Año",)&amp;
IF(OR(ISBLANK(AG4),ISBLANK(AH4),ISBLANK(AI4),ISBLANK(AJ4),ISBLANK(AK4)),,"Reporte ok")</f>
        <v>Reporte ok</v>
      </c>
      <c r="AO4" s="137"/>
      <c r="AP4" s="138"/>
    </row>
    <row r="5" ht="67.5" customHeight="1">
      <c r="A5" s="118"/>
      <c r="B5" s="177">
        <v>122.0</v>
      </c>
      <c r="C5" s="178" t="s">
        <v>290</v>
      </c>
      <c r="D5" s="178" t="s">
        <v>765</v>
      </c>
      <c r="E5" s="178" t="s">
        <v>292</v>
      </c>
      <c r="F5" s="179">
        <v>2.01901100028E12</v>
      </c>
      <c r="G5" s="180" t="s">
        <v>293</v>
      </c>
      <c r="H5" s="178" t="s">
        <v>294</v>
      </c>
      <c r="I5" s="178" t="s">
        <v>648</v>
      </c>
      <c r="J5" s="178" t="s">
        <v>326</v>
      </c>
      <c r="K5" s="181" t="s">
        <v>124</v>
      </c>
      <c r="L5" s="181" t="s">
        <v>125</v>
      </c>
      <c r="M5" s="181" t="s">
        <v>126</v>
      </c>
      <c r="N5" s="182" t="s">
        <v>379</v>
      </c>
      <c r="O5" s="183">
        <v>-7140.0</v>
      </c>
      <c r="P5" s="190">
        <v>3.0</v>
      </c>
      <c r="Q5" s="185" t="s">
        <v>772</v>
      </c>
      <c r="R5" s="186" t="s">
        <v>170</v>
      </c>
      <c r="S5" s="190">
        <v>0.0</v>
      </c>
      <c r="T5" s="190">
        <v>1.0</v>
      </c>
      <c r="U5" s="190">
        <v>1.0</v>
      </c>
      <c r="V5" s="190">
        <v>1.0</v>
      </c>
      <c r="W5" s="187" t="s">
        <v>765</v>
      </c>
      <c r="X5" s="180" t="s">
        <v>767</v>
      </c>
      <c r="Y5" s="178" t="s">
        <v>639</v>
      </c>
      <c r="Z5" s="180" t="s">
        <v>768</v>
      </c>
      <c r="AA5" s="178" t="s">
        <v>500</v>
      </c>
      <c r="AB5" s="178" t="s">
        <v>180</v>
      </c>
      <c r="AC5" s="178" t="s">
        <v>135</v>
      </c>
      <c r="AD5" s="178" t="s">
        <v>161</v>
      </c>
      <c r="AE5" s="178" t="s">
        <v>304</v>
      </c>
      <c r="AF5" s="188" t="s">
        <v>183</v>
      </c>
      <c r="AG5" s="191">
        <v>1.0</v>
      </c>
      <c r="AH5" s="229" t="s">
        <v>773</v>
      </c>
      <c r="AI5" s="204" t="s">
        <v>774</v>
      </c>
      <c r="AJ5" s="264">
        <v>3.0</v>
      </c>
      <c r="AK5" s="133" t="s">
        <v>775</v>
      </c>
      <c r="AL5" s="134">
        <f t="shared" si="1"/>
        <v>44582</v>
      </c>
      <c r="AM5" s="135">
        <f t="shared" si="2"/>
        <v>-132</v>
      </c>
      <c r="AN5" s="136" t="str">
        <f t="shared" si="3"/>
        <v>Reporte ok</v>
      </c>
      <c r="AO5" s="137"/>
      <c r="AP5" s="138"/>
    </row>
    <row r="6" ht="67.5" customHeight="1">
      <c r="A6" s="118"/>
      <c r="B6" s="177">
        <v>123.0</v>
      </c>
      <c r="C6" s="178" t="s">
        <v>290</v>
      </c>
      <c r="D6" s="178" t="s">
        <v>765</v>
      </c>
      <c r="E6" s="178" t="s">
        <v>292</v>
      </c>
      <c r="F6" s="179">
        <v>2.01901100028E12</v>
      </c>
      <c r="G6" s="180" t="s">
        <v>293</v>
      </c>
      <c r="H6" s="178" t="s">
        <v>294</v>
      </c>
      <c r="I6" s="178" t="s">
        <v>295</v>
      </c>
      <c r="J6" s="178" t="s">
        <v>350</v>
      </c>
      <c r="K6" s="181" t="s">
        <v>124</v>
      </c>
      <c r="L6" s="181" t="s">
        <v>125</v>
      </c>
      <c r="M6" s="181" t="s">
        <v>126</v>
      </c>
      <c r="N6" s="182" t="s">
        <v>776</v>
      </c>
      <c r="O6" s="183">
        <v>-7140.0</v>
      </c>
      <c r="P6" s="190">
        <v>35.0</v>
      </c>
      <c r="Q6" s="185" t="s">
        <v>777</v>
      </c>
      <c r="R6" s="186" t="s">
        <v>170</v>
      </c>
      <c r="S6" s="190">
        <v>0.0</v>
      </c>
      <c r="T6" s="190">
        <v>10.0</v>
      </c>
      <c r="U6" s="190">
        <v>15.0</v>
      </c>
      <c r="V6" s="190">
        <v>10.0</v>
      </c>
      <c r="W6" s="187" t="s">
        <v>765</v>
      </c>
      <c r="X6" s="180" t="s">
        <v>767</v>
      </c>
      <c r="Y6" s="178" t="s">
        <v>639</v>
      </c>
      <c r="Z6" s="180" t="s">
        <v>768</v>
      </c>
      <c r="AA6" s="178" t="s">
        <v>500</v>
      </c>
      <c r="AB6" s="178" t="s">
        <v>180</v>
      </c>
      <c r="AC6" s="178" t="s">
        <v>135</v>
      </c>
      <c r="AD6" s="178" t="s">
        <v>161</v>
      </c>
      <c r="AE6" s="178" t="s">
        <v>304</v>
      </c>
      <c r="AF6" s="188" t="s">
        <v>183</v>
      </c>
      <c r="AG6" s="191">
        <v>13.0</v>
      </c>
      <c r="AH6" s="229" t="s">
        <v>778</v>
      </c>
      <c r="AI6" s="204" t="s">
        <v>779</v>
      </c>
      <c r="AJ6" s="264">
        <f>10+22+13</f>
        <v>45</v>
      </c>
      <c r="AK6" s="133" t="s">
        <v>780</v>
      </c>
      <c r="AL6" s="134">
        <f t="shared" si="1"/>
        <v>44582</v>
      </c>
      <c r="AM6" s="135">
        <f t="shared" si="2"/>
        <v>-132</v>
      </c>
      <c r="AN6" s="136" t="str">
        <f t="shared" si="3"/>
        <v>Reporte ok</v>
      </c>
      <c r="AO6" s="137"/>
      <c r="AP6" s="138"/>
    </row>
    <row r="7" ht="67.5" customHeight="1">
      <c r="A7" s="118"/>
      <c r="B7" s="177">
        <v>124.0</v>
      </c>
      <c r="C7" s="178" t="s">
        <v>290</v>
      </c>
      <c r="D7" s="178" t="s">
        <v>765</v>
      </c>
      <c r="E7" s="178" t="s">
        <v>292</v>
      </c>
      <c r="F7" s="179">
        <v>2.01901100028E12</v>
      </c>
      <c r="G7" s="180" t="s">
        <v>293</v>
      </c>
      <c r="H7" s="178" t="s">
        <v>294</v>
      </c>
      <c r="I7" s="178" t="s">
        <v>295</v>
      </c>
      <c r="J7" s="178" t="s">
        <v>350</v>
      </c>
      <c r="K7" s="181" t="s">
        <v>147</v>
      </c>
      <c r="L7" s="181" t="s">
        <v>125</v>
      </c>
      <c r="M7" s="181" t="s">
        <v>126</v>
      </c>
      <c r="N7" s="182" t="s">
        <v>781</v>
      </c>
      <c r="O7" s="183"/>
      <c r="P7" s="190">
        <v>30.0</v>
      </c>
      <c r="Q7" s="185" t="s">
        <v>782</v>
      </c>
      <c r="R7" s="186" t="s">
        <v>170</v>
      </c>
      <c r="S7" s="190">
        <v>0.0</v>
      </c>
      <c r="T7" s="190">
        <v>10.0</v>
      </c>
      <c r="U7" s="190">
        <v>10.0</v>
      </c>
      <c r="V7" s="190">
        <v>10.0</v>
      </c>
      <c r="W7" s="187" t="s">
        <v>765</v>
      </c>
      <c r="X7" s="180" t="s">
        <v>767</v>
      </c>
      <c r="Y7" s="178" t="s">
        <v>639</v>
      </c>
      <c r="Z7" s="180" t="s">
        <v>768</v>
      </c>
      <c r="AA7" s="178" t="s">
        <v>500</v>
      </c>
      <c r="AB7" s="178" t="s">
        <v>180</v>
      </c>
      <c r="AC7" s="178" t="s">
        <v>135</v>
      </c>
      <c r="AD7" s="178" t="s">
        <v>161</v>
      </c>
      <c r="AE7" s="178" t="s">
        <v>304</v>
      </c>
      <c r="AF7" s="188" t="s">
        <v>183</v>
      </c>
      <c r="AG7" s="191">
        <v>10.0</v>
      </c>
      <c r="AH7" s="229" t="s">
        <v>773</v>
      </c>
      <c r="AI7" s="204" t="s">
        <v>783</v>
      </c>
      <c r="AJ7" s="264">
        <f>11+14+10</f>
        <v>35</v>
      </c>
      <c r="AK7" s="133" t="s">
        <v>784</v>
      </c>
      <c r="AL7" s="134">
        <f t="shared" si="1"/>
        <v>44582</v>
      </c>
      <c r="AM7" s="135">
        <f t="shared" si="2"/>
        <v>-132</v>
      </c>
      <c r="AN7" s="136" t="str">
        <f t="shared" si="3"/>
        <v>Reporte ok</v>
      </c>
      <c r="AO7" s="137"/>
      <c r="AP7" s="138"/>
    </row>
    <row r="8" ht="67.5" customHeight="1">
      <c r="A8" s="118"/>
      <c r="B8" s="177">
        <v>125.0</v>
      </c>
      <c r="C8" s="178" t="s">
        <v>290</v>
      </c>
      <c r="D8" s="178" t="s">
        <v>765</v>
      </c>
      <c r="E8" s="178" t="s">
        <v>292</v>
      </c>
      <c r="F8" s="179">
        <v>2.01901100028E12</v>
      </c>
      <c r="G8" s="180" t="s">
        <v>293</v>
      </c>
      <c r="H8" s="178" t="s">
        <v>294</v>
      </c>
      <c r="I8" s="178" t="s">
        <v>295</v>
      </c>
      <c r="J8" s="178" t="s">
        <v>295</v>
      </c>
      <c r="K8" s="181" t="s">
        <v>147</v>
      </c>
      <c r="L8" s="181" t="s">
        <v>125</v>
      </c>
      <c r="M8" s="181" t="s">
        <v>126</v>
      </c>
      <c r="N8" s="182" t="s">
        <v>785</v>
      </c>
      <c r="O8" s="183"/>
      <c r="P8" s="190">
        <v>2000.0</v>
      </c>
      <c r="Q8" s="185" t="s">
        <v>786</v>
      </c>
      <c r="R8" s="186" t="s">
        <v>170</v>
      </c>
      <c r="S8" s="190">
        <v>200.0</v>
      </c>
      <c r="T8" s="190">
        <v>300.0</v>
      </c>
      <c r="U8" s="190">
        <v>750.0</v>
      </c>
      <c r="V8" s="190">
        <v>750.0</v>
      </c>
      <c r="W8" s="187" t="s">
        <v>765</v>
      </c>
      <c r="X8" s="180" t="s">
        <v>767</v>
      </c>
      <c r="Y8" s="178" t="s">
        <v>639</v>
      </c>
      <c r="Z8" s="180" t="s">
        <v>768</v>
      </c>
      <c r="AA8" s="178" t="s">
        <v>500</v>
      </c>
      <c r="AB8" s="178" t="s">
        <v>180</v>
      </c>
      <c r="AC8" s="178" t="s">
        <v>303</v>
      </c>
      <c r="AD8" s="178" t="s">
        <v>161</v>
      </c>
      <c r="AE8" s="178" t="s">
        <v>748</v>
      </c>
      <c r="AF8" s="188" t="s">
        <v>183</v>
      </c>
      <c r="AG8" s="191">
        <f>951+653+430</f>
        <v>2034</v>
      </c>
      <c r="AH8" s="229" t="s">
        <v>787</v>
      </c>
      <c r="AI8" s="145" t="s">
        <v>788</v>
      </c>
      <c r="AJ8" s="265">
        <f>746+2523+2731+2034</f>
        <v>8034</v>
      </c>
      <c r="AK8" s="133" t="s">
        <v>789</v>
      </c>
      <c r="AL8" s="134">
        <f t="shared" si="1"/>
        <v>44582</v>
      </c>
      <c r="AM8" s="135">
        <f t="shared" si="2"/>
        <v>-132</v>
      </c>
      <c r="AN8" s="136" t="str">
        <f t="shared" si="3"/>
        <v>Reporte ok</v>
      </c>
      <c r="AO8" s="137"/>
      <c r="AP8" s="138"/>
    </row>
    <row r="9" ht="67.5" customHeight="1">
      <c r="A9" s="118"/>
      <c r="B9" s="177">
        <v>126.0</v>
      </c>
      <c r="C9" s="178" t="s">
        <v>372</v>
      </c>
      <c r="D9" s="178" t="s">
        <v>765</v>
      </c>
      <c r="E9" s="178" t="s">
        <v>374</v>
      </c>
      <c r="F9" s="179">
        <v>2.019011000276E12</v>
      </c>
      <c r="G9" s="180" t="s">
        <v>375</v>
      </c>
      <c r="H9" s="178" t="s">
        <v>376</v>
      </c>
      <c r="I9" s="178" t="s">
        <v>377</v>
      </c>
      <c r="J9" s="178" t="s">
        <v>377</v>
      </c>
      <c r="K9" s="181" t="s">
        <v>147</v>
      </c>
      <c r="L9" s="181" t="s">
        <v>125</v>
      </c>
      <c r="M9" s="181" t="s">
        <v>126</v>
      </c>
      <c r="N9" s="182" t="s">
        <v>790</v>
      </c>
      <c r="O9" s="183"/>
      <c r="P9" s="190">
        <v>50.0</v>
      </c>
      <c r="Q9" s="185" t="s">
        <v>791</v>
      </c>
      <c r="R9" s="186" t="s">
        <v>170</v>
      </c>
      <c r="S9" s="190">
        <v>10.0</v>
      </c>
      <c r="T9" s="190">
        <v>5.0</v>
      </c>
      <c r="U9" s="190">
        <v>5.0</v>
      </c>
      <c r="V9" s="190">
        <v>30.0</v>
      </c>
      <c r="W9" s="187" t="s">
        <v>765</v>
      </c>
      <c r="X9" s="180" t="s">
        <v>767</v>
      </c>
      <c r="Y9" s="178" t="s">
        <v>639</v>
      </c>
      <c r="Z9" s="180" t="s">
        <v>768</v>
      </c>
      <c r="AA9" s="178" t="s">
        <v>500</v>
      </c>
      <c r="AB9" s="178" t="s">
        <v>180</v>
      </c>
      <c r="AC9" s="178" t="s">
        <v>384</v>
      </c>
      <c r="AD9" s="178" t="s">
        <v>161</v>
      </c>
      <c r="AE9" s="178" t="s">
        <v>304</v>
      </c>
      <c r="AF9" s="188" t="s">
        <v>183</v>
      </c>
      <c r="AG9" s="191">
        <v>35.0</v>
      </c>
      <c r="AH9" s="229" t="s">
        <v>792</v>
      </c>
      <c r="AI9" s="205" t="s">
        <v>793</v>
      </c>
      <c r="AJ9" s="265">
        <f>10+5+15+35</f>
        <v>65</v>
      </c>
      <c r="AK9" s="133" t="s">
        <v>794</v>
      </c>
      <c r="AL9" s="134">
        <f t="shared" si="1"/>
        <v>44582</v>
      </c>
      <c r="AM9" s="135">
        <f t="shared" si="2"/>
        <v>-132</v>
      </c>
      <c r="AN9" s="136" t="str">
        <f t="shared" si="3"/>
        <v>Reporte ok</v>
      </c>
      <c r="AO9" s="137"/>
      <c r="AP9" s="138"/>
    </row>
    <row r="10" ht="67.5" customHeight="1">
      <c r="A10" s="118"/>
      <c r="B10" s="177">
        <v>127.0</v>
      </c>
      <c r="C10" s="178" t="s">
        <v>488</v>
      </c>
      <c r="D10" s="178" t="s">
        <v>765</v>
      </c>
      <c r="E10" s="178" t="s">
        <v>490</v>
      </c>
      <c r="F10" s="179">
        <v>2.019011000277E12</v>
      </c>
      <c r="G10" s="180" t="s">
        <v>491</v>
      </c>
      <c r="H10" s="178" t="s">
        <v>492</v>
      </c>
      <c r="I10" s="178" t="s">
        <v>493</v>
      </c>
      <c r="J10" s="178" t="s">
        <v>493</v>
      </c>
      <c r="K10" s="181" t="s">
        <v>147</v>
      </c>
      <c r="L10" s="181" t="s">
        <v>125</v>
      </c>
      <c r="M10" s="181" t="s">
        <v>126</v>
      </c>
      <c r="N10" s="182" t="s">
        <v>795</v>
      </c>
      <c r="O10" s="183"/>
      <c r="P10" s="190">
        <v>3.0</v>
      </c>
      <c r="Q10" s="185" t="s">
        <v>796</v>
      </c>
      <c r="R10" s="186" t="s">
        <v>170</v>
      </c>
      <c r="S10" s="190">
        <v>0.0</v>
      </c>
      <c r="T10" s="190">
        <v>1.0</v>
      </c>
      <c r="U10" s="190">
        <v>1.0</v>
      </c>
      <c r="V10" s="190">
        <v>1.0</v>
      </c>
      <c r="W10" s="187" t="s">
        <v>765</v>
      </c>
      <c r="X10" s="180" t="s">
        <v>767</v>
      </c>
      <c r="Y10" s="178" t="s">
        <v>639</v>
      </c>
      <c r="Z10" s="180" t="s">
        <v>768</v>
      </c>
      <c r="AA10" s="178" t="s">
        <v>500</v>
      </c>
      <c r="AB10" s="178" t="s">
        <v>180</v>
      </c>
      <c r="AC10" s="178" t="s">
        <v>384</v>
      </c>
      <c r="AD10" s="178" t="s">
        <v>501</v>
      </c>
      <c r="AE10" s="178" t="s">
        <v>502</v>
      </c>
      <c r="AF10" s="188" t="s">
        <v>183</v>
      </c>
      <c r="AG10" s="191">
        <v>1.0</v>
      </c>
      <c r="AH10" s="229" t="s">
        <v>797</v>
      </c>
      <c r="AI10" s="205" t="s">
        <v>798</v>
      </c>
      <c r="AJ10" s="265">
        <f>1+1+1</f>
        <v>3</v>
      </c>
      <c r="AK10" s="133" t="s">
        <v>799</v>
      </c>
      <c r="AL10" s="134">
        <f t="shared" si="1"/>
        <v>44582</v>
      </c>
      <c r="AM10" s="135">
        <f t="shared" si="2"/>
        <v>-132</v>
      </c>
      <c r="AN10" s="136" t="str">
        <f t="shared" si="3"/>
        <v>Reporte ok</v>
      </c>
      <c r="AO10" s="137"/>
      <c r="AP10" s="138"/>
    </row>
    <row r="11" ht="67.5" customHeight="1">
      <c r="A11" s="118"/>
      <c r="B11" s="177">
        <v>128.0</v>
      </c>
      <c r="C11" s="178" t="s">
        <v>290</v>
      </c>
      <c r="D11" s="178" t="s">
        <v>765</v>
      </c>
      <c r="E11" s="178" t="s">
        <v>292</v>
      </c>
      <c r="F11" s="179">
        <v>2.01901100028E12</v>
      </c>
      <c r="G11" s="180" t="s">
        <v>293</v>
      </c>
      <c r="H11" s="178" t="s">
        <v>294</v>
      </c>
      <c r="I11" s="178" t="s">
        <v>690</v>
      </c>
      <c r="J11" s="178" t="s">
        <v>321</v>
      </c>
      <c r="K11" s="181" t="s">
        <v>124</v>
      </c>
      <c r="L11" s="181" t="s">
        <v>125</v>
      </c>
      <c r="M11" s="181" t="s">
        <v>126</v>
      </c>
      <c r="N11" s="182" t="s">
        <v>691</v>
      </c>
      <c r="O11" s="183">
        <v>-1.0</v>
      </c>
      <c r="P11" s="190">
        <v>10000.0</v>
      </c>
      <c r="Q11" s="185" t="s">
        <v>800</v>
      </c>
      <c r="R11" s="186" t="s">
        <v>170</v>
      </c>
      <c r="S11" s="190">
        <v>0.0</v>
      </c>
      <c r="T11" s="190">
        <v>0.0</v>
      </c>
      <c r="U11" s="190">
        <v>3000.0</v>
      </c>
      <c r="V11" s="190">
        <v>7000.0</v>
      </c>
      <c r="W11" s="187" t="s">
        <v>765</v>
      </c>
      <c r="X11" s="180" t="s">
        <v>767</v>
      </c>
      <c r="Y11" s="178" t="s">
        <v>639</v>
      </c>
      <c r="Z11" s="180" t="s">
        <v>768</v>
      </c>
      <c r="AA11" s="178" t="s">
        <v>500</v>
      </c>
      <c r="AB11" s="178" t="s">
        <v>180</v>
      </c>
      <c r="AC11" s="178" t="s">
        <v>135</v>
      </c>
      <c r="AD11" s="178" t="s">
        <v>161</v>
      </c>
      <c r="AE11" s="178" t="s">
        <v>304</v>
      </c>
      <c r="AF11" s="188" t="s">
        <v>183</v>
      </c>
      <c r="AG11" s="191">
        <v>5400.0</v>
      </c>
      <c r="AH11" s="229" t="s">
        <v>801</v>
      </c>
      <c r="AI11" s="191"/>
      <c r="AJ11" s="265">
        <v>5900.0</v>
      </c>
      <c r="AK11" s="133" t="s">
        <v>802</v>
      </c>
      <c r="AL11" s="134">
        <f t="shared" si="1"/>
        <v>44582</v>
      </c>
      <c r="AM11" s="135">
        <f t="shared" si="2"/>
        <v>-132</v>
      </c>
      <c r="AN11" s="136" t="str">
        <f t="shared" si="3"/>
        <v>Pend. Evid. Trim.
</v>
      </c>
      <c r="AO11" s="137"/>
      <c r="AP11" s="138"/>
    </row>
    <row r="12" ht="67.5" customHeight="1">
      <c r="A12" s="118"/>
      <c r="B12" s="177">
        <v>129.0</v>
      </c>
      <c r="C12" s="178" t="s">
        <v>372</v>
      </c>
      <c r="D12" s="178" t="s">
        <v>765</v>
      </c>
      <c r="E12" s="178" t="s">
        <v>374</v>
      </c>
      <c r="F12" s="179">
        <v>2.019011000276E12</v>
      </c>
      <c r="G12" s="180" t="s">
        <v>375</v>
      </c>
      <c r="H12" s="178" t="s">
        <v>388</v>
      </c>
      <c r="I12" s="178" t="s">
        <v>389</v>
      </c>
      <c r="J12" s="178" t="s">
        <v>389</v>
      </c>
      <c r="K12" s="181" t="s">
        <v>124</v>
      </c>
      <c r="L12" s="181" t="s">
        <v>125</v>
      </c>
      <c r="M12" s="181" t="s">
        <v>126</v>
      </c>
      <c r="N12" s="182" t="s">
        <v>391</v>
      </c>
      <c r="O12" s="183">
        <v>157.0</v>
      </c>
      <c r="P12" s="190">
        <v>640.0</v>
      </c>
      <c r="Q12" s="185" t="s">
        <v>803</v>
      </c>
      <c r="R12" s="186" t="s">
        <v>170</v>
      </c>
      <c r="S12" s="190">
        <v>130.0</v>
      </c>
      <c r="T12" s="190">
        <v>170.0</v>
      </c>
      <c r="U12" s="190">
        <v>170.0</v>
      </c>
      <c r="V12" s="190">
        <v>170.0</v>
      </c>
      <c r="W12" s="187" t="s">
        <v>765</v>
      </c>
      <c r="X12" s="180" t="s">
        <v>767</v>
      </c>
      <c r="Y12" s="178" t="s">
        <v>639</v>
      </c>
      <c r="Z12" s="180" t="s">
        <v>768</v>
      </c>
      <c r="AA12" s="178" t="s">
        <v>500</v>
      </c>
      <c r="AB12" s="178" t="s">
        <v>180</v>
      </c>
      <c r="AC12" s="178" t="s">
        <v>384</v>
      </c>
      <c r="AD12" s="178" t="s">
        <v>161</v>
      </c>
      <c r="AE12" s="178" t="s">
        <v>304</v>
      </c>
      <c r="AF12" s="188" t="s">
        <v>183</v>
      </c>
      <c r="AG12" s="191">
        <v>214.0</v>
      </c>
      <c r="AH12" s="229" t="s">
        <v>804</v>
      </c>
      <c r="AI12" s="205" t="s">
        <v>805</v>
      </c>
      <c r="AJ12" s="265">
        <f>220+170+174+214</f>
        <v>778</v>
      </c>
      <c r="AK12" s="133" t="s">
        <v>806</v>
      </c>
      <c r="AL12" s="134">
        <f t="shared" si="1"/>
        <v>44582</v>
      </c>
      <c r="AM12" s="135">
        <f t="shared" si="2"/>
        <v>-132</v>
      </c>
      <c r="AN12" s="136" t="str">
        <f t="shared" si="3"/>
        <v>Reporte ok</v>
      </c>
      <c r="AO12" s="137"/>
      <c r="AP12" s="138"/>
    </row>
    <row r="13" ht="67.5" customHeight="1">
      <c r="A13" s="118"/>
      <c r="B13" s="177">
        <v>130.0</v>
      </c>
      <c r="C13" s="178" t="s">
        <v>488</v>
      </c>
      <c r="D13" s="178" t="s">
        <v>765</v>
      </c>
      <c r="E13" s="178" t="s">
        <v>490</v>
      </c>
      <c r="F13" s="179">
        <v>2.019011000277E12</v>
      </c>
      <c r="G13" s="180" t="s">
        <v>491</v>
      </c>
      <c r="H13" s="178" t="s">
        <v>492</v>
      </c>
      <c r="I13" s="178" t="s">
        <v>493</v>
      </c>
      <c r="J13" s="178" t="s">
        <v>493</v>
      </c>
      <c r="K13" s="181" t="s">
        <v>147</v>
      </c>
      <c r="L13" s="181" t="s">
        <v>125</v>
      </c>
      <c r="M13" s="181" t="s">
        <v>126</v>
      </c>
      <c r="N13" s="182" t="s">
        <v>795</v>
      </c>
      <c r="O13" s="183"/>
      <c r="P13" s="190">
        <v>36.0</v>
      </c>
      <c r="Q13" s="185" t="s">
        <v>807</v>
      </c>
      <c r="R13" s="186" t="s">
        <v>170</v>
      </c>
      <c r="S13" s="190">
        <v>4.0</v>
      </c>
      <c r="T13" s="190">
        <v>8.0</v>
      </c>
      <c r="U13" s="190">
        <v>12.0</v>
      </c>
      <c r="V13" s="190">
        <v>12.0</v>
      </c>
      <c r="W13" s="187" t="s">
        <v>765</v>
      </c>
      <c r="X13" s="180" t="s">
        <v>767</v>
      </c>
      <c r="Y13" s="178" t="s">
        <v>639</v>
      </c>
      <c r="Z13" s="180" t="s">
        <v>768</v>
      </c>
      <c r="AA13" s="178" t="s">
        <v>500</v>
      </c>
      <c r="AB13" s="178" t="s">
        <v>180</v>
      </c>
      <c r="AC13" s="178" t="s">
        <v>384</v>
      </c>
      <c r="AD13" s="178" t="s">
        <v>501</v>
      </c>
      <c r="AE13" s="178" t="s">
        <v>502</v>
      </c>
      <c r="AF13" s="188" t="s">
        <v>183</v>
      </c>
      <c r="AG13" s="191">
        <v>4.0</v>
      </c>
      <c r="AH13" s="229" t="s">
        <v>808</v>
      </c>
      <c r="AI13" s="145" t="s">
        <v>809</v>
      </c>
      <c r="AJ13" s="265">
        <f>4+8+12+4</f>
        <v>28</v>
      </c>
      <c r="AK13" s="229" t="s">
        <v>808</v>
      </c>
      <c r="AL13" s="134">
        <f t="shared" si="1"/>
        <v>44582</v>
      </c>
      <c r="AM13" s="135">
        <f t="shared" si="2"/>
        <v>-132</v>
      </c>
      <c r="AN13" s="136" t="str">
        <f t="shared" si="3"/>
        <v>Reporte ok</v>
      </c>
      <c r="AO13" s="137"/>
      <c r="AP13" s="138"/>
    </row>
    <row r="14" ht="67.5" customHeight="1">
      <c r="A14" s="118"/>
      <c r="B14" s="177">
        <v>131.0</v>
      </c>
      <c r="C14" s="178" t="s">
        <v>488</v>
      </c>
      <c r="D14" s="178" t="s">
        <v>765</v>
      </c>
      <c r="E14" s="178" t="s">
        <v>490</v>
      </c>
      <c r="F14" s="179">
        <v>2.019011000277E12</v>
      </c>
      <c r="G14" s="180" t="s">
        <v>491</v>
      </c>
      <c r="H14" s="178" t="s">
        <v>492</v>
      </c>
      <c r="I14" s="178" t="s">
        <v>493</v>
      </c>
      <c r="J14" s="178" t="s">
        <v>493</v>
      </c>
      <c r="K14" s="181" t="s">
        <v>147</v>
      </c>
      <c r="L14" s="181" t="s">
        <v>125</v>
      </c>
      <c r="M14" s="181" t="s">
        <v>126</v>
      </c>
      <c r="N14" s="182" t="s">
        <v>795</v>
      </c>
      <c r="O14" s="183"/>
      <c r="P14" s="190">
        <v>70.0</v>
      </c>
      <c r="Q14" s="185" t="s">
        <v>810</v>
      </c>
      <c r="R14" s="186" t="s">
        <v>170</v>
      </c>
      <c r="S14" s="190">
        <v>7.0</v>
      </c>
      <c r="T14" s="190">
        <v>17.0</v>
      </c>
      <c r="U14" s="190">
        <v>26.0</v>
      </c>
      <c r="V14" s="190">
        <v>20.0</v>
      </c>
      <c r="W14" s="187" t="s">
        <v>765</v>
      </c>
      <c r="X14" s="180" t="s">
        <v>767</v>
      </c>
      <c r="Y14" s="178" t="s">
        <v>639</v>
      </c>
      <c r="Z14" s="180" t="s">
        <v>768</v>
      </c>
      <c r="AA14" s="178" t="s">
        <v>500</v>
      </c>
      <c r="AB14" s="178" t="s">
        <v>180</v>
      </c>
      <c r="AC14" s="178" t="s">
        <v>384</v>
      </c>
      <c r="AD14" s="178" t="s">
        <v>501</v>
      </c>
      <c r="AE14" s="178" t="s">
        <v>502</v>
      </c>
      <c r="AF14" s="188" t="s">
        <v>183</v>
      </c>
      <c r="AG14" s="191">
        <v>20.0</v>
      </c>
      <c r="AH14" s="229" t="s">
        <v>811</v>
      </c>
      <c r="AI14" s="145" t="s">
        <v>812</v>
      </c>
      <c r="AJ14" s="265">
        <f>7+23+26+20</f>
        <v>76</v>
      </c>
      <c r="AK14" s="133" t="s">
        <v>813</v>
      </c>
      <c r="AL14" s="134">
        <f t="shared" si="1"/>
        <v>44582</v>
      </c>
      <c r="AM14" s="135">
        <f t="shared" si="2"/>
        <v>-132</v>
      </c>
      <c r="AN14" s="136" t="str">
        <f t="shared" si="3"/>
        <v>Reporte ok</v>
      </c>
      <c r="AO14" s="137"/>
      <c r="AP14" s="138"/>
    </row>
    <row r="15" ht="67.5" customHeight="1">
      <c r="A15" s="118"/>
      <c r="B15" s="177">
        <v>132.0</v>
      </c>
      <c r="C15" s="178" t="s">
        <v>488</v>
      </c>
      <c r="D15" s="178" t="s">
        <v>765</v>
      </c>
      <c r="E15" s="178" t="s">
        <v>490</v>
      </c>
      <c r="F15" s="179">
        <v>2.019011000277E12</v>
      </c>
      <c r="G15" s="180" t="s">
        <v>491</v>
      </c>
      <c r="H15" s="178" t="s">
        <v>492</v>
      </c>
      <c r="I15" s="178" t="s">
        <v>493</v>
      </c>
      <c r="J15" s="178" t="s">
        <v>493</v>
      </c>
      <c r="K15" s="181" t="s">
        <v>147</v>
      </c>
      <c r="L15" s="181" t="s">
        <v>125</v>
      </c>
      <c r="M15" s="181" t="s">
        <v>126</v>
      </c>
      <c r="N15" s="182" t="s">
        <v>795</v>
      </c>
      <c r="O15" s="183"/>
      <c r="P15" s="190">
        <v>19.0</v>
      </c>
      <c r="Q15" s="185" t="s">
        <v>814</v>
      </c>
      <c r="R15" s="186" t="s">
        <v>170</v>
      </c>
      <c r="S15" s="190">
        <v>2.0</v>
      </c>
      <c r="T15" s="190">
        <v>5.0</v>
      </c>
      <c r="U15" s="190">
        <v>6.0</v>
      </c>
      <c r="V15" s="190">
        <v>6.0</v>
      </c>
      <c r="W15" s="187" t="s">
        <v>765</v>
      </c>
      <c r="X15" s="180" t="s">
        <v>767</v>
      </c>
      <c r="Y15" s="178" t="s">
        <v>639</v>
      </c>
      <c r="Z15" s="180" t="s">
        <v>768</v>
      </c>
      <c r="AA15" s="178" t="s">
        <v>500</v>
      </c>
      <c r="AB15" s="178" t="s">
        <v>180</v>
      </c>
      <c r="AC15" s="178" t="s">
        <v>384</v>
      </c>
      <c r="AD15" s="178" t="s">
        <v>501</v>
      </c>
      <c r="AE15" s="178" t="s">
        <v>502</v>
      </c>
      <c r="AF15" s="188" t="s">
        <v>183</v>
      </c>
      <c r="AG15" s="191">
        <v>6.0</v>
      </c>
      <c r="AH15" s="229" t="s">
        <v>811</v>
      </c>
      <c r="AI15" s="145" t="s">
        <v>812</v>
      </c>
      <c r="AJ15" s="265">
        <f>2+5+6+6</f>
        <v>19</v>
      </c>
      <c r="AK15" s="133" t="s">
        <v>813</v>
      </c>
      <c r="AL15" s="134">
        <f t="shared" si="1"/>
        <v>44582</v>
      </c>
      <c r="AM15" s="135">
        <f t="shared" si="2"/>
        <v>-132</v>
      </c>
      <c r="AN15" s="136" t="str">
        <f t="shared" si="3"/>
        <v>Reporte ok</v>
      </c>
      <c r="AO15" s="137"/>
      <c r="AP15" s="138"/>
    </row>
    <row r="16" ht="67.5" customHeight="1">
      <c r="A16" s="118"/>
      <c r="B16" s="177"/>
      <c r="C16" s="178"/>
      <c r="D16" s="178"/>
      <c r="E16" s="178"/>
      <c r="F16" s="179"/>
      <c r="G16" s="180"/>
      <c r="H16" s="178"/>
      <c r="I16" s="178"/>
      <c r="J16" s="178"/>
      <c r="K16" s="181"/>
      <c r="L16" s="181"/>
      <c r="M16" s="181"/>
      <c r="N16" s="182"/>
      <c r="O16" s="183"/>
      <c r="P16" s="190"/>
      <c r="Q16" s="185"/>
      <c r="R16" s="186"/>
      <c r="S16" s="190"/>
      <c r="T16" s="190"/>
      <c r="U16" s="190"/>
      <c r="V16" s="190"/>
      <c r="W16" s="187"/>
      <c r="X16" s="180"/>
      <c r="Y16" s="178"/>
      <c r="Z16" s="180"/>
      <c r="AA16" s="178"/>
      <c r="AB16" s="178"/>
      <c r="AC16" s="178"/>
      <c r="AD16" s="178"/>
      <c r="AE16" s="178"/>
      <c r="AF16" s="188"/>
      <c r="AG16" s="146"/>
      <c r="AH16" s="147"/>
      <c r="AI16" s="148"/>
      <c r="AJ16" s="149"/>
      <c r="AK16" s="133"/>
      <c r="AL16" s="134"/>
      <c r="AM16" s="135"/>
      <c r="AN16" s="136"/>
      <c r="AO16" s="137"/>
      <c r="AP16" s="138"/>
    </row>
    <row r="17" ht="67.5" customHeight="1">
      <c r="A17" s="118"/>
      <c r="B17" s="192"/>
      <c r="C17" s="193"/>
      <c r="D17" s="193"/>
      <c r="E17" s="193"/>
      <c r="F17" s="194"/>
      <c r="G17" s="195"/>
      <c r="H17" s="193"/>
      <c r="I17" s="193"/>
      <c r="J17" s="193"/>
      <c r="K17" s="196"/>
      <c r="L17" s="196"/>
      <c r="M17" s="196"/>
      <c r="N17" s="197"/>
      <c r="O17" s="198"/>
      <c r="P17" s="199"/>
      <c r="Q17" s="200"/>
      <c r="R17" s="201"/>
      <c r="S17" s="199"/>
      <c r="T17" s="199"/>
      <c r="U17" s="199"/>
      <c r="V17" s="199"/>
      <c r="W17" s="202"/>
      <c r="X17" s="195"/>
      <c r="Y17" s="193"/>
      <c r="Z17" s="195"/>
      <c r="AA17" s="193"/>
      <c r="AB17" s="193"/>
      <c r="AC17" s="193"/>
      <c r="AD17" s="193"/>
      <c r="AE17" s="193"/>
      <c r="AF17" s="203"/>
      <c r="AG17" s="161"/>
      <c r="AH17" s="162"/>
      <c r="AI17" s="163"/>
      <c r="AJ17" s="164"/>
      <c r="AK17" s="165"/>
      <c r="AL17" s="166"/>
      <c r="AM17" s="167"/>
      <c r="AN17" s="168"/>
      <c r="AO17" s="169"/>
      <c r="AP17" s="138"/>
    </row>
    <row r="18" ht="15.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row>
  </sheetData>
  <autoFilter ref="$A$3:$AP$15"/>
  <mergeCells count="4">
    <mergeCell ref="B1:C1"/>
    <mergeCell ref="AG2:AI2"/>
    <mergeCell ref="AJ2:AK2"/>
    <mergeCell ref="AL2:AO2"/>
  </mergeCells>
  <conditionalFormatting sqref="AK4:AK12 AM4:AM17 AK14:AK18">
    <cfRule type="cellIs" dxfId="2" priority="1" operator="greaterThan">
      <formula>0</formula>
    </cfRule>
  </conditionalFormatting>
  <conditionalFormatting sqref="AK4:AK12 AM4:AM17 AK14:AK18">
    <cfRule type="cellIs" dxfId="3" priority="2" operator="lessThan">
      <formula>0</formula>
    </cfRule>
  </conditionalFormatting>
  <dataValidations>
    <dataValidation type="decimal" allowBlank="1" showDropDown="1" showInputMessage="1" showErrorMessage="1" prompt="Recuerde que debe ingresar un valor numérico o porcentaje" sqref="AJ8:AJ10 AI11:AJ11 AG4:AG17 AJ12:AJ17">
      <formula1>0.0</formula1>
      <formula2>5000000.0</formula2>
    </dataValidation>
  </dataValidations>
  <hyperlinks>
    <hyperlink display="Home" location="Home!A1" ref="B1"/>
    <hyperlink r:id="rId1" ref="AI4"/>
    <hyperlink r:id="rId2" ref="AI5"/>
    <hyperlink r:id="rId3" ref="AI6"/>
    <hyperlink r:id="rId4" ref="AI7"/>
    <hyperlink r:id="rId5" ref="AI8"/>
    <hyperlink r:id="rId6" ref="AI9"/>
    <hyperlink r:id="rId7" ref="AI10"/>
    <hyperlink r:id="rId8" ref="AI12"/>
    <hyperlink r:id="rId9" ref="AI13"/>
    <hyperlink r:id="rId10" ref="AI14"/>
    <hyperlink r:id="rId11" ref="AI15"/>
  </hyperlinks>
  <printOptions gridLines="1" horizontalCentered="1"/>
  <pageMargins bottom="0.75" footer="0.0" header="0.0" left="0.7" right="0.7" top="0.75"/>
  <pageSetup cellComments="atEnd" orientation="portrait" pageOrder="overThenDown"/>
  <drawing r:id="rId12"/>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21" width="15.75"/>
    <col customWidth="1" min="22" max="22" width="15.75"/>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4" width="21.0"/>
    <col customWidth="1" min="35" max="35" width="22.88"/>
    <col customWidth="1" min="36" max="36" width="21.75"/>
    <col customWidth="1" min="37" max="37" width="20.25"/>
    <col customWidth="1" min="38" max="38" width="15.75"/>
    <col customWidth="1" min="39" max="39" width="15.63"/>
    <col customWidth="1" min="40" max="40" width="16.38"/>
    <col customWidth="1" min="41" max="41" width="18.25"/>
    <col customWidth="1" min="42" max="42" width="3.88"/>
  </cols>
  <sheetData>
    <row r="1" ht="33.75" customHeight="1">
      <c r="A1" s="85"/>
      <c r="B1" s="86" t="s">
        <v>108</v>
      </c>
      <c r="C1" s="87"/>
      <c r="D1" s="88"/>
      <c r="E1" s="89"/>
      <c r="F1" s="90"/>
      <c r="G1" s="90"/>
      <c r="H1" s="90"/>
      <c r="I1" s="90"/>
      <c r="J1" s="90"/>
      <c r="K1" s="90"/>
      <c r="L1" s="90"/>
      <c r="M1" s="90"/>
      <c r="N1" s="90"/>
      <c r="O1" s="90"/>
      <c r="P1" s="90"/>
      <c r="Q1" s="90"/>
      <c r="R1" s="90"/>
      <c r="S1" s="90"/>
      <c r="T1" s="90"/>
      <c r="U1" s="90"/>
      <c r="V1" s="90"/>
      <c r="W1" s="90"/>
      <c r="X1" s="90"/>
      <c r="Y1" s="90"/>
      <c r="Z1" s="90"/>
      <c r="AA1" s="90"/>
      <c r="AB1" s="90"/>
      <c r="AC1" s="90"/>
      <c r="AD1" s="90"/>
      <c r="AE1" s="90"/>
      <c r="AF1" s="88"/>
      <c r="AG1" s="91" t="s">
        <v>109</v>
      </c>
      <c r="AH1" s="92">
        <v>1.0</v>
      </c>
      <c r="AI1" s="93" t="s">
        <v>110</v>
      </c>
      <c r="AJ1" s="94"/>
      <c r="AK1" s="95"/>
      <c r="AL1" s="96">
        <v>43466.0</v>
      </c>
      <c r="AM1" s="97">
        <f>Alertas!B6</f>
        <v>44582</v>
      </c>
      <c r="AN1" s="96">
        <f>TODAY()-1</f>
        <v>44714</v>
      </c>
      <c r="AO1" s="93"/>
      <c r="AP1" s="93"/>
    </row>
    <row r="2" ht="33.75" customHeight="1">
      <c r="A2" s="85"/>
      <c r="B2" s="88"/>
      <c r="C2" s="98"/>
      <c r="D2" s="99"/>
      <c r="E2" s="88"/>
      <c r="F2" s="100"/>
      <c r="G2" s="88"/>
      <c r="H2" s="88"/>
      <c r="I2" s="88"/>
      <c r="J2" s="88"/>
      <c r="K2" s="88"/>
      <c r="L2" s="88"/>
      <c r="M2" s="88"/>
      <c r="N2" s="88"/>
      <c r="O2" s="88"/>
      <c r="P2" s="88"/>
      <c r="Q2" s="88"/>
      <c r="R2" s="88"/>
      <c r="S2" s="88"/>
      <c r="T2" s="88"/>
      <c r="U2" s="88"/>
      <c r="V2" s="88"/>
      <c r="W2" s="88"/>
      <c r="X2" s="88"/>
      <c r="Y2" s="88"/>
      <c r="Z2" s="88"/>
      <c r="AA2" s="88"/>
      <c r="AB2" s="88"/>
      <c r="AC2" s="88"/>
      <c r="AD2" s="88"/>
      <c r="AE2" s="88"/>
      <c r="AF2" s="17"/>
      <c r="AG2" s="101" t="s">
        <v>111</v>
      </c>
      <c r="AH2" s="102"/>
      <c r="AI2" s="103"/>
      <c r="AJ2" s="104" t="s">
        <v>112</v>
      </c>
      <c r="AK2" s="103"/>
      <c r="AL2" s="104" t="s">
        <v>113</v>
      </c>
      <c r="AM2" s="102"/>
      <c r="AN2" s="102"/>
      <c r="AO2" s="103"/>
      <c r="AP2" s="105"/>
    </row>
    <row r="3" ht="33.75" customHeight="1">
      <c r="A3" s="106"/>
      <c r="B3" s="171" t="s">
        <v>40</v>
      </c>
      <c r="C3" s="172" t="s">
        <v>41</v>
      </c>
      <c r="D3" s="173" t="s">
        <v>42</v>
      </c>
      <c r="E3" s="173" t="s">
        <v>43</v>
      </c>
      <c r="F3" s="174" t="s">
        <v>44</v>
      </c>
      <c r="G3" s="175" t="s">
        <v>45</v>
      </c>
      <c r="H3" s="173" t="s">
        <v>46</v>
      </c>
      <c r="I3" s="175" t="s">
        <v>47</v>
      </c>
      <c r="J3" s="175" t="s">
        <v>48</v>
      </c>
      <c r="K3" s="175" t="s">
        <v>49</v>
      </c>
      <c r="L3" s="175" t="s">
        <v>50</v>
      </c>
      <c r="M3" s="173" t="s">
        <v>51</v>
      </c>
      <c r="N3" s="173" t="s">
        <v>52</v>
      </c>
      <c r="O3" s="175" t="s">
        <v>53</v>
      </c>
      <c r="P3" s="175" t="s">
        <v>54</v>
      </c>
      <c r="Q3" s="173" t="s">
        <v>55</v>
      </c>
      <c r="R3" s="173" t="s">
        <v>56</v>
      </c>
      <c r="S3" s="175" t="s">
        <v>57</v>
      </c>
      <c r="T3" s="175" t="s">
        <v>58</v>
      </c>
      <c r="U3" s="175" t="s">
        <v>59</v>
      </c>
      <c r="V3" s="175" t="s">
        <v>60</v>
      </c>
      <c r="W3" s="173" t="s">
        <v>61</v>
      </c>
      <c r="X3" s="172" t="s">
        <v>62</v>
      </c>
      <c r="Y3" s="172" t="s">
        <v>63</v>
      </c>
      <c r="Z3" s="172" t="s">
        <v>64</v>
      </c>
      <c r="AA3" s="172" t="s">
        <v>65</v>
      </c>
      <c r="AB3" s="172" t="s">
        <v>66</v>
      </c>
      <c r="AC3" s="172" t="s">
        <v>67</v>
      </c>
      <c r="AD3" s="172" t="s">
        <v>68</v>
      </c>
      <c r="AE3" s="172" t="s">
        <v>69</v>
      </c>
      <c r="AF3" s="176" t="s">
        <v>70</v>
      </c>
      <c r="AG3" s="113" t="s">
        <v>71</v>
      </c>
      <c r="AH3" s="114" t="s">
        <v>72</v>
      </c>
      <c r="AI3" s="115" t="s">
        <v>73</v>
      </c>
      <c r="AJ3" s="116" t="s">
        <v>114</v>
      </c>
      <c r="AK3" s="117" t="s">
        <v>115</v>
      </c>
      <c r="AL3" s="113" t="s">
        <v>74</v>
      </c>
      <c r="AM3" s="114" t="s">
        <v>116</v>
      </c>
      <c r="AN3" s="114" t="s">
        <v>76</v>
      </c>
      <c r="AO3" s="117" t="s">
        <v>117</v>
      </c>
      <c r="AP3" s="105"/>
    </row>
    <row r="4" ht="67.5" customHeight="1">
      <c r="A4" s="118"/>
      <c r="B4" s="177">
        <v>133.0</v>
      </c>
      <c r="C4" s="178" t="s">
        <v>372</v>
      </c>
      <c r="D4" s="178" t="s">
        <v>815</v>
      </c>
      <c r="E4" s="178" t="s">
        <v>374</v>
      </c>
      <c r="F4" s="179">
        <v>2.019011000276E12</v>
      </c>
      <c r="G4" s="180" t="s">
        <v>375</v>
      </c>
      <c r="H4" s="178" t="s">
        <v>388</v>
      </c>
      <c r="I4" s="178" t="s">
        <v>389</v>
      </c>
      <c r="J4" s="178" t="s">
        <v>390</v>
      </c>
      <c r="K4" s="181" t="s">
        <v>124</v>
      </c>
      <c r="L4" s="181" t="s">
        <v>125</v>
      </c>
      <c r="M4" s="181" t="s">
        <v>126</v>
      </c>
      <c r="N4" s="182" t="s">
        <v>391</v>
      </c>
      <c r="O4" s="183">
        <v>157.0</v>
      </c>
      <c r="P4" s="190">
        <v>240.0</v>
      </c>
      <c r="Q4" s="185" t="s">
        <v>816</v>
      </c>
      <c r="R4" s="186" t="s">
        <v>170</v>
      </c>
      <c r="S4" s="190">
        <v>40.0</v>
      </c>
      <c r="T4" s="190">
        <v>70.0</v>
      </c>
      <c r="U4" s="190">
        <v>70.0</v>
      </c>
      <c r="V4" s="190">
        <v>60.0</v>
      </c>
      <c r="W4" s="187" t="s">
        <v>817</v>
      </c>
      <c r="X4" s="180" t="s">
        <v>818</v>
      </c>
      <c r="Y4" s="178" t="s">
        <v>819</v>
      </c>
      <c r="Z4" s="180" t="s">
        <v>820</v>
      </c>
      <c r="AA4" s="178" t="s">
        <v>159</v>
      </c>
      <c r="AB4" s="178" t="s">
        <v>160</v>
      </c>
      <c r="AC4" s="178" t="s">
        <v>384</v>
      </c>
      <c r="AD4" s="178" t="s">
        <v>136</v>
      </c>
      <c r="AE4" s="178" t="s">
        <v>205</v>
      </c>
      <c r="AF4" s="188" t="s">
        <v>821</v>
      </c>
      <c r="AG4" s="191">
        <v>78.0</v>
      </c>
      <c r="AH4" s="229" t="s">
        <v>822</v>
      </c>
      <c r="AI4" s="140" t="s">
        <v>823</v>
      </c>
      <c r="AJ4" s="191">
        <v>262.0</v>
      </c>
      <c r="AK4" s="266" t="s">
        <v>824</v>
      </c>
      <c r="AL4" s="134">
        <f t="shared" ref="AL4:AL9" si="1">$AM$1</f>
        <v>44582</v>
      </c>
      <c r="AM4" s="135">
        <f t="shared" ref="AM4:AM9" si="2">AL4-$AN$1</f>
        <v>-132</v>
      </c>
      <c r="AN4" s="136" t="str">
        <f t="shared" ref="AN4:AN9" si="3">IF(ISBLANK(AG4),"Pend. Ejec. Trim."&amp;CHAR(10),)&amp;
IF(ISBLANK(AH4),"Pend. Just. Trim."&amp;CHAR(10),)&amp;
IF(ISBLANK(AI4),"Pend. Evid. Trim."&amp;CHAR(10),)&amp;
IF(ISBLANK(AJ4),"Pend. Ejec. Año"&amp;CHAR(10),)&amp;
IF(ISBLANK(AK4),"Pend. Evid. Año",)&amp;
IF(OR(ISBLANK(AG4),ISBLANK(AH4),ISBLANK(AI4),ISBLANK(AJ4),ISBLANK(AK4)),,"Reporte ok")</f>
        <v>Reporte ok</v>
      </c>
      <c r="AO4" s="137"/>
      <c r="AP4" s="138"/>
    </row>
    <row r="5" ht="67.5" customHeight="1">
      <c r="A5" s="118"/>
      <c r="B5" s="177">
        <v>134.0</v>
      </c>
      <c r="C5" s="178" t="s">
        <v>290</v>
      </c>
      <c r="D5" s="178" t="s">
        <v>815</v>
      </c>
      <c r="E5" s="178" t="s">
        <v>292</v>
      </c>
      <c r="F5" s="179">
        <v>2.01901100028E12</v>
      </c>
      <c r="G5" s="180" t="s">
        <v>293</v>
      </c>
      <c r="H5" s="178" t="s">
        <v>376</v>
      </c>
      <c r="I5" s="178" t="s">
        <v>377</v>
      </c>
      <c r="J5" s="178" t="s">
        <v>378</v>
      </c>
      <c r="K5" s="181" t="s">
        <v>147</v>
      </c>
      <c r="L5" s="181" t="s">
        <v>125</v>
      </c>
      <c r="M5" s="181" t="s">
        <v>126</v>
      </c>
      <c r="N5" s="182" t="s">
        <v>790</v>
      </c>
      <c r="O5" s="183"/>
      <c r="P5" s="190">
        <v>60.0</v>
      </c>
      <c r="Q5" s="185" t="s">
        <v>825</v>
      </c>
      <c r="R5" s="186" t="s">
        <v>826</v>
      </c>
      <c r="S5" s="190">
        <v>10.0</v>
      </c>
      <c r="T5" s="190">
        <v>20.0</v>
      </c>
      <c r="U5" s="190">
        <v>20.0</v>
      </c>
      <c r="V5" s="190">
        <v>10.0</v>
      </c>
      <c r="W5" s="187" t="s">
        <v>817</v>
      </c>
      <c r="X5" s="180" t="s">
        <v>818</v>
      </c>
      <c r="Y5" s="178" t="s">
        <v>819</v>
      </c>
      <c r="Z5" s="180" t="s">
        <v>820</v>
      </c>
      <c r="AA5" s="178" t="s">
        <v>159</v>
      </c>
      <c r="AB5" s="178" t="s">
        <v>160</v>
      </c>
      <c r="AC5" s="178" t="s">
        <v>135</v>
      </c>
      <c r="AD5" s="178" t="s">
        <v>161</v>
      </c>
      <c r="AE5" s="178" t="s">
        <v>304</v>
      </c>
      <c r="AF5" s="188" t="s">
        <v>183</v>
      </c>
      <c r="AG5" s="191">
        <v>7.0</v>
      </c>
      <c r="AH5" s="229" t="s">
        <v>827</v>
      </c>
      <c r="AI5" s="267" t="s">
        <v>828</v>
      </c>
      <c r="AJ5" s="191">
        <v>78.0</v>
      </c>
      <c r="AK5" s="266" t="s">
        <v>829</v>
      </c>
      <c r="AL5" s="134">
        <f t="shared" si="1"/>
        <v>44582</v>
      </c>
      <c r="AM5" s="135">
        <f t="shared" si="2"/>
        <v>-132</v>
      </c>
      <c r="AN5" s="136" t="str">
        <f t="shared" si="3"/>
        <v>Reporte ok</v>
      </c>
      <c r="AO5" s="137"/>
      <c r="AP5" s="138"/>
    </row>
    <row r="6" ht="67.5" customHeight="1">
      <c r="A6" s="118"/>
      <c r="B6" s="177">
        <v>135.0</v>
      </c>
      <c r="C6" s="178" t="s">
        <v>290</v>
      </c>
      <c r="D6" s="178" t="s">
        <v>815</v>
      </c>
      <c r="E6" s="178" t="s">
        <v>292</v>
      </c>
      <c r="F6" s="179">
        <v>2.01901100028E12</v>
      </c>
      <c r="G6" s="180" t="s">
        <v>293</v>
      </c>
      <c r="H6" s="178" t="s">
        <v>294</v>
      </c>
      <c r="I6" s="178" t="s">
        <v>295</v>
      </c>
      <c r="J6" s="178" t="s">
        <v>296</v>
      </c>
      <c r="K6" s="181" t="s">
        <v>147</v>
      </c>
      <c r="L6" s="181" t="s">
        <v>125</v>
      </c>
      <c r="M6" s="181" t="s">
        <v>126</v>
      </c>
      <c r="N6" s="182" t="s">
        <v>785</v>
      </c>
      <c r="O6" s="183"/>
      <c r="P6" s="190">
        <v>3000.0</v>
      </c>
      <c r="Q6" s="185" t="s">
        <v>830</v>
      </c>
      <c r="R6" s="186" t="s">
        <v>170</v>
      </c>
      <c r="S6" s="190">
        <v>400.0</v>
      </c>
      <c r="T6" s="190">
        <v>800.0</v>
      </c>
      <c r="U6" s="190">
        <v>1000.0</v>
      </c>
      <c r="V6" s="190">
        <v>800.0</v>
      </c>
      <c r="W6" s="187" t="s">
        <v>817</v>
      </c>
      <c r="X6" s="180" t="s">
        <v>818</v>
      </c>
      <c r="Y6" s="178" t="s">
        <v>819</v>
      </c>
      <c r="Z6" s="180" t="s">
        <v>820</v>
      </c>
      <c r="AA6" s="178" t="s">
        <v>159</v>
      </c>
      <c r="AB6" s="178" t="s">
        <v>180</v>
      </c>
      <c r="AC6" s="178" t="s">
        <v>303</v>
      </c>
      <c r="AD6" s="178" t="s">
        <v>161</v>
      </c>
      <c r="AE6" s="178" t="s">
        <v>304</v>
      </c>
      <c r="AF6" s="188" t="s">
        <v>183</v>
      </c>
      <c r="AG6" s="191">
        <v>496.0</v>
      </c>
      <c r="AH6" s="229" t="s">
        <v>831</v>
      </c>
      <c r="AI6" s="267" t="s">
        <v>832</v>
      </c>
      <c r="AJ6" s="191">
        <v>3074.0</v>
      </c>
      <c r="AK6" s="266" t="s">
        <v>833</v>
      </c>
      <c r="AL6" s="134">
        <f t="shared" si="1"/>
        <v>44582</v>
      </c>
      <c r="AM6" s="135">
        <f t="shared" si="2"/>
        <v>-132</v>
      </c>
      <c r="AN6" s="136" t="str">
        <f t="shared" si="3"/>
        <v>Reporte ok</v>
      </c>
      <c r="AO6" s="137"/>
      <c r="AP6" s="138"/>
    </row>
    <row r="7" ht="67.5" customHeight="1">
      <c r="A7" s="118"/>
      <c r="B7" s="177">
        <v>136.0</v>
      </c>
      <c r="C7" s="178" t="s">
        <v>290</v>
      </c>
      <c r="D7" s="178" t="s">
        <v>815</v>
      </c>
      <c r="E7" s="178" t="s">
        <v>292</v>
      </c>
      <c r="F7" s="179">
        <v>2.01901100028E12</v>
      </c>
      <c r="G7" s="180" t="s">
        <v>293</v>
      </c>
      <c r="H7" s="178" t="s">
        <v>314</v>
      </c>
      <c r="I7" s="178" t="s">
        <v>315</v>
      </c>
      <c r="J7" s="178" t="s">
        <v>316</v>
      </c>
      <c r="K7" s="181" t="s">
        <v>147</v>
      </c>
      <c r="L7" s="181" t="s">
        <v>125</v>
      </c>
      <c r="M7" s="181" t="s">
        <v>126</v>
      </c>
      <c r="N7" s="182" t="s">
        <v>317</v>
      </c>
      <c r="O7" s="183"/>
      <c r="P7" s="190">
        <v>125.0</v>
      </c>
      <c r="Q7" s="185" t="s">
        <v>834</v>
      </c>
      <c r="R7" s="186" t="s">
        <v>170</v>
      </c>
      <c r="S7" s="190">
        <v>5.0</v>
      </c>
      <c r="T7" s="190">
        <v>40.0</v>
      </c>
      <c r="U7" s="190">
        <v>50.0</v>
      </c>
      <c r="V7" s="190">
        <v>30.0</v>
      </c>
      <c r="W7" s="187" t="s">
        <v>291</v>
      </c>
      <c r="X7" s="180" t="s">
        <v>835</v>
      </c>
      <c r="Y7" s="178" t="s">
        <v>836</v>
      </c>
      <c r="Z7" s="180" t="s">
        <v>301</v>
      </c>
      <c r="AA7" s="178" t="s">
        <v>159</v>
      </c>
      <c r="AB7" s="178" t="s">
        <v>180</v>
      </c>
      <c r="AC7" s="178" t="s">
        <v>303</v>
      </c>
      <c r="AD7" s="178" t="s">
        <v>136</v>
      </c>
      <c r="AE7" s="178" t="s">
        <v>304</v>
      </c>
      <c r="AF7" s="188" t="s">
        <v>821</v>
      </c>
      <c r="AG7" s="191">
        <v>39.0</v>
      </c>
      <c r="AH7" s="229" t="s">
        <v>837</v>
      </c>
      <c r="AI7" s="267" t="s">
        <v>828</v>
      </c>
      <c r="AJ7" s="191">
        <v>151.0</v>
      </c>
      <c r="AK7" s="266" t="s">
        <v>838</v>
      </c>
      <c r="AL7" s="134">
        <f t="shared" si="1"/>
        <v>44582</v>
      </c>
      <c r="AM7" s="135">
        <f t="shared" si="2"/>
        <v>-132</v>
      </c>
      <c r="AN7" s="136" t="str">
        <f t="shared" si="3"/>
        <v>Reporte ok</v>
      </c>
      <c r="AO7" s="137"/>
      <c r="AP7" s="138"/>
    </row>
    <row r="8" ht="67.5" customHeight="1">
      <c r="A8" s="118"/>
      <c r="B8" s="177">
        <v>137.0</v>
      </c>
      <c r="C8" s="178" t="s">
        <v>290</v>
      </c>
      <c r="D8" s="178" t="s">
        <v>815</v>
      </c>
      <c r="E8" s="178" t="s">
        <v>292</v>
      </c>
      <c r="F8" s="179">
        <v>2.01901100028E12</v>
      </c>
      <c r="G8" s="180" t="s">
        <v>293</v>
      </c>
      <c r="H8" s="178" t="s">
        <v>294</v>
      </c>
      <c r="I8" s="178" t="s">
        <v>295</v>
      </c>
      <c r="J8" s="178" t="s">
        <v>296</v>
      </c>
      <c r="K8" s="181" t="s">
        <v>147</v>
      </c>
      <c r="L8" s="181" t="s">
        <v>125</v>
      </c>
      <c r="M8" s="181" t="s">
        <v>126</v>
      </c>
      <c r="N8" s="182" t="s">
        <v>839</v>
      </c>
      <c r="O8" s="183"/>
      <c r="P8" s="190">
        <v>30.0</v>
      </c>
      <c r="Q8" s="185" t="s">
        <v>840</v>
      </c>
      <c r="R8" s="186" t="s">
        <v>170</v>
      </c>
      <c r="S8" s="190">
        <v>5.0</v>
      </c>
      <c r="T8" s="190">
        <v>10.0</v>
      </c>
      <c r="U8" s="190">
        <v>10.0</v>
      </c>
      <c r="V8" s="190">
        <v>5.0</v>
      </c>
      <c r="W8" s="187" t="s">
        <v>817</v>
      </c>
      <c r="X8" s="180" t="s">
        <v>818</v>
      </c>
      <c r="Y8" s="178" t="s">
        <v>819</v>
      </c>
      <c r="Z8" s="180" t="s">
        <v>820</v>
      </c>
      <c r="AA8" s="178" t="s">
        <v>159</v>
      </c>
      <c r="AB8" s="178" t="s">
        <v>180</v>
      </c>
      <c r="AC8" s="178" t="s">
        <v>384</v>
      </c>
      <c r="AD8" s="178" t="s">
        <v>161</v>
      </c>
      <c r="AE8" s="178" t="s">
        <v>304</v>
      </c>
      <c r="AF8" s="188" t="s">
        <v>183</v>
      </c>
      <c r="AG8" s="191">
        <v>9.0</v>
      </c>
      <c r="AH8" s="229" t="s">
        <v>841</v>
      </c>
      <c r="AI8" s="267" t="s">
        <v>842</v>
      </c>
      <c r="AJ8" s="191">
        <v>55.0</v>
      </c>
      <c r="AK8" s="266" t="s">
        <v>843</v>
      </c>
      <c r="AL8" s="134">
        <f t="shared" si="1"/>
        <v>44582</v>
      </c>
      <c r="AM8" s="135">
        <f t="shared" si="2"/>
        <v>-132</v>
      </c>
      <c r="AN8" s="136" t="str">
        <f t="shared" si="3"/>
        <v>Reporte ok</v>
      </c>
      <c r="AO8" s="137"/>
      <c r="AP8" s="138"/>
    </row>
    <row r="9" ht="67.5" customHeight="1">
      <c r="A9" s="118"/>
      <c r="B9" s="177">
        <v>138.0</v>
      </c>
      <c r="C9" s="178" t="s">
        <v>290</v>
      </c>
      <c r="D9" s="178" t="s">
        <v>815</v>
      </c>
      <c r="E9" s="178" t="s">
        <v>292</v>
      </c>
      <c r="F9" s="179">
        <v>2.01901100028E12</v>
      </c>
      <c r="G9" s="180" t="s">
        <v>293</v>
      </c>
      <c r="H9" s="178" t="s">
        <v>294</v>
      </c>
      <c r="I9" s="178" t="s">
        <v>295</v>
      </c>
      <c r="J9" s="178" t="s">
        <v>350</v>
      </c>
      <c r="K9" s="181" t="s">
        <v>327</v>
      </c>
      <c r="L9" s="181" t="s">
        <v>328</v>
      </c>
      <c r="M9" s="181" t="s">
        <v>126</v>
      </c>
      <c r="N9" s="182" t="s">
        <v>844</v>
      </c>
      <c r="O9" s="183">
        <v>15.0</v>
      </c>
      <c r="P9" s="190">
        <v>3000.0</v>
      </c>
      <c r="Q9" s="185" t="s">
        <v>845</v>
      </c>
      <c r="R9" s="186" t="s">
        <v>170</v>
      </c>
      <c r="S9" s="190">
        <v>350.0</v>
      </c>
      <c r="T9" s="190">
        <v>1000.0</v>
      </c>
      <c r="U9" s="190">
        <v>1000.0</v>
      </c>
      <c r="V9" s="190">
        <v>650.0</v>
      </c>
      <c r="W9" s="187" t="s">
        <v>291</v>
      </c>
      <c r="X9" s="180" t="s">
        <v>835</v>
      </c>
      <c r="Y9" s="178" t="s">
        <v>836</v>
      </c>
      <c r="Z9" s="180" t="s">
        <v>301</v>
      </c>
      <c r="AA9" s="178" t="s">
        <v>159</v>
      </c>
      <c r="AB9" s="178" t="s">
        <v>180</v>
      </c>
      <c r="AC9" s="178" t="s">
        <v>135</v>
      </c>
      <c r="AD9" s="178" t="s">
        <v>161</v>
      </c>
      <c r="AE9" s="178" t="s">
        <v>304</v>
      </c>
      <c r="AF9" s="188" t="s">
        <v>183</v>
      </c>
      <c r="AG9" s="191">
        <v>644.0</v>
      </c>
      <c r="AH9" s="229" t="s">
        <v>846</v>
      </c>
      <c r="AI9" s="267" t="s">
        <v>847</v>
      </c>
      <c r="AJ9" s="191">
        <v>3179.0</v>
      </c>
      <c r="AK9" s="266" t="s">
        <v>848</v>
      </c>
      <c r="AL9" s="134">
        <f t="shared" si="1"/>
        <v>44582</v>
      </c>
      <c r="AM9" s="135">
        <f t="shared" si="2"/>
        <v>-132</v>
      </c>
      <c r="AN9" s="136" t="str">
        <f t="shared" si="3"/>
        <v>Reporte ok</v>
      </c>
      <c r="AO9" s="137"/>
      <c r="AP9" s="138"/>
    </row>
    <row r="10" ht="67.5" customHeight="1">
      <c r="A10" s="118"/>
      <c r="B10" s="177"/>
      <c r="C10" s="178"/>
      <c r="D10" s="178"/>
      <c r="E10" s="178"/>
      <c r="F10" s="179"/>
      <c r="G10" s="180"/>
      <c r="H10" s="178"/>
      <c r="I10" s="178"/>
      <c r="J10" s="178"/>
      <c r="K10" s="181"/>
      <c r="L10" s="181"/>
      <c r="M10" s="181"/>
      <c r="N10" s="182"/>
      <c r="O10" s="183"/>
      <c r="P10" s="190"/>
      <c r="Q10" s="185"/>
      <c r="R10" s="186"/>
      <c r="S10" s="190"/>
      <c r="T10" s="190"/>
      <c r="U10" s="190"/>
      <c r="V10" s="190"/>
      <c r="W10" s="187"/>
      <c r="X10" s="180"/>
      <c r="Y10" s="178"/>
      <c r="Z10" s="180"/>
      <c r="AA10" s="178"/>
      <c r="AB10" s="178"/>
      <c r="AC10" s="178"/>
      <c r="AD10" s="178"/>
      <c r="AE10" s="178"/>
      <c r="AF10" s="188"/>
      <c r="AG10" s="191"/>
      <c r="AH10" s="229"/>
      <c r="AI10" s="132"/>
      <c r="AJ10" s="191"/>
      <c r="AK10" s="266"/>
      <c r="AL10" s="134"/>
      <c r="AM10" s="135"/>
      <c r="AN10" s="136"/>
      <c r="AO10" s="137"/>
      <c r="AP10" s="138"/>
    </row>
    <row r="11" ht="67.5" customHeight="1">
      <c r="A11" s="118"/>
      <c r="B11" s="177"/>
      <c r="C11" s="178"/>
      <c r="D11" s="178"/>
      <c r="E11" s="178"/>
      <c r="F11" s="179"/>
      <c r="G11" s="180"/>
      <c r="H11" s="178"/>
      <c r="I11" s="178"/>
      <c r="J11" s="178"/>
      <c r="K11" s="181"/>
      <c r="L11" s="181"/>
      <c r="M11" s="181"/>
      <c r="N11" s="182"/>
      <c r="O11" s="183"/>
      <c r="P11" s="190"/>
      <c r="Q11" s="185"/>
      <c r="R11" s="186"/>
      <c r="S11" s="190"/>
      <c r="T11" s="190"/>
      <c r="U11" s="190"/>
      <c r="V11" s="190"/>
      <c r="W11" s="187"/>
      <c r="X11" s="180"/>
      <c r="Y11" s="178"/>
      <c r="Z11" s="180"/>
      <c r="AA11" s="178"/>
      <c r="AB11" s="178"/>
      <c r="AC11" s="178"/>
      <c r="AD11" s="178"/>
      <c r="AE11" s="178"/>
      <c r="AF11" s="188"/>
      <c r="AG11" s="191"/>
      <c r="AH11" s="229"/>
      <c r="AI11" s="132"/>
      <c r="AJ11" s="191"/>
      <c r="AK11" s="266"/>
      <c r="AL11" s="134"/>
      <c r="AM11" s="135"/>
      <c r="AN11" s="136"/>
      <c r="AO11" s="137"/>
      <c r="AP11" s="138"/>
    </row>
    <row r="12" ht="67.5" customHeight="1">
      <c r="A12" s="118"/>
      <c r="B12" s="177"/>
      <c r="C12" s="178"/>
      <c r="D12" s="178"/>
      <c r="E12" s="178"/>
      <c r="F12" s="179"/>
      <c r="G12" s="180"/>
      <c r="H12" s="178"/>
      <c r="I12" s="178"/>
      <c r="J12" s="178"/>
      <c r="K12" s="181"/>
      <c r="L12" s="181"/>
      <c r="M12" s="181"/>
      <c r="N12" s="182"/>
      <c r="O12" s="183"/>
      <c r="P12" s="190"/>
      <c r="Q12" s="185"/>
      <c r="R12" s="186"/>
      <c r="S12" s="190"/>
      <c r="T12" s="190"/>
      <c r="U12" s="190"/>
      <c r="V12" s="190"/>
      <c r="W12" s="187"/>
      <c r="X12" s="180"/>
      <c r="Y12" s="178"/>
      <c r="Z12" s="180"/>
      <c r="AA12" s="178"/>
      <c r="AB12" s="178"/>
      <c r="AC12" s="178"/>
      <c r="AD12" s="178"/>
      <c r="AE12" s="178"/>
      <c r="AF12" s="188"/>
      <c r="AG12" s="191"/>
      <c r="AH12" s="229"/>
      <c r="AI12" s="132"/>
      <c r="AJ12" s="191"/>
      <c r="AK12" s="266"/>
      <c r="AL12" s="134"/>
      <c r="AM12" s="135"/>
      <c r="AN12" s="136"/>
      <c r="AO12" s="137"/>
      <c r="AP12" s="138"/>
    </row>
    <row r="13" ht="67.5" customHeight="1">
      <c r="A13" s="118"/>
      <c r="B13" s="177"/>
      <c r="C13" s="178"/>
      <c r="D13" s="178"/>
      <c r="E13" s="178"/>
      <c r="F13" s="179"/>
      <c r="G13" s="180"/>
      <c r="H13" s="178"/>
      <c r="I13" s="178"/>
      <c r="J13" s="178"/>
      <c r="K13" s="181"/>
      <c r="L13" s="181"/>
      <c r="M13" s="181"/>
      <c r="N13" s="182"/>
      <c r="O13" s="183"/>
      <c r="P13" s="190"/>
      <c r="Q13" s="185"/>
      <c r="R13" s="186"/>
      <c r="S13" s="190"/>
      <c r="T13" s="190"/>
      <c r="U13" s="190"/>
      <c r="V13" s="190"/>
      <c r="W13" s="187"/>
      <c r="X13" s="180"/>
      <c r="Y13" s="178"/>
      <c r="Z13" s="180"/>
      <c r="AA13" s="178"/>
      <c r="AB13" s="178"/>
      <c r="AC13" s="178"/>
      <c r="AD13" s="178"/>
      <c r="AE13" s="178"/>
      <c r="AF13" s="188"/>
      <c r="AG13" s="191"/>
      <c r="AH13" s="229"/>
      <c r="AI13" s="132"/>
      <c r="AJ13" s="191"/>
      <c r="AK13" s="266"/>
      <c r="AL13" s="134"/>
      <c r="AM13" s="135"/>
      <c r="AN13" s="136"/>
      <c r="AO13" s="137"/>
      <c r="AP13" s="138"/>
    </row>
    <row r="14" ht="67.5" customHeight="1">
      <c r="A14" s="118"/>
      <c r="B14" s="177"/>
      <c r="C14" s="178"/>
      <c r="D14" s="178"/>
      <c r="E14" s="178"/>
      <c r="F14" s="179"/>
      <c r="G14" s="180"/>
      <c r="H14" s="178"/>
      <c r="I14" s="178"/>
      <c r="J14" s="178"/>
      <c r="K14" s="181"/>
      <c r="L14" s="181"/>
      <c r="M14" s="181"/>
      <c r="N14" s="182"/>
      <c r="O14" s="183"/>
      <c r="P14" s="190"/>
      <c r="Q14" s="185"/>
      <c r="R14" s="186"/>
      <c r="S14" s="190"/>
      <c r="T14" s="190"/>
      <c r="U14" s="190"/>
      <c r="V14" s="190"/>
      <c r="W14" s="187"/>
      <c r="X14" s="180"/>
      <c r="Y14" s="178"/>
      <c r="Z14" s="180"/>
      <c r="AA14" s="178"/>
      <c r="AB14" s="178"/>
      <c r="AC14" s="178"/>
      <c r="AD14" s="178"/>
      <c r="AE14" s="178"/>
      <c r="AF14" s="188"/>
      <c r="AG14" s="191"/>
      <c r="AH14" s="229"/>
      <c r="AI14" s="132"/>
      <c r="AJ14" s="191"/>
      <c r="AK14" s="266"/>
      <c r="AL14" s="134"/>
      <c r="AM14" s="135"/>
      <c r="AN14" s="136"/>
      <c r="AO14" s="137"/>
      <c r="AP14" s="138"/>
    </row>
    <row r="15" ht="67.5" customHeight="1">
      <c r="A15" s="118"/>
      <c r="B15" s="177"/>
      <c r="C15" s="178"/>
      <c r="D15" s="178"/>
      <c r="E15" s="178"/>
      <c r="F15" s="179"/>
      <c r="G15" s="180"/>
      <c r="H15" s="178"/>
      <c r="I15" s="178"/>
      <c r="J15" s="178"/>
      <c r="K15" s="181"/>
      <c r="L15" s="181"/>
      <c r="M15" s="181"/>
      <c r="N15" s="182"/>
      <c r="O15" s="183"/>
      <c r="P15" s="190"/>
      <c r="Q15" s="185"/>
      <c r="R15" s="186"/>
      <c r="S15" s="190"/>
      <c r="T15" s="190"/>
      <c r="U15" s="190"/>
      <c r="V15" s="190"/>
      <c r="W15" s="187"/>
      <c r="X15" s="180"/>
      <c r="Y15" s="178"/>
      <c r="Z15" s="180"/>
      <c r="AA15" s="178"/>
      <c r="AB15" s="178"/>
      <c r="AC15" s="178"/>
      <c r="AD15" s="178"/>
      <c r="AE15" s="178"/>
      <c r="AF15" s="188"/>
      <c r="AG15" s="191"/>
      <c r="AH15" s="229"/>
      <c r="AI15" s="132"/>
      <c r="AJ15" s="191"/>
      <c r="AK15" s="266"/>
      <c r="AL15" s="134"/>
      <c r="AM15" s="135"/>
      <c r="AN15" s="136"/>
      <c r="AO15" s="137"/>
      <c r="AP15" s="138"/>
    </row>
    <row r="16" ht="67.5" customHeight="1">
      <c r="A16" s="118"/>
      <c r="B16" s="177"/>
      <c r="C16" s="178"/>
      <c r="D16" s="178"/>
      <c r="E16" s="178"/>
      <c r="F16" s="179"/>
      <c r="G16" s="180"/>
      <c r="H16" s="178"/>
      <c r="I16" s="178"/>
      <c r="J16" s="178"/>
      <c r="K16" s="181"/>
      <c r="L16" s="181"/>
      <c r="M16" s="181"/>
      <c r="N16" s="182"/>
      <c r="O16" s="183"/>
      <c r="P16" s="190"/>
      <c r="Q16" s="185"/>
      <c r="R16" s="186"/>
      <c r="S16" s="190"/>
      <c r="T16" s="190"/>
      <c r="U16" s="190"/>
      <c r="V16" s="190"/>
      <c r="W16" s="187"/>
      <c r="X16" s="180"/>
      <c r="Y16" s="178"/>
      <c r="Z16" s="180"/>
      <c r="AA16" s="178"/>
      <c r="AB16" s="178"/>
      <c r="AC16" s="178"/>
      <c r="AD16" s="178"/>
      <c r="AE16" s="178"/>
      <c r="AF16" s="188"/>
      <c r="AG16" s="191"/>
      <c r="AH16" s="229"/>
      <c r="AI16" s="132"/>
      <c r="AJ16" s="191"/>
      <c r="AK16" s="266"/>
      <c r="AL16" s="134"/>
      <c r="AM16" s="135"/>
      <c r="AN16" s="136"/>
      <c r="AO16" s="137"/>
      <c r="AP16" s="138"/>
    </row>
    <row r="17" ht="67.5" customHeight="1">
      <c r="A17" s="118"/>
      <c r="B17" s="192"/>
      <c r="C17" s="193"/>
      <c r="D17" s="193"/>
      <c r="E17" s="193"/>
      <c r="F17" s="194"/>
      <c r="G17" s="195"/>
      <c r="H17" s="193"/>
      <c r="I17" s="193"/>
      <c r="J17" s="193"/>
      <c r="K17" s="196"/>
      <c r="L17" s="196"/>
      <c r="M17" s="196"/>
      <c r="N17" s="197"/>
      <c r="O17" s="198"/>
      <c r="P17" s="199"/>
      <c r="Q17" s="200"/>
      <c r="R17" s="201"/>
      <c r="S17" s="199"/>
      <c r="T17" s="199"/>
      <c r="U17" s="199"/>
      <c r="V17" s="199"/>
      <c r="W17" s="202"/>
      <c r="X17" s="195"/>
      <c r="Y17" s="193"/>
      <c r="Z17" s="195"/>
      <c r="AA17" s="193"/>
      <c r="AB17" s="193"/>
      <c r="AC17" s="193"/>
      <c r="AD17" s="193"/>
      <c r="AE17" s="193"/>
      <c r="AF17" s="203"/>
      <c r="AG17" s="161"/>
      <c r="AH17" s="162"/>
      <c r="AI17" s="163"/>
      <c r="AJ17" s="164"/>
      <c r="AK17" s="165"/>
      <c r="AL17" s="166"/>
      <c r="AM17" s="167"/>
      <c r="AN17" s="168"/>
      <c r="AO17" s="169"/>
      <c r="AP17" s="138"/>
    </row>
    <row r="18" ht="15.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row>
  </sheetData>
  <autoFilter ref="$A$3:$AP$16"/>
  <mergeCells count="4">
    <mergeCell ref="B1:C1"/>
    <mergeCell ref="AG2:AI2"/>
    <mergeCell ref="AJ2:AK2"/>
    <mergeCell ref="AL2:AO2"/>
  </mergeCells>
  <conditionalFormatting sqref="AM4:AM17 AK17:AK18">
    <cfRule type="cellIs" dxfId="2" priority="1" operator="greaterThan">
      <formula>0</formula>
    </cfRule>
  </conditionalFormatting>
  <conditionalFormatting sqref="AM4:AM17 AK17:AK18">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AJ4:AJ17">
      <formula1>0.0</formula1>
      <formula2>5000000.0</formula2>
    </dataValidation>
  </dataValidations>
  <hyperlinks>
    <hyperlink display="Home" location="Home!A1" ref="B1"/>
    <hyperlink r:id="rId1" ref="AI4"/>
    <hyperlink r:id="rId2" ref="AI5"/>
    <hyperlink r:id="rId3" ref="AI6"/>
    <hyperlink r:id="rId4" ref="AI7"/>
    <hyperlink r:id="rId5" ref="AI8"/>
    <hyperlink r:id="rId6" ref="AI9"/>
  </hyperlinks>
  <printOptions gridLines="1" horizontalCentered="1"/>
  <pageMargins bottom="0.75" footer="0.0" header="0.0" left="0.7" right="0.7" top="0.75"/>
  <pageSetup cellComments="atEnd" orientation="portrait" pageOrder="overThenDown"/>
  <drawing r:id="rId7"/>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21" width="15.75"/>
    <col customWidth="1" min="22" max="22" width="15.75"/>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4" width="21.0"/>
    <col customWidth="1" min="35" max="35" width="22.88"/>
    <col customWidth="1" min="36" max="36" width="21.75"/>
    <col customWidth="1" min="37" max="37" width="37.75"/>
    <col customWidth="1" min="38" max="38" width="15.75"/>
    <col customWidth="1" min="39" max="39" width="15.63"/>
    <col customWidth="1" min="40" max="40" width="16.38"/>
    <col customWidth="1" min="41" max="41" width="18.25"/>
    <col customWidth="1" min="42" max="42" width="3.88"/>
  </cols>
  <sheetData>
    <row r="1" ht="33.75" customHeight="1">
      <c r="A1" s="85"/>
      <c r="B1" s="86" t="s">
        <v>108</v>
      </c>
      <c r="C1" s="87"/>
      <c r="D1" s="88"/>
      <c r="E1" s="89"/>
      <c r="F1" s="90"/>
      <c r="G1" s="90"/>
      <c r="H1" s="90"/>
      <c r="I1" s="90"/>
      <c r="J1" s="90"/>
      <c r="K1" s="90"/>
      <c r="L1" s="90"/>
      <c r="M1" s="90"/>
      <c r="N1" s="90"/>
      <c r="O1" s="90"/>
      <c r="P1" s="90"/>
      <c r="Q1" s="90"/>
      <c r="R1" s="90"/>
      <c r="S1" s="90"/>
      <c r="T1" s="90"/>
      <c r="U1" s="90"/>
      <c r="V1" s="90"/>
      <c r="W1" s="90"/>
      <c r="X1" s="90"/>
      <c r="Y1" s="90"/>
      <c r="Z1" s="90"/>
      <c r="AA1" s="90"/>
      <c r="AB1" s="90"/>
      <c r="AC1" s="90"/>
      <c r="AD1" s="90"/>
      <c r="AE1" s="90"/>
      <c r="AF1" s="88"/>
      <c r="AG1" s="91" t="s">
        <v>109</v>
      </c>
      <c r="AH1" s="92">
        <v>1.0</v>
      </c>
      <c r="AI1" s="93" t="s">
        <v>110</v>
      </c>
      <c r="AJ1" s="94"/>
      <c r="AK1" s="95"/>
      <c r="AL1" s="96">
        <v>43466.0</v>
      </c>
      <c r="AM1" s="97">
        <f>Alertas!B6</f>
        <v>44582</v>
      </c>
      <c r="AN1" s="96">
        <f>TODAY()-1</f>
        <v>44714</v>
      </c>
      <c r="AO1" s="93"/>
      <c r="AP1" s="93"/>
    </row>
    <row r="2" ht="33.75" customHeight="1">
      <c r="A2" s="85"/>
      <c r="B2" s="88"/>
      <c r="C2" s="98"/>
      <c r="D2" s="99"/>
      <c r="E2" s="88"/>
      <c r="F2" s="100"/>
      <c r="G2" s="88"/>
      <c r="H2" s="88"/>
      <c r="I2" s="88"/>
      <c r="J2" s="88"/>
      <c r="K2" s="88"/>
      <c r="L2" s="88"/>
      <c r="M2" s="88"/>
      <c r="N2" s="88"/>
      <c r="O2" s="88"/>
      <c r="P2" s="88"/>
      <c r="Q2" s="88"/>
      <c r="R2" s="88"/>
      <c r="S2" s="88"/>
      <c r="T2" s="88"/>
      <c r="U2" s="88"/>
      <c r="V2" s="88"/>
      <c r="W2" s="88"/>
      <c r="X2" s="88"/>
      <c r="Y2" s="88"/>
      <c r="Z2" s="88"/>
      <c r="AA2" s="88"/>
      <c r="AB2" s="88"/>
      <c r="AC2" s="88"/>
      <c r="AD2" s="88"/>
      <c r="AE2" s="88"/>
      <c r="AF2" s="17"/>
      <c r="AG2" s="101" t="s">
        <v>111</v>
      </c>
      <c r="AH2" s="102"/>
      <c r="AI2" s="103"/>
      <c r="AJ2" s="104" t="s">
        <v>112</v>
      </c>
      <c r="AK2" s="103"/>
      <c r="AL2" s="104" t="s">
        <v>113</v>
      </c>
      <c r="AM2" s="102"/>
      <c r="AN2" s="102"/>
      <c r="AO2" s="103"/>
      <c r="AP2" s="105"/>
    </row>
    <row r="3" ht="33.75" customHeight="1">
      <c r="A3" s="106"/>
      <c r="B3" s="171" t="s">
        <v>40</v>
      </c>
      <c r="C3" s="172" t="s">
        <v>41</v>
      </c>
      <c r="D3" s="173" t="s">
        <v>42</v>
      </c>
      <c r="E3" s="173" t="s">
        <v>43</v>
      </c>
      <c r="F3" s="174" t="s">
        <v>44</v>
      </c>
      <c r="G3" s="175" t="s">
        <v>45</v>
      </c>
      <c r="H3" s="173" t="s">
        <v>46</v>
      </c>
      <c r="I3" s="175" t="s">
        <v>47</v>
      </c>
      <c r="J3" s="175" t="s">
        <v>48</v>
      </c>
      <c r="K3" s="175" t="s">
        <v>49</v>
      </c>
      <c r="L3" s="175" t="s">
        <v>50</v>
      </c>
      <c r="M3" s="173" t="s">
        <v>51</v>
      </c>
      <c r="N3" s="173" t="s">
        <v>52</v>
      </c>
      <c r="O3" s="175" t="s">
        <v>53</v>
      </c>
      <c r="P3" s="175" t="s">
        <v>54</v>
      </c>
      <c r="Q3" s="173" t="s">
        <v>55</v>
      </c>
      <c r="R3" s="173" t="s">
        <v>56</v>
      </c>
      <c r="S3" s="175" t="s">
        <v>57</v>
      </c>
      <c r="T3" s="175" t="s">
        <v>58</v>
      </c>
      <c r="U3" s="175" t="s">
        <v>59</v>
      </c>
      <c r="V3" s="175" t="s">
        <v>60</v>
      </c>
      <c r="W3" s="173" t="s">
        <v>61</v>
      </c>
      <c r="X3" s="172" t="s">
        <v>62</v>
      </c>
      <c r="Y3" s="172" t="s">
        <v>63</v>
      </c>
      <c r="Z3" s="172" t="s">
        <v>64</v>
      </c>
      <c r="AA3" s="172" t="s">
        <v>65</v>
      </c>
      <c r="AB3" s="172" t="s">
        <v>66</v>
      </c>
      <c r="AC3" s="172" t="s">
        <v>67</v>
      </c>
      <c r="AD3" s="172" t="s">
        <v>68</v>
      </c>
      <c r="AE3" s="172" t="s">
        <v>69</v>
      </c>
      <c r="AF3" s="176" t="s">
        <v>70</v>
      </c>
      <c r="AG3" s="113" t="s">
        <v>71</v>
      </c>
      <c r="AH3" s="114" t="s">
        <v>72</v>
      </c>
      <c r="AI3" s="115" t="s">
        <v>73</v>
      </c>
      <c r="AJ3" s="116" t="s">
        <v>114</v>
      </c>
      <c r="AK3" s="117" t="s">
        <v>115</v>
      </c>
      <c r="AL3" s="113" t="s">
        <v>74</v>
      </c>
      <c r="AM3" s="114" t="s">
        <v>116</v>
      </c>
      <c r="AN3" s="114" t="s">
        <v>76</v>
      </c>
      <c r="AO3" s="117" t="s">
        <v>117</v>
      </c>
      <c r="AP3" s="105"/>
    </row>
    <row r="4" ht="67.5" customHeight="1">
      <c r="A4" s="118"/>
      <c r="B4" s="177">
        <v>139.0</v>
      </c>
      <c r="C4" s="178" t="s">
        <v>372</v>
      </c>
      <c r="D4" s="178" t="s">
        <v>849</v>
      </c>
      <c r="E4" s="178" t="s">
        <v>374</v>
      </c>
      <c r="F4" s="179">
        <v>2.019011000276E12</v>
      </c>
      <c r="G4" s="180" t="s">
        <v>375</v>
      </c>
      <c r="H4" s="178" t="s">
        <v>376</v>
      </c>
      <c r="I4" s="178" t="s">
        <v>377</v>
      </c>
      <c r="J4" s="178" t="s">
        <v>378</v>
      </c>
      <c r="K4" s="181" t="s">
        <v>327</v>
      </c>
      <c r="L4" s="181" t="s">
        <v>328</v>
      </c>
      <c r="M4" s="181" t="s">
        <v>126</v>
      </c>
      <c r="N4" s="182" t="s">
        <v>850</v>
      </c>
      <c r="O4" s="183">
        <v>3582.0</v>
      </c>
      <c r="P4" s="190">
        <v>30.0</v>
      </c>
      <c r="Q4" s="185" t="s">
        <v>851</v>
      </c>
      <c r="R4" s="186" t="s">
        <v>170</v>
      </c>
      <c r="S4" s="190">
        <v>6.0</v>
      </c>
      <c r="T4" s="190">
        <v>2.0</v>
      </c>
      <c r="U4" s="190">
        <v>11.0</v>
      </c>
      <c r="V4" s="190">
        <v>11.0</v>
      </c>
      <c r="W4" s="187" t="s">
        <v>852</v>
      </c>
      <c r="X4" s="180" t="s">
        <v>853</v>
      </c>
      <c r="Y4" s="178" t="s">
        <v>854</v>
      </c>
      <c r="Z4" s="180" t="s">
        <v>855</v>
      </c>
      <c r="AA4" s="178" t="s">
        <v>302</v>
      </c>
      <c r="AB4" s="178" t="s">
        <v>180</v>
      </c>
      <c r="AC4" s="178" t="s">
        <v>384</v>
      </c>
      <c r="AD4" s="178" t="s">
        <v>161</v>
      </c>
      <c r="AE4" s="178" t="s">
        <v>304</v>
      </c>
      <c r="AF4" s="188" t="s">
        <v>183</v>
      </c>
      <c r="AG4" s="191">
        <v>11.0</v>
      </c>
      <c r="AH4" s="268" t="s">
        <v>856</v>
      </c>
      <c r="AI4" s="204" t="s">
        <v>857</v>
      </c>
      <c r="AJ4" s="191">
        <f>11+6+3+10</f>
        <v>30</v>
      </c>
      <c r="AK4" s="268" t="s">
        <v>858</v>
      </c>
      <c r="AL4" s="134">
        <f t="shared" ref="AL4:AL6" si="1">$AM$1</f>
        <v>44582</v>
      </c>
      <c r="AM4" s="135">
        <f t="shared" ref="AM4:AM6" si="2">AL4-$AN$1</f>
        <v>-132</v>
      </c>
      <c r="AN4" s="136" t="str">
        <f t="shared" ref="AN4:AN6" si="3">IF(ISBLANK(AG4),"Pend. Ejec. Trim."&amp;CHAR(10),)&amp;
IF(ISBLANK(AH4),"Pend. Just. Trim."&amp;CHAR(10),)&amp;
IF(ISBLANK(AI4),"Pend. Evid. Trim."&amp;CHAR(10),)&amp;
IF(ISBLANK(AJ4),"Pend. Ejec. Año"&amp;CHAR(10),)&amp;
IF(ISBLANK(AK4),"Pend. Evid. Año",)&amp;
IF(OR(ISBLANK(AG4),ISBLANK(AH4),ISBLANK(AI4),ISBLANK(AJ4),ISBLANK(AK4)),,"Reporte ok")</f>
        <v>Reporte ok</v>
      </c>
      <c r="AO4" s="137"/>
      <c r="AP4" s="138"/>
    </row>
    <row r="5" ht="67.5" customHeight="1">
      <c r="A5" s="118"/>
      <c r="B5" s="177">
        <v>140.0</v>
      </c>
      <c r="C5" s="178" t="s">
        <v>290</v>
      </c>
      <c r="D5" s="178" t="s">
        <v>849</v>
      </c>
      <c r="E5" s="178" t="s">
        <v>292</v>
      </c>
      <c r="F5" s="179">
        <v>2.01901100028E12</v>
      </c>
      <c r="G5" s="180" t="s">
        <v>293</v>
      </c>
      <c r="H5" s="178" t="s">
        <v>294</v>
      </c>
      <c r="I5" s="178" t="s">
        <v>295</v>
      </c>
      <c r="J5" s="178" t="s">
        <v>296</v>
      </c>
      <c r="K5" s="181" t="s">
        <v>124</v>
      </c>
      <c r="L5" s="181" t="s">
        <v>125</v>
      </c>
      <c r="M5" s="181" t="s">
        <v>126</v>
      </c>
      <c r="N5" s="182" t="s">
        <v>636</v>
      </c>
      <c r="O5" s="183">
        <v>-7140.0</v>
      </c>
      <c r="P5" s="190">
        <v>300.0</v>
      </c>
      <c r="Q5" s="185" t="s">
        <v>859</v>
      </c>
      <c r="R5" s="186" t="s">
        <v>170</v>
      </c>
      <c r="S5" s="190">
        <v>50.0</v>
      </c>
      <c r="T5" s="190">
        <v>60.0</v>
      </c>
      <c r="U5" s="190">
        <v>90.0</v>
      </c>
      <c r="V5" s="190">
        <v>100.0</v>
      </c>
      <c r="W5" s="187" t="s">
        <v>852</v>
      </c>
      <c r="X5" s="180" t="s">
        <v>853</v>
      </c>
      <c r="Y5" s="178" t="s">
        <v>854</v>
      </c>
      <c r="Z5" s="180" t="s">
        <v>855</v>
      </c>
      <c r="AA5" s="178" t="s">
        <v>302</v>
      </c>
      <c r="AB5" s="178" t="s">
        <v>180</v>
      </c>
      <c r="AC5" s="178" t="s">
        <v>384</v>
      </c>
      <c r="AD5" s="178" t="s">
        <v>161</v>
      </c>
      <c r="AE5" s="178" t="s">
        <v>304</v>
      </c>
      <c r="AF5" s="188" t="s">
        <v>183</v>
      </c>
      <c r="AG5" s="191">
        <v>101.0</v>
      </c>
      <c r="AH5" s="268" t="s">
        <v>860</v>
      </c>
      <c r="AI5" s="227" t="s">
        <v>861</v>
      </c>
      <c r="AJ5" s="191">
        <f>67+79+77+101</f>
        <v>324</v>
      </c>
      <c r="AK5" s="268" t="s">
        <v>862</v>
      </c>
      <c r="AL5" s="134">
        <f t="shared" si="1"/>
        <v>44582</v>
      </c>
      <c r="AM5" s="135">
        <f t="shared" si="2"/>
        <v>-132</v>
      </c>
      <c r="AN5" s="136" t="str">
        <f t="shared" si="3"/>
        <v>Reporte ok</v>
      </c>
      <c r="AO5" s="137"/>
      <c r="AP5" s="138"/>
    </row>
    <row r="6" ht="67.5" customHeight="1">
      <c r="A6" s="118"/>
      <c r="B6" s="177">
        <v>141.0</v>
      </c>
      <c r="C6" s="178" t="s">
        <v>290</v>
      </c>
      <c r="D6" s="178" t="s">
        <v>849</v>
      </c>
      <c r="E6" s="178" t="s">
        <v>292</v>
      </c>
      <c r="F6" s="179">
        <v>2.01901100028E12</v>
      </c>
      <c r="G6" s="180" t="s">
        <v>293</v>
      </c>
      <c r="H6" s="178" t="s">
        <v>314</v>
      </c>
      <c r="I6" s="178" t="s">
        <v>315</v>
      </c>
      <c r="J6" s="178" t="s">
        <v>316</v>
      </c>
      <c r="K6" s="181" t="s">
        <v>147</v>
      </c>
      <c r="L6" s="181" t="s">
        <v>125</v>
      </c>
      <c r="M6" s="181" t="s">
        <v>126</v>
      </c>
      <c r="N6" s="182" t="s">
        <v>863</v>
      </c>
      <c r="O6" s="183"/>
      <c r="P6" s="190">
        <v>20.0</v>
      </c>
      <c r="Q6" s="185" t="s">
        <v>864</v>
      </c>
      <c r="R6" s="186" t="s">
        <v>170</v>
      </c>
      <c r="S6" s="190">
        <v>3.0</v>
      </c>
      <c r="T6" s="190">
        <v>2.0</v>
      </c>
      <c r="U6" s="190">
        <v>7.0</v>
      </c>
      <c r="V6" s="190">
        <v>8.0</v>
      </c>
      <c r="W6" s="187" t="s">
        <v>852</v>
      </c>
      <c r="X6" s="180" t="s">
        <v>853</v>
      </c>
      <c r="Y6" s="178" t="s">
        <v>854</v>
      </c>
      <c r="Z6" s="180" t="s">
        <v>855</v>
      </c>
      <c r="AA6" s="178" t="s">
        <v>302</v>
      </c>
      <c r="AB6" s="178" t="s">
        <v>180</v>
      </c>
      <c r="AC6" s="178" t="s">
        <v>384</v>
      </c>
      <c r="AD6" s="178" t="s">
        <v>161</v>
      </c>
      <c r="AE6" s="178" t="s">
        <v>304</v>
      </c>
      <c r="AF6" s="188" t="s">
        <v>183</v>
      </c>
      <c r="AG6" s="191">
        <v>9.0</v>
      </c>
      <c r="AH6" s="268" t="s">
        <v>865</v>
      </c>
      <c r="AI6" s="227" t="s">
        <v>866</v>
      </c>
      <c r="AJ6" s="191">
        <f>9+8+2+3</f>
        <v>22</v>
      </c>
      <c r="AK6" s="268" t="s">
        <v>867</v>
      </c>
      <c r="AL6" s="134">
        <f t="shared" si="1"/>
        <v>44582</v>
      </c>
      <c r="AM6" s="135">
        <f t="shared" si="2"/>
        <v>-132</v>
      </c>
      <c r="AN6" s="136" t="str">
        <f t="shared" si="3"/>
        <v>Reporte ok</v>
      </c>
      <c r="AO6" s="137"/>
      <c r="AP6" s="138"/>
    </row>
    <row r="7" ht="67.5" customHeight="1">
      <c r="A7" s="118"/>
      <c r="B7" s="177">
        <v>142.0</v>
      </c>
      <c r="C7" s="178" t="s">
        <v>290</v>
      </c>
      <c r="D7" s="178" t="s">
        <v>849</v>
      </c>
      <c r="E7" s="178" t="s">
        <v>292</v>
      </c>
      <c r="F7" s="179">
        <v>2.01901100028E12</v>
      </c>
      <c r="G7" s="180" t="s">
        <v>293</v>
      </c>
      <c r="H7" s="178" t="s">
        <v>294</v>
      </c>
      <c r="I7" s="178" t="s">
        <v>295</v>
      </c>
      <c r="J7" s="178" t="s">
        <v>350</v>
      </c>
      <c r="K7" s="181" t="s">
        <v>147</v>
      </c>
      <c r="L7" s="181" t="s">
        <v>125</v>
      </c>
      <c r="M7" s="181" t="s">
        <v>126</v>
      </c>
      <c r="N7" s="182" t="s">
        <v>868</v>
      </c>
      <c r="O7" s="183"/>
      <c r="P7" s="190">
        <v>66.0</v>
      </c>
      <c r="Q7" s="185" t="s">
        <v>869</v>
      </c>
      <c r="R7" s="186" t="s">
        <v>170</v>
      </c>
      <c r="S7" s="190">
        <v>12.0</v>
      </c>
      <c r="T7" s="190">
        <v>8.0</v>
      </c>
      <c r="U7" s="190">
        <v>23.0</v>
      </c>
      <c r="V7" s="190">
        <v>23.0</v>
      </c>
      <c r="W7" s="187" t="s">
        <v>852</v>
      </c>
      <c r="X7" s="180" t="s">
        <v>853</v>
      </c>
      <c r="Y7" s="178" t="s">
        <v>854</v>
      </c>
      <c r="Z7" s="180" t="s">
        <v>855</v>
      </c>
      <c r="AA7" s="178" t="s">
        <v>302</v>
      </c>
      <c r="AB7" s="178" t="s">
        <v>180</v>
      </c>
      <c r="AC7" s="178" t="s">
        <v>384</v>
      </c>
      <c r="AD7" s="178" t="s">
        <v>161</v>
      </c>
      <c r="AE7" s="178" t="s">
        <v>304</v>
      </c>
      <c r="AF7" s="188" t="s">
        <v>183</v>
      </c>
      <c r="AG7" s="191">
        <v>23.0</v>
      </c>
      <c r="AH7" s="268" t="s">
        <v>870</v>
      </c>
      <c r="AI7" s="227" t="s">
        <v>871</v>
      </c>
      <c r="AJ7" s="191">
        <f>23+9+27+13</f>
        <v>72</v>
      </c>
      <c r="AK7" s="268" t="s">
        <v>872</v>
      </c>
      <c r="AL7" s="134"/>
      <c r="AM7" s="135"/>
      <c r="AN7" s="136"/>
      <c r="AO7" s="137"/>
      <c r="AP7" s="138"/>
    </row>
    <row r="8" ht="67.5" customHeight="1">
      <c r="A8" s="118"/>
      <c r="B8" s="177">
        <v>143.0</v>
      </c>
      <c r="C8" s="178" t="s">
        <v>290</v>
      </c>
      <c r="D8" s="178" t="s">
        <v>849</v>
      </c>
      <c r="E8" s="178" t="s">
        <v>292</v>
      </c>
      <c r="F8" s="179">
        <v>2.01901100028E12</v>
      </c>
      <c r="G8" s="180" t="s">
        <v>293</v>
      </c>
      <c r="H8" s="178" t="s">
        <v>294</v>
      </c>
      <c r="I8" s="178" t="s">
        <v>295</v>
      </c>
      <c r="J8" s="178" t="s">
        <v>350</v>
      </c>
      <c r="K8" s="181" t="s">
        <v>147</v>
      </c>
      <c r="L8" s="181" t="s">
        <v>125</v>
      </c>
      <c r="M8" s="181" t="s">
        <v>126</v>
      </c>
      <c r="N8" s="182" t="s">
        <v>873</v>
      </c>
      <c r="O8" s="183"/>
      <c r="P8" s="190">
        <v>500.0</v>
      </c>
      <c r="Q8" s="185" t="s">
        <v>874</v>
      </c>
      <c r="R8" s="186" t="s">
        <v>170</v>
      </c>
      <c r="S8" s="190">
        <v>100.0</v>
      </c>
      <c r="T8" s="190">
        <v>60.0</v>
      </c>
      <c r="U8" s="190">
        <v>170.0</v>
      </c>
      <c r="V8" s="190">
        <v>170.0</v>
      </c>
      <c r="W8" s="187" t="s">
        <v>852</v>
      </c>
      <c r="X8" s="180" t="s">
        <v>853</v>
      </c>
      <c r="Y8" s="178" t="s">
        <v>854</v>
      </c>
      <c r="Z8" s="180" t="s">
        <v>855</v>
      </c>
      <c r="AA8" s="178" t="s">
        <v>302</v>
      </c>
      <c r="AB8" s="178" t="s">
        <v>180</v>
      </c>
      <c r="AC8" s="178" t="s">
        <v>384</v>
      </c>
      <c r="AD8" s="178" t="s">
        <v>161</v>
      </c>
      <c r="AE8" s="178" t="s">
        <v>304</v>
      </c>
      <c r="AF8" s="188" t="s">
        <v>183</v>
      </c>
      <c r="AG8" s="191">
        <v>170.0</v>
      </c>
      <c r="AH8" s="268" t="s">
        <v>875</v>
      </c>
      <c r="AI8" s="227" t="s">
        <v>876</v>
      </c>
      <c r="AJ8" s="191">
        <f>170+219+64+144</f>
        <v>597</v>
      </c>
      <c r="AK8" s="268" t="s">
        <v>872</v>
      </c>
      <c r="AL8" s="134"/>
      <c r="AM8" s="135"/>
      <c r="AN8" s="136"/>
      <c r="AO8" s="137"/>
      <c r="AP8" s="138"/>
    </row>
    <row r="9" ht="67.5" customHeight="1">
      <c r="A9" s="118"/>
      <c r="B9" s="177">
        <v>144.0</v>
      </c>
      <c r="C9" s="178" t="s">
        <v>372</v>
      </c>
      <c r="D9" s="178" t="s">
        <v>849</v>
      </c>
      <c r="E9" s="178" t="s">
        <v>374</v>
      </c>
      <c r="F9" s="179">
        <v>2.019011000276E12</v>
      </c>
      <c r="G9" s="180" t="s">
        <v>375</v>
      </c>
      <c r="H9" s="178" t="s">
        <v>376</v>
      </c>
      <c r="I9" s="178" t="s">
        <v>377</v>
      </c>
      <c r="J9" s="178" t="s">
        <v>378</v>
      </c>
      <c r="K9" s="181" t="s">
        <v>147</v>
      </c>
      <c r="L9" s="181" t="s">
        <v>125</v>
      </c>
      <c r="M9" s="181" t="s">
        <v>126</v>
      </c>
      <c r="N9" s="182" t="s">
        <v>877</v>
      </c>
      <c r="O9" s="183"/>
      <c r="P9" s="190">
        <v>500.0</v>
      </c>
      <c r="Q9" s="185" t="s">
        <v>878</v>
      </c>
      <c r="R9" s="186" t="s">
        <v>170</v>
      </c>
      <c r="S9" s="190">
        <v>100.0</v>
      </c>
      <c r="T9" s="190">
        <v>60.0</v>
      </c>
      <c r="U9" s="190">
        <v>170.0</v>
      </c>
      <c r="V9" s="190">
        <v>170.0</v>
      </c>
      <c r="W9" s="187" t="s">
        <v>852</v>
      </c>
      <c r="X9" s="180" t="s">
        <v>853</v>
      </c>
      <c r="Y9" s="178" t="s">
        <v>854</v>
      </c>
      <c r="Z9" s="180" t="s">
        <v>855</v>
      </c>
      <c r="AA9" s="178" t="s">
        <v>302</v>
      </c>
      <c r="AB9" s="178" t="s">
        <v>180</v>
      </c>
      <c r="AC9" s="178" t="s">
        <v>384</v>
      </c>
      <c r="AD9" s="178" t="s">
        <v>161</v>
      </c>
      <c r="AE9" s="178" t="s">
        <v>304</v>
      </c>
      <c r="AF9" s="188" t="s">
        <v>183</v>
      </c>
      <c r="AG9" s="191">
        <v>170.0</v>
      </c>
      <c r="AH9" s="268" t="s">
        <v>879</v>
      </c>
      <c r="AI9" s="227" t="s">
        <v>880</v>
      </c>
      <c r="AJ9" s="191">
        <f>170+178+61+116</f>
        <v>525</v>
      </c>
      <c r="AK9" s="268" t="s">
        <v>881</v>
      </c>
      <c r="AL9" s="134"/>
      <c r="AM9" s="135"/>
      <c r="AN9" s="136"/>
      <c r="AO9" s="137"/>
      <c r="AP9" s="138"/>
    </row>
    <row r="10" ht="67.5" customHeight="1">
      <c r="A10" s="118"/>
      <c r="B10" s="177">
        <v>145.0</v>
      </c>
      <c r="C10" s="178" t="s">
        <v>372</v>
      </c>
      <c r="D10" s="178" t="s">
        <v>849</v>
      </c>
      <c r="E10" s="178" t="s">
        <v>374</v>
      </c>
      <c r="F10" s="179">
        <v>2.019011000276E12</v>
      </c>
      <c r="G10" s="180" t="s">
        <v>375</v>
      </c>
      <c r="H10" s="178" t="s">
        <v>376</v>
      </c>
      <c r="I10" s="178" t="s">
        <v>377</v>
      </c>
      <c r="J10" s="178" t="s">
        <v>378</v>
      </c>
      <c r="K10" s="181" t="s">
        <v>147</v>
      </c>
      <c r="L10" s="181" t="s">
        <v>125</v>
      </c>
      <c r="M10" s="181" t="s">
        <v>126</v>
      </c>
      <c r="N10" s="182" t="s">
        <v>882</v>
      </c>
      <c r="O10" s="183"/>
      <c r="P10" s="190">
        <v>25.0</v>
      </c>
      <c r="Q10" s="185" t="s">
        <v>883</v>
      </c>
      <c r="R10" s="186" t="s">
        <v>170</v>
      </c>
      <c r="S10" s="190">
        <v>6.0</v>
      </c>
      <c r="T10" s="190">
        <v>5.0</v>
      </c>
      <c r="U10" s="190">
        <v>7.0</v>
      </c>
      <c r="V10" s="190">
        <v>7.0</v>
      </c>
      <c r="W10" s="187" t="s">
        <v>852</v>
      </c>
      <c r="X10" s="180" t="s">
        <v>853</v>
      </c>
      <c r="Y10" s="178" t="s">
        <v>854</v>
      </c>
      <c r="Z10" s="180" t="s">
        <v>855</v>
      </c>
      <c r="AA10" s="178" t="s">
        <v>302</v>
      </c>
      <c r="AB10" s="178" t="s">
        <v>180</v>
      </c>
      <c r="AC10" s="178" t="s">
        <v>384</v>
      </c>
      <c r="AD10" s="178" t="s">
        <v>161</v>
      </c>
      <c r="AE10" s="178" t="s">
        <v>304</v>
      </c>
      <c r="AF10" s="188" t="s">
        <v>183</v>
      </c>
      <c r="AG10" s="191">
        <v>7.0</v>
      </c>
      <c r="AH10" s="268" t="s">
        <v>884</v>
      </c>
      <c r="AI10" s="227" t="s">
        <v>885</v>
      </c>
      <c r="AJ10" s="191">
        <f>7+5+5+7</f>
        <v>24</v>
      </c>
      <c r="AK10" s="268" t="s">
        <v>886</v>
      </c>
      <c r="AL10" s="134"/>
      <c r="AM10" s="135"/>
      <c r="AN10" s="136"/>
      <c r="AO10" s="137"/>
      <c r="AP10" s="138"/>
    </row>
    <row r="11" ht="67.5" customHeight="1">
      <c r="A11" s="118"/>
      <c r="B11" s="177">
        <v>146.0</v>
      </c>
      <c r="C11" s="178" t="s">
        <v>290</v>
      </c>
      <c r="D11" s="178" t="s">
        <v>849</v>
      </c>
      <c r="E11" s="178" t="s">
        <v>292</v>
      </c>
      <c r="F11" s="179">
        <v>2.01901100028E12</v>
      </c>
      <c r="G11" s="180" t="s">
        <v>293</v>
      </c>
      <c r="H11" s="178" t="s">
        <v>314</v>
      </c>
      <c r="I11" s="178" t="s">
        <v>315</v>
      </c>
      <c r="J11" s="178" t="s">
        <v>316</v>
      </c>
      <c r="K11" s="181" t="s">
        <v>147</v>
      </c>
      <c r="L11" s="181" t="s">
        <v>125</v>
      </c>
      <c r="M11" s="181" t="s">
        <v>126</v>
      </c>
      <c r="N11" s="182" t="s">
        <v>887</v>
      </c>
      <c r="O11" s="183"/>
      <c r="P11" s="190">
        <v>30.0</v>
      </c>
      <c r="Q11" s="185" t="s">
        <v>888</v>
      </c>
      <c r="R11" s="186" t="s">
        <v>170</v>
      </c>
      <c r="S11" s="190">
        <v>6.0</v>
      </c>
      <c r="T11" s="190">
        <v>4.0</v>
      </c>
      <c r="U11" s="190">
        <v>10.0</v>
      </c>
      <c r="V11" s="190">
        <v>10.0</v>
      </c>
      <c r="W11" s="187" t="s">
        <v>852</v>
      </c>
      <c r="X11" s="180" t="s">
        <v>853</v>
      </c>
      <c r="Y11" s="178" t="s">
        <v>854</v>
      </c>
      <c r="Z11" s="180" t="s">
        <v>855</v>
      </c>
      <c r="AA11" s="178" t="s">
        <v>302</v>
      </c>
      <c r="AB11" s="178" t="s">
        <v>180</v>
      </c>
      <c r="AC11" s="178" t="s">
        <v>384</v>
      </c>
      <c r="AD11" s="178" t="s">
        <v>161</v>
      </c>
      <c r="AE11" s="178" t="s">
        <v>304</v>
      </c>
      <c r="AF11" s="188" t="s">
        <v>183</v>
      </c>
      <c r="AG11" s="191">
        <v>10.0</v>
      </c>
      <c r="AH11" s="268" t="s">
        <v>889</v>
      </c>
      <c r="AI11" s="227" t="s">
        <v>890</v>
      </c>
      <c r="AJ11" s="191">
        <v>32.0</v>
      </c>
      <c r="AK11" s="268" t="s">
        <v>891</v>
      </c>
      <c r="AL11" s="134"/>
      <c r="AM11" s="135"/>
      <c r="AN11" s="136"/>
      <c r="AO11" s="137"/>
      <c r="AP11" s="138"/>
    </row>
    <row r="12" ht="67.5" customHeight="1">
      <c r="A12" s="118"/>
      <c r="B12" s="177">
        <v>147.0</v>
      </c>
      <c r="C12" s="178" t="s">
        <v>290</v>
      </c>
      <c r="D12" s="178" t="s">
        <v>849</v>
      </c>
      <c r="E12" s="178" t="s">
        <v>292</v>
      </c>
      <c r="F12" s="179">
        <v>2.01901100028E12</v>
      </c>
      <c r="G12" s="180" t="s">
        <v>293</v>
      </c>
      <c r="H12" s="178" t="s">
        <v>294</v>
      </c>
      <c r="I12" s="178" t="s">
        <v>295</v>
      </c>
      <c r="J12" s="178" t="s">
        <v>296</v>
      </c>
      <c r="K12" s="181" t="s">
        <v>147</v>
      </c>
      <c r="L12" s="181" t="s">
        <v>125</v>
      </c>
      <c r="M12" s="181" t="s">
        <v>126</v>
      </c>
      <c r="N12" s="182" t="s">
        <v>892</v>
      </c>
      <c r="O12" s="183"/>
      <c r="P12" s="190">
        <v>2200.0</v>
      </c>
      <c r="Q12" s="185" t="s">
        <v>786</v>
      </c>
      <c r="R12" s="186" t="s">
        <v>170</v>
      </c>
      <c r="S12" s="190">
        <v>0.0</v>
      </c>
      <c r="T12" s="190">
        <v>650.0</v>
      </c>
      <c r="U12" s="190">
        <v>750.0</v>
      </c>
      <c r="V12" s="190">
        <v>800.0</v>
      </c>
      <c r="W12" s="187" t="s">
        <v>852</v>
      </c>
      <c r="X12" s="180" t="s">
        <v>853</v>
      </c>
      <c r="Y12" s="178" t="s">
        <v>854</v>
      </c>
      <c r="Z12" s="180" t="s">
        <v>855</v>
      </c>
      <c r="AA12" s="178" t="s">
        <v>302</v>
      </c>
      <c r="AB12" s="178" t="s">
        <v>180</v>
      </c>
      <c r="AC12" s="178" t="s">
        <v>384</v>
      </c>
      <c r="AD12" s="178" t="s">
        <v>161</v>
      </c>
      <c r="AE12" s="178" t="s">
        <v>304</v>
      </c>
      <c r="AF12" s="188" t="s">
        <v>183</v>
      </c>
      <c r="AG12" s="191">
        <v>394.0</v>
      </c>
      <c r="AH12" s="268" t="s">
        <v>893</v>
      </c>
      <c r="AI12" s="227" t="s">
        <v>894</v>
      </c>
      <c r="AJ12" s="191">
        <f>394+394+821+489</f>
        <v>2098</v>
      </c>
      <c r="AK12" s="268" t="s">
        <v>895</v>
      </c>
      <c r="AL12" s="134"/>
      <c r="AM12" s="135"/>
      <c r="AN12" s="136"/>
      <c r="AO12" s="137"/>
      <c r="AP12" s="138"/>
    </row>
    <row r="13" ht="67.5" customHeight="1">
      <c r="A13" s="118"/>
      <c r="B13" s="177">
        <v>148.0</v>
      </c>
      <c r="C13" s="178" t="s">
        <v>372</v>
      </c>
      <c r="D13" s="178" t="s">
        <v>849</v>
      </c>
      <c r="E13" s="178" t="s">
        <v>374</v>
      </c>
      <c r="F13" s="179">
        <v>2.019011000276E12</v>
      </c>
      <c r="G13" s="180" t="s">
        <v>375</v>
      </c>
      <c r="H13" s="178" t="s">
        <v>388</v>
      </c>
      <c r="I13" s="178" t="s">
        <v>389</v>
      </c>
      <c r="J13" s="178" t="s">
        <v>404</v>
      </c>
      <c r="K13" s="181" t="s">
        <v>124</v>
      </c>
      <c r="L13" s="181" t="s">
        <v>125</v>
      </c>
      <c r="M13" s="181" t="s">
        <v>126</v>
      </c>
      <c r="N13" s="182" t="s">
        <v>391</v>
      </c>
      <c r="O13" s="183">
        <v>157.0</v>
      </c>
      <c r="P13" s="190">
        <v>600.0</v>
      </c>
      <c r="Q13" s="185" t="s">
        <v>816</v>
      </c>
      <c r="R13" s="186" t="s">
        <v>170</v>
      </c>
      <c r="S13" s="190">
        <v>152.0</v>
      </c>
      <c r="T13" s="190">
        <v>85.0</v>
      </c>
      <c r="U13" s="190">
        <v>179.0</v>
      </c>
      <c r="V13" s="190">
        <v>184.0</v>
      </c>
      <c r="W13" s="187" t="s">
        <v>852</v>
      </c>
      <c r="X13" s="180" t="s">
        <v>853</v>
      </c>
      <c r="Y13" s="178" t="s">
        <v>854</v>
      </c>
      <c r="Z13" s="180" t="s">
        <v>855</v>
      </c>
      <c r="AA13" s="178" t="s">
        <v>302</v>
      </c>
      <c r="AB13" s="178" t="s">
        <v>180</v>
      </c>
      <c r="AC13" s="178" t="s">
        <v>384</v>
      </c>
      <c r="AD13" s="178" t="s">
        <v>161</v>
      </c>
      <c r="AE13" s="178" t="s">
        <v>304</v>
      </c>
      <c r="AF13" s="188" t="s">
        <v>183</v>
      </c>
      <c r="AG13" s="191">
        <f>65+77+64</f>
        <v>206</v>
      </c>
      <c r="AH13" s="268" t="s">
        <v>896</v>
      </c>
      <c r="AI13" s="227" t="s">
        <v>897</v>
      </c>
      <c r="AJ13" s="191">
        <f>206+205+135+155</f>
        <v>701</v>
      </c>
      <c r="AK13" s="268" t="s">
        <v>898</v>
      </c>
      <c r="AL13" s="134"/>
      <c r="AM13" s="135"/>
      <c r="AN13" s="136"/>
      <c r="AO13" s="137"/>
      <c r="AP13" s="138"/>
    </row>
    <row r="14" ht="67.5" customHeight="1">
      <c r="A14" s="118"/>
      <c r="B14" s="177"/>
      <c r="C14" s="178"/>
      <c r="D14" s="178"/>
      <c r="E14" s="178"/>
      <c r="F14" s="179"/>
      <c r="G14" s="180"/>
      <c r="H14" s="178"/>
      <c r="I14" s="178"/>
      <c r="J14" s="178"/>
      <c r="K14" s="181"/>
      <c r="L14" s="181"/>
      <c r="M14" s="181"/>
      <c r="N14" s="182"/>
      <c r="O14" s="183"/>
      <c r="P14" s="190"/>
      <c r="Q14" s="185"/>
      <c r="R14" s="186"/>
      <c r="S14" s="190"/>
      <c r="T14" s="190"/>
      <c r="U14" s="190"/>
      <c r="V14" s="190"/>
      <c r="W14" s="187"/>
      <c r="X14" s="180"/>
      <c r="Y14" s="178"/>
      <c r="Z14" s="180"/>
      <c r="AA14" s="178"/>
      <c r="AB14" s="178"/>
      <c r="AC14" s="178"/>
      <c r="AD14" s="178"/>
      <c r="AE14" s="178"/>
      <c r="AF14" s="188"/>
      <c r="AG14" s="146"/>
      <c r="AH14" s="147"/>
      <c r="AI14" s="148"/>
      <c r="AJ14" s="149"/>
      <c r="AK14" s="133"/>
      <c r="AL14" s="134"/>
      <c r="AM14" s="135"/>
      <c r="AN14" s="136"/>
      <c r="AO14" s="137"/>
      <c r="AP14" s="138"/>
    </row>
    <row r="15" ht="67.5" customHeight="1">
      <c r="A15" s="118"/>
      <c r="B15" s="177"/>
      <c r="C15" s="178"/>
      <c r="D15" s="178"/>
      <c r="E15" s="178"/>
      <c r="F15" s="179"/>
      <c r="G15" s="180"/>
      <c r="H15" s="178"/>
      <c r="I15" s="178"/>
      <c r="J15" s="178"/>
      <c r="K15" s="181"/>
      <c r="L15" s="181"/>
      <c r="M15" s="181"/>
      <c r="N15" s="182"/>
      <c r="O15" s="183"/>
      <c r="P15" s="190"/>
      <c r="Q15" s="185"/>
      <c r="R15" s="186"/>
      <c r="S15" s="190"/>
      <c r="T15" s="190"/>
      <c r="U15" s="190"/>
      <c r="V15" s="190"/>
      <c r="W15" s="187"/>
      <c r="X15" s="180"/>
      <c r="Y15" s="178"/>
      <c r="Z15" s="180"/>
      <c r="AA15" s="178"/>
      <c r="AB15" s="178"/>
      <c r="AC15" s="178"/>
      <c r="AD15" s="178"/>
      <c r="AE15" s="178"/>
      <c r="AF15" s="188"/>
      <c r="AG15" s="146"/>
      <c r="AH15" s="147"/>
      <c r="AI15" s="148"/>
      <c r="AJ15" s="149"/>
      <c r="AK15" s="133"/>
      <c r="AL15" s="134"/>
      <c r="AM15" s="135"/>
      <c r="AN15" s="136"/>
      <c r="AO15" s="137"/>
      <c r="AP15" s="138"/>
    </row>
    <row r="16" ht="67.5" customHeight="1">
      <c r="A16" s="118"/>
      <c r="B16" s="177"/>
      <c r="C16" s="178"/>
      <c r="D16" s="178"/>
      <c r="E16" s="178"/>
      <c r="F16" s="179"/>
      <c r="G16" s="180"/>
      <c r="H16" s="178"/>
      <c r="I16" s="178"/>
      <c r="J16" s="178"/>
      <c r="K16" s="181"/>
      <c r="L16" s="181"/>
      <c r="M16" s="181"/>
      <c r="N16" s="182"/>
      <c r="O16" s="183"/>
      <c r="P16" s="190"/>
      <c r="Q16" s="185"/>
      <c r="R16" s="186"/>
      <c r="S16" s="190"/>
      <c r="T16" s="190"/>
      <c r="U16" s="190"/>
      <c r="V16" s="190"/>
      <c r="W16" s="187"/>
      <c r="X16" s="180"/>
      <c r="Y16" s="178"/>
      <c r="Z16" s="180"/>
      <c r="AA16" s="178"/>
      <c r="AB16" s="178"/>
      <c r="AC16" s="178"/>
      <c r="AD16" s="178"/>
      <c r="AE16" s="178"/>
      <c r="AF16" s="188"/>
      <c r="AG16" s="146"/>
      <c r="AH16" s="147"/>
      <c r="AI16" s="148"/>
      <c r="AJ16" s="149"/>
      <c r="AK16" s="133"/>
      <c r="AL16" s="134"/>
      <c r="AM16" s="135"/>
      <c r="AN16" s="136"/>
      <c r="AO16" s="137"/>
      <c r="AP16" s="138"/>
    </row>
    <row r="17" ht="67.5" customHeight="1">
      <c r="A17" s="118"/>
      <c r="B17" s="192"/>
      <c r="C17" s="193"/>
      <c r="D17" s="193"/>
      <c r="E17" s="193"/>
      <c r="F17" s="194"/>
      <c r="G17" s="195"/>
      <c r="H17" s="193"/>
      <c r="I17" s="193"/>
      <c r="J17" s="193"/>
      <c r="K17" s="196"/>
      <c r="L17" s="196"/>
      <c r="M17" s="196"/>
      <c r="N17" s="197"/>
      <c r="O17" s="198"/>
      <c r="P17" s="199"/>
      <c r="Q17" s="200"/>
      <c r="R17" s="201"/>
      <c r="S17" s="199"/>
      <c r="T17" s="199"/>
      <c r="U17" s="199"/>
      <c r="V17" s="199"/>
      <c r="W17" s="202"/>
      <c r="X17" s="195"/>
      <c r="Y17" s="193"/>
      <c r="Z17" s="195"/>
      <c r="AA17" s="193"/>
      <c r="AB17" s="193"/>
      <c r="AC17" s="193"/>
      <c r="AD17" s="193"/>
      <c r="AE17" s="193"/>
      <c r="AF17" s="203"/>
      <c r="AG17" s="161"/>
      <c r="AH17" s="162"/>
      <c r="AI17" s="163"/>
      <c r="AJ17" s="164"/>
      <c r="AK17" s="165"/>
      <c r="AL17" s="166"/>
      <c r="AM17" s="167"/>
      <c r="AN17" s="168"/>
      <c r="AO17" s="169"/>
      <c r="AP17" s="138"/>
    </row>
    <row r="18" ht="15.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row>
  </sheetData>
  <autoFilter ref="$A$3:$AP$13"/>
  <mergeCells count="4">
    <mergeCell ref="B1:C1"/>
    <mergeCell ref="AG2:AI2"/>
    <mergeCell ref="AJ2:AK2"/>
    <mergeCell ref="AL2:AO2"/>
  </mergeCells>
  <conditionalFormatting sqref="AH4:AH13 AK4:AK18 AM4:AM17">
    <cfRule type="cellIs" dxfId="2" priority="1" operator="greaterThan">
      <formula>0</formula>
    </cfRule>
  </conditionalFormatting>
  <conditionalFormatting sqref="AH4:AH13 AK4:AK18 AM4:AM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AJ4:AJ17">
      <formula1>0.0</formula1>
      <formula2>5000000.0</formula2>
    </dataValidation>
  </dataValidations>
  <hyperlinks>
    <hyperlink display="Home" location="Home!A1" ref="B1"/>
    <hyperlink r:id="rId1" ref="AI4"/>
    <hyperlink r:id="rId2" location="gid=599079532" ref="AI5"/>
    <hyperlink r:id="rId3" ref="AI6"/>
    <hyperlink r:id="rId4" ref="AI7"/>
    <hyperlink r:id="rId5" ref="AI8"/>
    <hyperlink r:id="rId6" ref="AI9"/>
    <hyperlink r:id="rId7" ref="AI10"/>
    <hyperlink r:id="rId8" ref="AI11"/>
    <hyperlink r:id="rId9" location="gid=97958996" ref="AI12"/>
    <hyperlink r:id="rId10" ref="AI13"/>
  </hyperlinks>
  <printOptions gridLines="1" horizontalCentered="1"/>
  <pageMargins bottom="0.75" footer="0.0" header="0.0" left="0.7" right="0.7" top="0.75"/>
  <pageSetup cellComments="atEnd" orientation="portrait" pageOrder="overThenDown"/>
  <drawing r:id="rId11"/>
</worksheet>
</file>

<file path=xl/worksheets/sheet2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21" width="15.75"/>
    <col customWidth="1" min="22" max="22" width="15.75"/>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4" width="21.0"/>
    <col customWidth="1" min="35" max="35" width="22.88"/>
    <col customWidth="1" min="36" max="36" width="21.75"/>
    <col customWidth="1" min="37" max="37" width="20.25"/>
    <col customWidth="1" min="38" max="38" width="15.75"/>
    <col customWidth="1" min="39" max="39" width="15.63"/>
    <col customWidth="1" min="40" max="40" width="16.38"/>
    <col customWidth="1" min="41" max="41" width="18.25"/>
    <col customWidth="1" min="42" max="42" width="3.88"/>
  </cols>
  <sheetData>
    <row r="1" ht="33.75" customHeight="1">
      <c r="A1" s="269"/>
      <c r="B1" s="86" t="s">
        <v>108</v>
      </c>
      <c r="C1" s="87"/>
      <c r="D1" s="88"/>
      <c r="E1" s="89"/>
      <c r="F1" s="90"/>
      <c r="G1" s="90"/>
      <c r="H1" s="90"/>
      <c r="I1" s="90"/>
      <c r="J1" s="90"/>
      <c r="K1" s="90"/>
      <c r="L1" s="90"/>
      <c r="M1" s="90"/>
      <c r="N1" s="90"/>
      <c r="O1" s="90"/>
      <c r="P1" s="90"/>
      <c r="Q1" s="90"/>
      <c r="R1" s="90"/>
      <c r="S1" s="90"/>
      <c r="T1" s="90"/>
      <c r="U1" s="90"/>
      <c r="V1" s="90"/>
      <c r="W1" s="90"/>
      <c r="X1" s="90"/>
      <c r="Y1" s="90"/>
      <c r="Z1" s="90"/>
      <c r="AA1" s="90"/>
      <c r="AB1" s="90"/>
      <c r="AC1" s="90"/>
      <c r="AD1" s="90"/>
      <c r="AE1" s="90"/>
      <c r="AF1" s="88"/>
      <c r="AG1" s="91" t="s">
        <v>109</v>
      </c>
      <c r="AH1" s="92">
        <v>1.0</v>
      </c>
      <c r="AI1" s="93" t="s">
        <v>110</v>
      </c>
      <c r="AJ1" s="94"/>
      <c r="AK1" s="95"/>
      <c r="AL1" s="96">
        <v>43466.0</v>
      </c>
      <c r="AM1" s="97">
        <f>Alertas!B6</f>
        <v>44582</v>
      </c>
      <c r="AN1" s="96">
        <f>TODAY()-1</f>
        <v>44714</v>
      </c>
      <c r="AO1" s="93"/>
      <c r="AP1" s="93"/>
    </row>
    <row r="2" ht="33.75" customHeight="1">
      <c r="A2" s="85"/>
      <c r="B2" s="88"/>
      <c r="C2" s="98"/>
      <c r="D2" s="99"/>
      <c r="E2" s="88"/>
      <c r="F2" s="100"/>
      <c r="G2" s="88"/>
      <c r="H2" s="88"/>
      <c r="I2" s="88"/>
      <c r="J2" s="88"/>
      <c r="K2" s="88"/>
      <c r="L2" s="88"/>
      <c r="M2" s="88"/>
      <c r="N2" s="88"/>
      <c r="O2" s="88"/>
      <c r="P2" s="88"/>
      <c r="Q2" s="88"/>
      <c r="R2" s="88"/>
      <c r="S2" s="88"/>
      <c r="T2" s="88"/>
      <c r="U2" s="88"/>
      <c r="V2" s="88"/>
      <c r="W2" s="88"/>
      <c r="X2" s="88"/>
      <c r="Y2" s="88"/>
      <c r="Z2" s="88"/>
      <c r="AA2" s="88"/>
      <c r="AB2" s="88"/>
      <c r="AC2" s="88"/>
      <c r="AD2" s="88"/>
      <c r="AE2" s="88"/>
      <c r="AF2" s="17"/>
      <c r="AG2" s="101" t="s">
        <v>111</v>
      </c>
      <c r="AH2" s="102"/>
      <c r="AI2" s="103"/>
      <c r="AJ2" s="104" t="s">
        <v>112</v>
      </c>
      <c r="AK2" s="103"/>
      <c r="AL2" s="104" t="s">
        <v>113</v>
      </c>
      <c r="AM2" s="102"/>
      <c r="AN2" s="102"/>
      <c r="AO2" s="103"/>
      <c r="AP2" s="105"/>
    </row>
    <row r="3" ht="33.75" customHeight="1">
      <c r="A3" s="106"/>
      <c r="B3" s="171" t="s">
        <v>40</v>
      </c>
      <c r="C3" s="172" t="s">
        <v>41</v>
      </c>
      <c r="D3" s="173" t="s">
        <v>42</v>
      </c>
      <c r="E3" s="173" t="s">
        <v>43</v>
      </c>
      <c r="F3" s="174" t="s">
        <v>44</v>
      </c>
      <c r="G3" s="175" t="s">
        <v>45</v>
      </c>
      <c r="H3" s="173" t="s">
        <v>46</v>
      </c>
      <c r="I3" s="175" t="s">
        <v>47</v>
      </c>
      <c r="J3" s="175" t="s">
        <v>48</v>
      </c>
      <c r="K3" s="175" t="s">
        <v>49</v>
      </c>
      <c r="L3" s="175" t="s">
        <v>50</v>
      </c>
      <c r="M3" s="173" t="s">
        <v>51</v>
      </c>
      <c r="N3" s="173" t="s">
        <v>52</v>
      </c>
      <c r="O3" s="175" t="s">
        <v>53</v>
      </c>
      <c r="P3" s="175" t="s">
        <v>54</v>
      </c>
      <c r="Q3" s="173" t="s">
        <v>55</v>
      </c>
      <c r="R3" s="173" t="s">
        <v>56</v>
      </c>
      <c r="S3" s="175" t="s">
        <v>57</v>
      </c>
      <c r="T3" s="175" t="s">
        <v>58</v>
      </c>
      <c r="U3" s="175" t="s">
        <v>59</v>
      </c>
      <c r="V3" s="175" t="s">
        <v>60</v>
      </c>
      <c r="W3" s="173" t="s">
        <v>61</v>
      </c>
      <c r="X3" s="172" t="s">
        <v>62</v>
      </c>
      <c r="Y3" s="172" t="s">
        <v>63</v>
      </c>
      <c r="Z3" s="172" t="s">
        <v>64</v>
      </c>
      <c r="AA3" s="172" t="s">
        <v>65</v>
      </c>
      <c r="AB3" s="172" t="s">
        <v>66</v>
      </c>
      <c r="AC3" s="172" t="s">
        <v>67</v>
      </c>
      <c r="AD3" s="172" t="s">
        <v>68</v>
      </c>
      <c r="AE3" s="172" t="s">
        <v>69</v>
      </c>
      <c r="AF3" s="176" t="s">
        <v>70</v>
      </c>
      <c r="AG3" s="113" t="s">
        <v>71</v>
      </c>
      <c r="AH3" s="270" t="s">
        <v>72</v>
      </c>
      <c r="AI3" s="115" t="s">
        <v>73</v>
      </c>
      <c r="AJ3" s="116" t="s">
        <v>114</v>
      </c>
      <c r="AK3" s="117" t="s">
        <v>115</v>
      </c>
      <c r="AL3" s="113" t="s">
        <v>74</v>
      </c>
      <c r="AM3" s="114" t="s">
        <v>116</v>
      </c>
      <c r="AN3" s="114" t="s">
        <v>76</v>
      </c>
      <c r="AO3" s="117" t="s">
        <v>117</v>
      </c>
      <c r="AP3" s="105"/>
    </row>
    <row r="4" ht="67.5" customHeight="1">
      <c r="A4" s="118"/>
      <c r="B4" s="177">
        <v>149.0</v>
      </c>
      <c r="C4" s="178" t="s">
        <v>290</v>
      </c>
      <c r="D4" s="178" t="s">
        <v>899</v>
      </c>
      <c r="E4" s="178" t="s">
        <v>292</v>
      </c>
      <c r="F4" s="179">
        <v>2.01901100028E12</v>
      </c>
      <c r="G4" s="180" t="s">
        <v>293</v>
      </c>
      <c r="H4" s="178" t="s">
        <v>294</v>
      </c>
      <c r="I4" s="178" t="s">
        <v>295</v>
      </c>
      <c r="J4" s="178" t="s">
        <v>296</v>
      </c>
      <c r="K4" s="181" t="s">
        <v>124</v>
      </c>
      <c r="L4" s="181" t="s">
        <v>125</v>
      </c>
      <c r="M4" s="181" t="s">
        <v>126</v>
      </c>
      <c r="N4" s="182" t="s">
        <v>636</v>
      </c>
      <c r="O4" s="183">
        <v>-7140.0</v>
      </c>
      <c r="P4" s="190">
        <v>230.0</v>
      </c>
      <c r="Q4" s="185" t="s">
        <v>637</v>
      </c>
      <c r="R4" s="186" t="s">
        <v>176</v>
      </c>
      <c r="S4" s="190">
        <v>30.0</v>
      </c>
      <c r="T4" s="190">
        <v>75.0</v>
      </c>
      <c r="U4" s="190">
        <v>75.0</v>
      </c>
      <c r="V4" s="190">
        <v>50.0</v>
      </c>
      <c r="W4" s="187" t="s">
        <v>899</v>
      </c>
      <c r="X4" s="180" t="s">
        <v>900</v>
      </c>
      <c r="Y4" s="178" t="s">
        <v>639</v>
      </c>
      <c r="Z4" s="180" t="s">
        <v>901</v>
      </c>
      <c r="AA4" s="178" t="s">
        <v>500</v>
      </c>
      <c r="AB4" s="178" t="s">
        <v>180</v>
      </c>
      <c r="AC4" s="178" t="s">
        <v>303</v>
      </c>
      <c r="AD4" s="178" t="s">
        <v>161</v>
      </c>
      <c r="AE4" s="178" t="s">
        <v>304</v>
      </c>
      <c r="AF4" s="188" t="s">
        <v>183</v>
      </c>
      <c r="AG4" s="271">
        <v>83.0</v>
      </c>
      <c r="AH4" s="272" t="s">
        <v>902</v>
      </c>
      <c r="AI4" s="273" t="s">
        <v>903</v>
      </c>
      <c r="AJ4" s="274">
        <v>292.0</v>
      </c>
      <c r="AK4" s="133" t="s">
        <v>904</v>
      </c>
      <c r="AL4" s="134">
        <f t="shared" ref="AL4:AL11" si="1">$AM$1</f>
        <v>44582</v>
      </c>
      <c r="AM4" s="135">
        <f t="shared" ref="AM4:AM11" si="2">AL4-$AN$1</f>
        <v>-132</v>
      </c>
      <c r="AN4" s="136" t="str">
        <f t="shared" ref="AN4:AN11" si="3">IF(ISBLANK(AG4),"Pend. Ejec. Trim."&amp;CHAR(10),)&amp;
IF(ISBLANK(AH4),"Pend. Just. Trim."&amp;CHAR(10),)&amp;
IF(ISBLANK(AI4),"Pend. Evid. Trim."&amp;CHAR(10),)&amp;
IF(ISBLANK(AJ4),"Pend. Ejec. Año"&amp;CHAR(10),)&amp;
IF(ISBLANK(AK4),"Pend. Evid. Año",)&amp;
IF(OR(ISBLANK(AG4),ISBLANK(AH4),ISBLANK(AI4),ISBLANK(AJ4),ISBLANK(AK4)),,"Reporte ok")</f>
        <v>Reporte ok</v>
      </c>
      <c r="AO4" s="137"/>
      <c r="AP4" s="138"/>
    </row>
    <row r="5" ht="67.5" customHeight="1">
      <c r="A5" s="118"/>
      <c r="B5" s="177">
        <v>150.0</v>
      </c>
      <c r="C5" s="178" t="s">
        <v>290</v>
      </c>
      <c r="D5" s="178" t="s">
        <v>899</v>
      </c>
      <c r="E5" s="178" t="s">
        <v>292</v>
      </c>
      <c r="F5" s="179">
        <v>2.01901100028E12</v>
      </c>
      <c r="G5" s="180" t="s">
        <v>293</v>
      </c>
      <c r="H5" s="178" t="s">
        <v>294</v>
      </c>
      <c r="I5" s="178" t="s">
        <v>295</v>
      </c>
      <c r="J5" s="178" t="s">
        <v>350</v>
      </c>
      <c r="K5" s="181" t="s">
        <v>147</v>
      </c>
      <c r="L5" s="181" t="s">
        <v>125</v>
      </c>
      <c r="M5" s="181" t="s">
        <v>126</v>
      </c>
      <c r="N5" s="182" t="s">
        <v>781</v>
      </c>
      <c r="O5" s="183"/>
      <c r="P5" s="190">
        <v>35.0</v>
      </c>
      <c r="Q5" s="185" t="s">
        <v>782</v>
      </c>
      <c r="R5" s="186" t="s">
        <v>170</v>
      </c>
      <c r="S5" s="190">
        <v>5.0</v>
      </c>
      <c r="T5" s="190">
        <v>10.0</v>
      </c>
      <c r="U5" s="190">
        <v>10.0</v>
      </c>
      <c r="V5" s="190">
        <v>10.0</v>
      </c>
      <c r="W5" s="187" t="s">
        <v>899</v>
      </c>
      <c r="X5" s="180" t="s">
        <v>900</v>
      </c>
      <c r="Y5" s="178" t="s">
        <v>639</v>
      </c>
      <c r="Z5" s="180" t="s">
        <v>901</v>
      </c>
      <c r="AA5" s="178" t="s">
        <v>500</v>
      </c>
      <c r="AB5" s="178" t="s">
        <v>180</v>
      </c>
      <c r="AC5" s="178" t="s">
        <v>135</v>
      </c>
      <c r="AD5" s="178" t="s">
        <v>161</v>
      </c>
      <c r="AE5" s="178" t="s">
        <v>304</v>
      </c>
      <c r="AF5" s="188" t="s">
        <v>183</v>
      </c>
      <c r="AG5" s="271">
        <v>10.0</v>
      </c>
      <c r="AH5" s="272" t="s">
        <v>905</v>
      </c>
      <c r="AI5" s="275" t="s">
        <v>906</v>
      </c>
      <c r="AJ5" s="274">
        <v>42.0</v>
      </c>
      <c r="AK5" s="133" t="s">
        <v>907</v>
      </c>
      <c r="AL5" s="134">
        <f t="shared" si="1"/>
        <v>44582</v>
      </c>
      <c r="AM5" s="135">
        <f t="shared" si="2"/>
        <v>-132</v>
      </c>
      <c r="AN5" s="136" t="str">
        <f t="shared" si="3"/>
        <v>Reporte ok</v>
      </c>
      <c r="AO5" s="137"/>
      <c r="AP5" s="138"/>
    </row>
    <row r="6" ht="67.5" customHeight="1">
      <c r="A6" s="118"/>
      <c r="B6" s="177">
        <v>151.0</v>
      </c>
      <c r="C6" s="178" t="s">
        <v>290</v>
      </c>
      <c r="D6" s="178" t="s">
        <v>899</v>
      </c>
      <c r="E6" s="178" t="s">
        <v>292</v>
      </c>
      <c r="F6" s="179">
        <v>2.01901100028E12</v>
      </c>
      <c r="G6" s="180" t="s">
        <v>293</v>
      </c>
      <c r="H6" s="178" t="s">
        <v>294</v>
      </c>
      <c r="I6" s="178" t="s">
        <v>295</v>
      </c>
      <c r="J6" s="178" t="s">
        <v>350</v>
      </c>
      <c r="K6" s="181" t="s">
        <v>147</v>
      </c>
      <c r="L6" s="181" t="s">
        <v>125</v>
      </c>
      <c r="M6" s="181" t="s">
        <v>126</v>
      </c>
      <c r="N6" s="182" t="s">
        <v>738</v>
      </c>
      <c r="O6" s="183"/>
      <c r="P6" s="190">
        <v>120.0</v>
      </c>
      <c r="Q6" s="185" t="s">
        <v>908</v>
      </c>
      <c r="R6" s="186" t="s">
        <v>170</v>
      </c>
      <c r="S6" s="190">
        <v>30.0</v>
      </c>
      <c r="T6" s="190">
        <v>30.0</v>
      </c>
      <c r="U6" s="190">
        <v>30.0</v>
      </c>
      <c r="V6" s="190">
        <v>30.0</v>
      </c>
      <c r="W6" s="187" t="s">
        <v>899</v>
      </c>
      <c r="X6" s="180" t="s">
        <v>900</v>
      </c>
      <c r="Y6" s="178" t="s">
        <v>639</v>
      </c>
      <c r="Z6" s="180" t="s">
        <v>901</v>
      </c>
      <c r="AA6" s="178" t="s">
        <v>500</v>
      </c>
      <c r="AB6" s="178" t="s">
        <v>180</v>
      </c>
      <c r="AC6" s="178" t="s">
        <v>135</v>
      </c>
      <c r="AD6" s="178" t="s">
        <v>161</v>
      </c>
      <c r="AE6" s="178" t="s">
        <v>304</v>
      </c>
      <c r="AF6" s="188" t="s">
        <v>183</v>
      </c>
      <c r="AG6" s="271">
        <v>31.0</v>
      </c>
      <c r="AH6" s="276" t="s">
        <v>909</v>
      </c>
      <c r="AI6" s="277" t="s">
        <v>910</v>
      </c>
      <c r="AJ6" s="274">
        <v>128.0</v>
      </c>
      <c r="AK6" s="133" t="s">
        <v>911</v>
      </c>
      <c r="AL6" s="134">
        <f t="shared" si="1"/>
        <v>44582</v>
      </c>
      <c r="AM6" s="135">
        <f t="shared" si="2"/>
        <v>-132</v>
      </c>
      <c r="AN6" s="136" t="str">
        <f t="shared" si="3"/>
        <v>Reporte ok</v>
      </c>
      <c r="AO6" s="137"/>
      <c r="AP6" s="138"/>
    </row>
    <row r="7" ht="67.5" customHeight="1">
      <c r="A7" s="118"/>
      <c r="B7" s="177">
        <v>152.0</v>
      </c>
      <c r="C7" s="178" t="s">
        <v>372</v>
      </c>
      <c r="D7" s="178" t="s">
        <v>899</v>
      </c>
      <c r="E7" s="178" t="s">
        <v>374</v>
      </c>
      <c r="F7" s="179">
        <v>2.019011000276E12</v>
      </c>
      <c r="G7" s="180" t="s">
        <v>375</v>
      </c>
      <c r="H7" s="178" t="s">
        <v>376</v>
      </c>
      <c r="I7" s="178" t="s">
        <v>377</v>
      </c>
      <c r="J7" s="178" t="s">
        <v>378</v>
      </c>
      <c r="K7" s="181" t="s">
        <v>147</v>
      </c>
      <c r="L7" s="181" t="s">
        <v>125</v>
      </c>
      <c r="M7" s="181" t="s">
        <v>126</v>
      </c>
      <c r="N7" s="182" t="s">
        <v>790</v>
      </c>
      <c r="O7" s="183"/>
      <c r="P7" s="190">
        <v>35.0</v>
      </c>
      <c r="Q7" s="185" t="s">
        <v>912</v>
      </c>
      <c r="R7" s="186" t="s">
        <v>170</v>
      </c>
      <c r="S7" s="190">
        <v>10.0</v>
      </c>
      <c r="T7" s="190">
        <v>25.0</v>
      </c>
      <c r="U7" s="190">
        <v>0.0</v>
      </c>
      <c r="V7" s="190">
        <v>0.0</v>
      </c>
      <c r="W7" s="187" t="s">
        <v>899</v>
      </c>
      <c r="X7" s="180" t="s">
        <v>900</v>
      </c>
      <c r="Y7" s="178" t="s">
        <v>639</v>
      </c>
      <c r="Z7" s="180" t="s">
        <v>901</v>
      </c>
      <c r="AA7" s="178" t="s">
        <v>500</v>
      </c>
      <c r="AB7" s="178" t="s">
        <v>180</v>
      </c>
      <c r="AC7" s="178" t="s">
        <v>384</v>
      </c>
      <c r="AD7" s="178" t="s">
        <v>161</v>
      </c>
      <c r="AE7" s="178" t="s">
        <v>304</v>
      </c>
      <c r="AF7" s="188" t="s">
        <v>183</v>
      </c>
      <c r="AG7" s="271">
        <v>0.0</v>
      </c>
      <c r="AH7" s="276" t="s">
        <v>913</v>
      </c>
      <c r="AI7" s="278" t="s">
        <v>914</v>
      </c>
      <c r="AJ7" s="274">
        <v>41.0</v>
      </c>
      <c r="AK7" s="133" t="s">
        <v>915</v>
      </c>
      <c r="AL7" s="134">
        <f t="shared" si="1"/>
        <v>44582</v>
      </c>
      <c r="AM7" s="135">
        <f t="shared" si="2"/>
        <v>-132</v>
      </c>
      <c r="AN7" s="136" t="str">
        <f t="shared" si="3"/>
        <v>Reporte ok</v>
      </c>
      <c r="AO7" s="137"/>
      <c r="AP7" s="138"/>
    </row>
    <row r="8" ht="67.5" customHeight="1">
      <c r="A8" s="118"/>
      <c r="B8" s="177">
        <v>153.0</v>
      </c>
      <c r="C8" s="178" t="s">
        <v>372</v>
      </c>
      <c r="D8" s="178" t="s">
        <v>899</v>
      </c>
      <c r="E8" s="178" t="s">
        <v>374</v>
      </c>
      <c r="F8" s="179">
        <v>2.019011000276E12</v>
      </c>
      <c r="G8" s="180" t="s">
        <v>375</v>
      </c>
      <c r="H8" s="178" t="s">
        <v>388</v>
      </c>
      <c r="I8" s="178" t="s">
        <v>389</v>
      </c>
      <c r="J8" s="178" t="s">
        <v>390</v>
      </c>
      <c r="K8" s="181" t="s">
        <v>124</v>
      </c>
      <c r="L8" s="181" t="s">
        <v>125</v>
      </c>
      <c r="M8" s="181" t="s">
        <v>126</v>
      </c>
      <c r="N8" s="182" t="s">
        <v>391</v>
      </c>
      <c r="O8" s="183">
        <v>157.0</v>
      </c>
      <c r="P8" s="190">
        <v>850.0</v>
      </c>
      <c r="Q8" s="185" t="s">
        <v>916</v>
      </c>
      <c r="R8" s="186" t="s">
        <v>176</v>
      </c>
      <c r="S8" s="190">
        <v>193.0</v>
      </c>
      <c r="T8" s="190">
        <v>240.0</v>
      </c>
      <c r="U8" s="190">
        <v>231.0</v>
      </c>
      <c r="V8" s="190">
        <v>186.0</v>
      </c>
      <c r="W8" s="187" t="s">
        <v>899</v>
      </c>
      <c r="X8" s="180" t="s">
        <v>900</v>
      </c>
      <c r="Y8" s="178" t="s">
        <v>639</v>
      </c>
      <c r="Z8" s="180" t="s">
        <v>901</v>
      </c>
      <c r="AA8" s="178" t="s">
        <v>500</v>
      </c>
      <c r="AB8" s="178" t="s">
        <v>180</v>
      </c>
      <c r="AC8" s="178" t="s">
        <v>384</v>
      </c>
      <c r="AD8" s="178" t="s">
        <v>161</v>
      </c>
      <c r="AE8" s="178" t="s">
        <v>304</v>
      </c>
      <c r="AF8" s="188" t="s">
        <v>183</v>
      </c>
      <c r="AG8" s="271">
        <v>209.0</v>
      </c>
      <c r="AH8" s="276" t="s">
        <v>917</v>
      </c>
      <c r="AI8" s="279" t="s">
        <v>918</v>
      </c>
      <c r="AJ8" s="274">
        <v>899.0</v>
      </c>
      <c r="AK8" s="276" t="s">
        <v>919</v>
      </c>
      <c r="AL8" s="134">
        <f t="shared" si="1"/>
        <v>44582</v>
      </c>
      <c r="AM8" s="135">
        <f t="shared" si="2"/>
        <v>-132</v>
      </c>
      <c r="AN8" s="136" t="str">
        <f t="shared" si="3"/>
        <v>Reporte ok</v>
      </c>
      <c r="AO8" s="137"/>
      <c r="AP8" s="138"/>
    </row>
    <row r="9" ht="67.5" customHeight="1">
      <c r="A9" s="118"/>
      <c r="B9" s="177">
        <v>154.0</v>
      </c>
      <c r="C9" s="178" t="s">
        <v>290</v>
      </c>
      <c r="D9" s="178" t="s">
        <v>899</v>
      </c>
      <c r="E9" s="178" t="s">
        <v>292</v>
      </c>
      <c r="F9" s="179">
        <v>2.01901100028E12</v>
      </c>
      <c r="G9" s="180" t="s">
        <v>293</v>
      </c>
      <c r="H9" s="178" t="s">
        <v>294</v>
      </c>
      <c r="I9" s="178" t="s">
        <v>295</v>
      </c>
      <c r="J9" s="178" t="s">
        <v>296</v>
      </c>
      <c r="K9" s="181" t="s">
        <v>147</v>
      </c>
      <c r="L9" s="181" t="s">
        <v>125</v>
      </c>
      <c r="M9" s="181" t="s">
        <v>126</v>
      </c>
      <c r="N9" s="182" t="s">
        <v>785</v>
      </c>
      <c r="O9" s="183"/>
      <c r="P9" s="190">
        <v>1050.0</v>
      </c>
      <c r="Q9" s="185" t="s">
        <v>920</v>
      </c>
      <c r="R9" s="186" t="s">
        <v>170</v>
      </c>
      <c r="S9" s="190">
        <v>250.0</v>
      </c>
      <c r="T9" s="190">
        <v>250.0</v>
      </c>
      <c r="U9" s="190">
        <v>250.0</v>
      </c>
      <c r="V9" s="190">
        <v>300.0</v>
      </c>
      <c r="W9" s="187" t="s">
        <v>899</v>
      </c>
      <c r="X9" s="180" t="s">
        <v>900</v>
      </c>
      <c r="Y9" s="178" t="s">
        <v>639</v>
      </c>
      <c r="Z9" s="180" t="s">
        <v>901</v>
      </c>
      <c r="AA9" s="178" t="s">
        <v>500</v>
      </c>
      <c r="AB9" s="178" t="s">
        <v>180</v>
      </c>
      <c r="AC9" s="178" t="s">
        <v>303</v>
      </c>
      <c r="AD9" s="178" t="s">
        <v>161</v>
      </c>
      <c r="AE9" s="178" t="s">
        <v>748</v>
      </c>
      <c r="AF9" s="188" t="s">
        <v>183</v>
      </c>
      <c r="AG9" s="271">
        <v>411.0</v>
      </c>
      <c r="AH9" s="276" t="s">
        <v>921</v>
      </c>
      <c r="AI9" s="279" t="s">
        <v>922</v>
      </c>
      <c r="AJ9" s="274">
        <v>1803.0</v>
      </c>
      <c r="AK9" s="133" t="s">
        <v>923</v>
      </c>
      <c r="AL9" s="134">
        <f t="shared" si="1"/>
        <v>44582</v>
      </c>
      <c r="AM9" s="135">
        <f t="shared" si="2"/>
        <v>-132</v>
      </c>
      <c r="AN9" s="136" t="str">
        <f t="shared" si="3"/>
        <v>Reporte ok</v>
      </c>
      <c r="AO9" s="137"/>
      <c r="AP9" s="138"/>
    </row>
    <row r="10" ht="67.5" customHeight="1">
      <c r="A10" s="118"/>
      <c r="B10" s="177">
        <v>155.0</v>
      </c>
      <c r="C10" s="178" t="s">
        <v>290</v>
      </c>
      <c r="D10" s="178" t="s">
        <v>899</v>
      </c>
      <c r="E10" s="178" t="s">
        <v>292</v>
      </c>
      <c r="F10" s="179">
        <v>2.01901100028E12</v>
      </c>
      <c r="G10" s="180" t="s">
        <v>293</v>
      </c>
      <c r="H10" s="178" t="s">
        <v>294</v>
      </c>
      <c r="I10" s="178" t="s">
        <v>295</v>
      </c>
      <c r="J10" s="178" t="s">
        <v>296</v>
      </c>
      <c r="K10" s="181" t="s">
        <v>147</v>
      </c>
      <c r="L10" s="181" t="s">
        <v>125</v>
      </c>
      <c r="M10" s="181" t="s">
        <v>126</v>
      </c>
      <c r="N10" s="182" t="s">
        <v>924</v>
      </c>
      <c r="O10" s="183"/>
      <c r="P10" s="190">
        <v>120.0</v>
      </c>
      <c r="Q10" s="185" t="s">
        <v>925</v>
      </c>
      <c r="R10" s="186" t="s">
        <v>170</v>
      </c>
      <c r="S10" s="190">
        <v>80.0</v>
      </c>
      <c r="T10" s="190">
        <v>0.0</v>
      </c>
      <c r="U10" s="190">
        <v>0.0</v>
      </c>
      <c r="V10" s="190">
        <v>40.0</v>
      </c>
      <c r="W10" s="187" t="s">
        <v>899</v>
      </c>
      <c r="X10" s="180" t="s">
        <v>900</v>
      </c>
      <c r="Y10" s="178" t="s">
        <v>639</v>
      </c>
      <c r="Z10" s="180" t="s">
        <v>901</v>
      </c>
      <c r="AA10" s="178" t="s">
        <v>500</v>
      </c>
      <c r="AB10" s="178" t="s">
        <v>180</v>
      </c>
      <c r="AC10" s="178" t="s">
        <v>303</v>
      </c>
      <c r="AD10" s="178" t="s">
        <v>161</v>
      </c>
      <c r="AE10" s="178" t="s">
        <v>748</v>
      </c>
      <c r="AF10" s="188" t="s">
        <v>183</v>
      </c>
      <c r="AG10" s="271">
        <v>214.0</v>
      </c>
      <c r="AH10" s="276" t="s">
        <v>926</v>
      </c>
      <c r="AI10" s="279" t="s">
        <v>927</v>
      </c>
      <c r="AJ10" s="274">
        <v>408.0</v>
      </c>
      <c r="AK10" s="133" t="s">
        <v>928</v>
      </c>
      <c r="AL10" s="134">
        <f t="shared" si="1"/>
        <v>44582</v>
      </c>
      <c r="AM10" s="135">
        <f t="shared" si="2"/>
        <v>-132</v>
      </c>
      <c r="AN10" s="136" t="str">
        <f t="shared" si="3"/>
        <v>Reporte ok</v>
      </c>
      <c r="AO10" s="137"/>
      <c r="AP10" s="138"/>
    </row>
    <row r="11" ht="67.5" customHeight="1">
      <c r="A11" s="118"/>
      <c r="B11" s="177">
        <v>156.0</v>
      </c>
      <c r="C11" s="178" t="s">
        <v>290</v>
      </c>
      <c r="D11" s="178" t="s">
        <v>899</v>
      </c>
      <c r="E11" s="178" t="s">
        <v>292</v>
      </c>
      <c r="F11" s="179">
        <v>2.01901100028E12</v>
      </c>
      <c r="G11" s="180" t="s">
        <v>293</v>
      </c>
      <c r="H11" s="178" t="s">
        <v>294</v>
      </c>
      <c r="I11" s="178" t="s">
        <v>295</v>
      </c>
      <c r="J11" s="178" t="s">
        <v>296</v>
      </c>
      <c r="K11" s="181" t="s">
        <v>147</v>
      </c>
      <c r="L11" s="181" t="s">
        <v>125</v>
      </c>
      <c r="M11" s="181" t="s">
        <v>126</v>
      </c>
      <c r="N11" s="182" t="s">
        <v>929</v>
      </c>
      <c r="O11" s="183"/>
      <c r="P11" s="190">
        <v>1500.0</v>
      </c>
      <c r="Q11" s="185" t="s">
        <v>930</v>
      </c>
      <c r="R11" s="186" t="s">
        <v>170</v>
      </c>
      <c r="S11" s="190">
        <v>1500.0</v>
      </c>
      <c r="T11" s="190">
        <v>0.0</v>
      </c>
      <c r="U11" s="190">
        <v>0.0</v>
      </c>
      <c r="V11" s="190">
        <v>0.0</v>
      </c>
      <c r="W11" s="187" t="s">
        <v>899</v>
      </c>
      <c r="X11" s="180" t="s">
        <v>900</v>
      </c>
      <c r="Y11" s="178" t="s">
        <v>639</v>
      </c>
      <c r="Z11" s="180" t="s">
        <v>901</v>
      </c>
      <c r="AA11" s="178" t="s">
        <v>500</v>
      </c>
      <c r="AB11" s="178" t="s">
        <v>180</v>
      </c>
      <c r="AC11" s="178" t="s">
        <v>303</v>
      </c>
      <c r="AD11" s="178" t="s">
        <v>161</v>
      </c>
      <c r="AE11" s="178" t="s">
        <v>748</v>
      </c>
      <c r="AF11" s="188" t="s">
        <v>183</v>
      </c>
      <c r="AG11" s="271">
        <v>0.0</v>
      </c>
      <c r="AH11" s="276" t="s">
        <v>931</v>
      </c>
      <c r="AI11" s="278" t="s">
        <v>914</v>
      </c>
      <c r="AJ11" s="274">
        <v>5843.0</v>
      </c>
      <c r="AK11" s="133" t="s">
        <v>932</v>
      </c>
      <c r="AL11" s="134">
        <f t="shared" si="1"/>
        <v>44582</v>
      </c>
      <c r="AM11" s="135">
        <f t="shared" si="2"/>
        <v>-132</v>
      </c>
      <c r="AN11" s="136" t="str">
        <f t="shared" si="3"/>
        <v>Reporte ok</v>
      </c>
      <c r="AO11" s="137"/>
      <c r="AP11" s="138"/>
    </row>
    <row r="12" ht="67.5" customHeight="1">
      <c r="A12" s="118"/>
      <c r="B12" s="177"/>
      <c r="C12" s="178"/>
      <c r="D12" s="178"/>
      <c r="E12" s="178"/>
      <c r="F12" s="179"/>
      <c r="G12" s="180"/>
      <c r="H12" s="178"/>
      <c r="I12" s="178"/>
      <c r="J12" s="178"/>
      <c r="K12" s="181"/>
      <c r="L12" s="181"/>
      <c r="M12" s="181"/>
      <c r="N12" s="182"/>
      <c r="O12" s="183"/>
      <c r="P12" s="190"/>
      <c r="Q12" s="185"/>
      <c r="R12" s="186"/>
      <c r="S12" s="190"/>
      <c r="T12" s="190"/>
      <c r="U12" s="190"/>
      <c r="V12" s="190"/>
      <c r="W12" s="187"/>
      <c r="X12" s="180"/>
      <c r="Y12" s="178"/>
      <c r="Z12" s="180"/>
      <c r="AA12" s="178"/>
      <c r="AB12" s="178"/>
      <c r="AC12" s="178"/>
      <c r="AD12" s="178"/>
      <c r="AE12" s="178"/>
      <c r="AF12" s="188"/>
      <c r="AG12" s="146"/>
      <c r="AH12" s="280"/>
      <c r="AI12" s="148"/>
      <c r="AJ12" s="149"/>
      <c r="AK12" s="133"/>
      <c r="AL12" s="134"/>
      <c r="AM12" s="281"/>
      <c r="AN12" s="136"/>
      <c r="AO12" s="137"/>
      <c r="AP12" s="138"/>
    </row>
    <row r="13" ht="67.5" customHeight="1">
      <c r="A13" s="118"/>
      <c r="B13" s="177"/>
      <c r="C13" s="178"/>
      <c r="D13" s="178"/>
      <c r="E13" s="178"/>
      <c r="F13" s="179"/>
      <c r="G13" s="180"/>
      <c r="H13" s="178"/>
      <c r="I13" s="178"/>
      <c r="J13" s="178"/>
      <c r="K13" s="181"/>
      <c r="L13" s="181"/>
      <c r="M13" s="181"/>
      <c r="N13" s="182"/>
      <c r="O13" s="183"/>
      <c r="P13" s="190"/>
      <c r="Q13" s="185"/>
      <c r="R13" s="186"/>
      <c r="S13" s="190"/>
      <c r="T13" s="190"/>
      <c r="U13" s="190"/>
      <c r="V13" s="190"/>
      <c r="W13" s="187"/>
      <c r="X13" s="180"/>
      <c r="Y13" s="178"/>
      <c r="Z13" s="180"/>
      <c r="AA13" s="178"/>
      <c r="AB13" s="178"/>
      <c r="AC13" s="178"/>
      <c r="AD13" s="178"/>
      <c r="AE13" s="178"/>
      <c r="AF13" s="188"/>
      <c r="AG13" s="146"/>
      <c r="AH13" s="147"/>
      <c r="AI13" s="148"/>
      <c r="AJ13" s="149"/>
      <c r="AK13" s="133"/>
      <c r="AL13" s="134"/>
      <c r="AM13" s="135"/>
      <c r="AN13" s="136"/>
      <c r="AO13" s="137"/>
      <c r="AP13" s="138"/>
    </row>
    <row r="14" ht="67.5" customHeight="1">
      <c r="A14" s="118"/>
      <c r="B14" s="177"/>
      <c r="C14" s="178"/>
      <c r="D14" s="178"/>
      <c r="E14" s="178"/>
      <c r="F14" s="179"/>
      <c r="G14" s="180"/>
      <c r="H14" s="178"/>
      <c r="I14" s="178"/>
      <c r="J14" s="178"/>
      <c r="K14" s="181"/>
      <c r="L14" s="181"/>
      <c r="M14" s="181"/>
      <c r="N14" s="182"/>
      <c r="O14" s="183"/>
      <c r="P14" s="190"/>
      <c r="Q14" s="185"/>
      <c r="R14" s="186"/>
      <c r="S14" s="190"/>
      <c r="T14" s="190"/>
      <c r="U14" s="190"/>
      <c r="V14" s="190"/>
      <c r="W14" s="187"/>
      <c r="X14" s="180"/>
      <c r="Y14" s="178"/>
      <c r="Z14" s="180"/>
      <c r="AA14" s="178"/>
      <c r="AB14" s="178"/>
      <c r="AC14" s="178"/>
      <c r="AD14" s="178"/>
      <c r="AE14" s="178"/>
      <c r="AF14" s="188"/>
      <c r="AG14" s="146"/>
      <c r="AH14" s="147"/>
      <c r="AI14" s="148"/>
      <c r="AJ14" s="149"/>
      <c r="AK14" s="133"/>
      <c r="AL14" s="134"/>
      <c r="AM14" s="135"/>
      <c r="AN14" s="136"/>
      <c r="AO14" s="137"/>
      <c r="AP14" s="138"/>
    </row>
    <row r="15" ht="67.5" customHeight="1">
      <c r="A15" s="118"/>
      <c r="B15" s="177"/>
      <c r="C15" s="178"/>
      <c r="D15" s="178"/>
      <c r="E15" s="178"/>
      <c r="F15" s="179"/>
      <c r="G15" s="180"/>
      <c r="H15" s="178"/>
      <c r="I15" s="178"/>
      <c r="J15" s="178"/>
      <c r="K15" s="181"/>
      <c r="L15" s="181"/>
      <c r="M15" s="181"/>
      <c r="N15" s="182"/>
      <c r="O15" s="183"/>
      <c r="P15" s="190"/>
      <c r="Q15" s="185"/>
      <c r="R15" s="186"/>
      <c r="S15" s="190"/>
      <c r="T15" s="190"/>
      <c r="U15" s="190"/>
      <c r="V15" s="190"/>
      <c r="W15" s="187"/>
      <c r="X15" s="180"/>
      <c r="Y15" s="178"/>
      <c r="Z15" s="180"/>
      <c r="AA15" s="178"/>
      <c r="AB15" s="178"/>
      <c r="AC15" s="178"/>
      <c r="AD15" s="178"/>
      <c r="AE15" s="178"/>
      <c r="AF15" s="188"/>
      <c r="AG15" s="146"/>
      <c r="AH15" s="147"/>
      <c r="AI15" s="148"/>
      <c r="AJ15" s="149"/>
      <c r="AK15" s="133"/>
      <c r="AL15" s="134"/>
      <c r="AM15" s="135"/>
      <c r="AN15" s="136"/>
      <c r="AO15" s="137"/>
      <c r="AP15" s="138"/>
    </row>
    <row r="16" ht="67.5" customHeight="1">
      <c r="A16" s="118"/>
      <c r="B16" s="177"/>
      <c r="C16" s="178"/>
      <c r="D16" s="178"/>
      <c r="E16" s="178"/>
      <c r="F16" s="179"/>
      <c r="G16" s="180"/>
      <c r="H16" s="178"/>
      <c r="I16" s="178"/>
      <c r="J16" s="178"/>
      <c r="K16" s="181"/>
      <c r="L16" s="181"/>
      <c r="M16" s="181"/>
      <c r="N16" s="182"/>
      <c r="O16" s="183"/>
      <c r="P16" s="190"/>
      <c r="Q16" s="185"/>
      <c r="R16" s="186"/>
      <c r="S16" s="190"/>
      <c r="T16" s="190"/>
      <c r="U16" s="190"/>
      <c r="V16" s="190"/>
      <c r="W16" s="187"/>
      <c r="X16" s="180"/>
      <c r="Y16" s="178"/>
      <c r="Z16" s="180"/>
      <c r="AA16" s="178"/>
      <c r="AB16" s="178"/>
      <c r="AC16" s="178"/>
      <c r="AD16" s="178"/>
      <c r="AE16" s="178"/>
      <c r="AF16" s="188"/>
      <c r="AG16" s="146"/>
      <c r="AH16" s="147"/>
      <c r="AI16" s="148"/>
      <c r="AJ16" s="149"/>
      <c r="AK16" s="133"/>
      <c r="AL16" s="134"/>
      <c r="AM16" s="135"/>
      <c r="AN16" s="136"/>
      <c r="AO16" s="137"/>
      <c r="AP16" s="138"/>
    </row>
    <row r="17" ht="67.5" customHeight="1">
      <c r="A17" s="118"/>
      <c r="B17" s="192"/>
      <c r="C17" s="193"/>
      <c r="D17" s="193"/>
      <c r="E17" s="193"/>
      <c r="F17" s="194"/>
      <c r="G17" s="195"/>
      <c r="H17" s="193"/>
      <c r="I17" s="193"/>
      <c r="J17" s="193"/>
      <c r="K17" s="196"/>
      <c r="L17" s="196"/>
      <c r="M17" s="196"/>
      <c r="N17" s="197"/>
      <c r="O17" s="198"/>
      <c r="P17" s="199"/>
      <c r="Q17" s="200"/>
      <c r="R17" s="201"/>
      <c r="S17" s="199"/>
      <c r="T17" s="199"/>
      <c r="U17" s="199"/>
      <c r="V17" s="199"/>
      <c r="W17" s="202"/>
      <c r="X17" s="195"/>
      <c r="Y17" s="193"/>
      <c r="Z17" s="195"/>
      <c r="AA17" s="193"/>
      <c r="AB17" s="193"/>
      <c r="AC17" s="193"/>
      <c r="AD17" s="193"/>
      <c r="AE17" s="193"/>
      <c r="AF17" s="203"/>
      <c r="AG17" s="161"/>
      <c r="AH17" s="162"/>
      <c r="AI17" s="163"/>
      <c r="AJ17" s="164"/>
      <c r="AK17" s="165"/>
      <c r="AL17" s="166"/>
      <c r="AM17" s="167"/>
      <c r="AN17" s="168"/>
      <c r="AO17" s="169"/>
      <c r="AP17" s="138"/>
    </row>
    <row r="18" ht="15.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row>
  </sheetData>
  <autoFilter ref="$A$3:$AP$11"/>
  <mergeCells count="4">
    <mergeCell ref="B1:C1"/>
    <mergeCell ref="AG2:AI2"/>
    <mergeCell ref="AJ2:AK2"/>
    <mergeCell ref="AL2:AO2"/>
  </mergeCells>
  <conditionalFormatting sqref="AK4:AK7 AM4:AM17 AK9:AK18">
    <cfRule type="cellIs" dxfId="2" priority="1" operator="greaterThan">
      <formula>0</formula>
    </cfRule>
  </conditionalFormatting>
  <conditionalFormatting sqref="AK4:AK7 AM4:AM17 AK9:AK18">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AJ4:AJ17">
      <formula1>0.0</formula1>
      <formula2>5000000.0</formula2>
    </dataValidation>
  </dataValidations>
  <hyperlinks>
    <hyperlink display="Home" location="Home!A1" ref="B1"/>
    <hyperlink r:id="rId1" ref="AI4"/>
    <hyperlink r:id="rId2" ref="AI5"/>
    <hyperlink r:id="rId3" ref="AI6"/>
    <hyperlink r:id="rId4" ref="AI8"/>
    <hyperlink r:id="rId5" ref="AI9"/>
    <hyperlink r:id="rId6" ref="AI10"/>
  </hyperlinks>
  <printOptions gridLines="1" horizontalCentered="1"/>
  <pageMargins bottom="0.75" footer="0.0" header="0.0" left="0.7" right="0.7" top="0.75"/>
  <pageSetup cellComments="atEnd" orientation="portrait" pageOrder="overThenDown"/>
  <drawing r:id="rId7"/>
</worksheet>
</file>

<file path=xl/worksheets/sheet2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21" width="15.75"/>
    <col customWidth="1" min="22" max="22" width="15.75"/>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3" width="17.38"/>
    <col customWidth="1" min="34" max="34" width="81.75"/>
    <col customWidth="1" min="35" max="35" width="22.88"/>
    <col customWidth="1" min="36" max="36" width="21.75"/>
    <col customWidth="1" min="37" max="37" width="30.0"/>
    <col customWidth="1" min="38" max="38" width="15.75"/>
    <col customWidth="1" min="39" max="39" width="15.63"/>
    <col customWidth="1" min="40" max="40" width="16.38"/>
    <col customWidth="1" min="41" max="41" width="18.25"/>
    <col customWidth="1" min="42" max="42" width="3.88"/>
  </cols>
  <sheetData>
    <row r="1" ht="33.75" customHeight="1">
      <c r="A1" s="85"/>
      <c r="B1" s="86" t="s">
        <v>108</v>
      </c>
      <c r="C1" s="87"/>
      <c r="D1" s="88"/>
      <c r="E1" s="89"/>
      <c r="F1" s="90"/>
      <c r="G1" s="90"/>
      <c r="H1" s="90"/>
      <c r="I1" s="90"/>
      <c r="J1" s="90"/>
      <c r="K1" s="90"/>
      <c r="L1" s="90"/>
      <c r="M1" s="90"/>
      <c r="N1" s="90"/>
      <c r="O1" s="90"/>
      <c r="P1" s="90"/>
      <c r="Q1" s="90"/>
      <c r="R1" s="90"/>
      <c r="S1" s="90"/>
      <c r="T1" s="90"/>
      <c r="U1" s="90"/>
      <c r="V1" s="90"/>
      <c r="W1" s="90"/>
      <c r="X1" s="90"/>
      <c r="Y1" s="90"/>
      <c r="Z1" s="90"/>
      <c r="AA1" s="90"/>
      <c r="AB1" s="90"/>
      <c r="AC1" s="90"/>
      <c r="AD1" s="90"/>
      <c r="AE1" s="90"/>
      <c r="AF1" s="88"/>
      <c r="AG1" s="91" t="s">
        <v>109</v>
      </c>
      <c r="AH1" s="92">
        <v>1.0</v>
      </c>
      <c r="AI1" s="93" t="s">
        <v>110</v>
      </c>
      <c r="AJ1" s="94"/>
      <c r="AK1" s="282"/>
      <c r="AL1" s="96">
        <v>43466.0</v>
      </c>
      <c r="AM1" s="97">
        <f>Alertas!B6</f>
        <v>44582</v>
      </c>
      <c r="AN1" s="96">
        <f>TODAY()-1</f>
        <v>44714</v>
      </c>
      <c r="AO1" s="93"/>
      <c r="AP1" s="93"/>
    </row>
    <row r="2" ht="33.75" customHeight="1">
      <c r="A2" s="85"/>
      <c r="B2" s="88"/>
      <c r="C2" s="98"/>
      <c r="D2" s="99"/>
      <c r="E2" s="88"/>
      <c r="F2" s="100"/>
      <c r="G2" s="88"/>
      <c r="H2" s="88"/>
      <c r="I2" s="88"/>
      <c r="J2" s="88"/>
      <c r="K2" s="88"/>
      <c r="L2" s="88"/>
      <c r="M2" s="88"/>
      <c r="N2" s="88"/>
      <c r="O2" s="88"/>
      <c r="P2" s="88"/>
      <c r="Q2" s="88"/>
      <c r="R2" s="88"/>
      <c r="S2" s="88"/>
      <c r="T2" s="88"/>
      <c r="U2" s="88"/>
      <c r="V2" s="88"/>
      <c r="W2" s="88"/>
      <c r="X2" s="88"/>
      <c r="Y2" s="88"/>
      <c r="Z2" s="88"/>
      <c r="AA2" s="88"/>
      <c r="AB2" s="88"/>
      <c r="AC2" s="88"/>
      <c r="AD2" s="88"/>
      <c r="AE2" s="88"/>
      <c r="AF2" s="17"/>
      <c r="AG2" s="101" t="s">
        <v>111</v>
      </c>
      <c r="AH2" s="102"/>
      <c r="AI2" s="103"/>
      <c r="AJ2" s="104" t="s">
        <v>112</v>
      </c>
      <c r="AK2" s="103"/>
      <c r="AL2" s="104" t="s">
        <v>113</v>
      </c>
      <c r="AM2" s="102"/>
      <c r="AN2" s="102"/>
      <c r="AO2" s="103"/>
      <c r="AP2" s="105"/>
    </row>
    <row r="3" ht="33.75" customHeight="1">
      <c r="A3" s="106"/>
      <c r="B3" s="171" t="s">
        <v>40</v>
      </c>
      <c r="C3" s="172" t="s">
        <v>41</v>
      </c>
      <c r="D3" s="173" t="s">
        <v>42</v>
      </c>
      <c r="E3" s="173" t="s">
        <v>43</v>
      </c>
      <c r="F3" s="174" t="s">
        <v>44</v>
      </c>
      <c r="G3" s="175" t="s">
        <v>45</v>
      </c>
      <c r="H3" s="173" t="s">
        <v>46</v>
      </c>
      <c r="I3" s="175" t="s">
        <v>47</v>
      </c>
      <c r="J3" s="175" t="s">
        <v>48</v>
      </c>
      <c r="K3" s="175" t="s">
        <v>49</v>
      </c>
      <c r="L3" s="175" t="s">
        <v>50</v>
      </c>
      <c r="M3" s="173" t="s">
        <v>51</v>
      </c>
      <c r="N3" s="173" t="s">
        <v>52</v>
      </c>
      <c r="O3" s="175" t="s">
        <v>53</v>
      </c>
      <c r="P3" s="175" t="s">
        <v>54</v>
      </c>
      <c r="Q3" s="173" t="s">
        <v>55</v>
      </c>
      <c r="R3" s="173" t="s">
        <v>56</v>
      </c>
      <c r="S3" s="175" t="s">
        <v>57</v>
      </c>
      <c r="T3" s="175" t="s">
        <v>58</v>
      </c>
      <c r="U3" s="175" t="s">
        <v>59</v>
      </c>
      <c r="V3" s="175" t="s">
        <v>60</v>
      </c>
      <c r="W3" s="173" t="s">
        <v>61</v>
      </c>
      <c r="X3" s="172" t="s">
        <v>62</v>
      </c>
      <c r="Y3" s="172" t="s">
        <v>63</v>
      </c>
      <c r="Z3" s="172" t="s">
        <v>64</v>
      </c>
      <c r="AA3" s="172" t="s">
        <v>65</v>
      </c>
      <c r="AB3" s="172" t="s">
        <v>66</v>
      </c>
      <c r="AC3" s="172" t="s">
        <v>67</v>
      </c>
      <c r="AD3" s="172" t="s">
        <v>68</v>
      </c>
      <c r="AE3" s="172" t="s">
        <v>69</v>
      </c>
      <c r="AF3" s="176" t="s">
        <v>70</v>
      </c>
      <c r="AG3" s="113" t="s">
        <v>71</v>
      </c>
      <c r="AH3" s="114" t="s">
        <v>72</v>
      </c>
      <c r="AI3" s="115" t="s">
        <v>73</v>
      </c>
      <c r="AJ3" s="116" t="s">
        <v>114</v>
      </c>
      <c r="AK3" s="117" t="s">
        <v>115</v>
      </c>
      <c r="AL3" s="113" t="s">
        <v>74</v>
      </c>
      <c r="AM3" s="114" t="s">
        <v>116</v>
      </c>
      <c r="AN3" s="114" t="s">
        <v>76</v>
      </c>
      <c r="AO3" s="117" t="s">
        <v>117</v>
      </c>
      <c r="AP3" s="105"/>
    </row>
    <row r="4" ht="67.5" customHeight="1">
      <c r="A4" s="118"/>
      <c r="B4" s="177">
        <v>86.0</v>
      </c>
      <c r="C4" s="178" t="s">
        <v>372</v>
      </c>
      <c r="D4" s="178" t="s">
        <v>933</v>
      </c>
      <c r="E4" s="178" t="s">
        <v>374</v>
      </c>
      <c r="F4" s="179">
        <v>2.019011000276E12</v>
      </c>
      <c r="G4" s="180" t="s">
        <v>375</v>
      </c>
      <c r="H4" s="178" t="s">
        <v>388</v>
      </c>
      <c r="I4" s="178" t="s">
        <v>389</v>
      </c>
      <c r="J4" s="178" t="s">
        <v>390</v>
      </c>
      <c r="K4" s="181" t="s">
        <v>124</v>
      </c>
      <c r="L4" s="181" t="s">
        <v>125</v>
      </c>
      <c r="M4" s="181" t="s">
        <v>126</v>
      </c>
      <c r="N4" s="182" t="s">
        <v>391</v>
      </c>
      <c r="O4" s="183">
        <v>157.0</v>
      </c>
      <c r="P4" s="190">
        <v>280.0</v>
      </c>
      <c r="Q4" s="185" t="s">
        <v>934</v>
      </c>
      <c r="R4" s="186" t="s">
        <v>170</v>
      </c>
      <c r="S4" s="190">
        <v>36.0</v>
      </c>
      <c r="T4" s="190">
        <v>94.0</v>
      </c>
      <c r="U4" s="190">
        <v>92.0</v>
      </c>
      <c r="V4" s="190">
        <v>58.0</v>
      </c>
      <c r="W4" s="187" t="s">
        <v>933</v>
      </c>
      <c r="X4" s="180" t="s">
        <v>935</v>
      </c>
      <c r="Y4" s="178" t="s">
        <v>936</v>
      </c>
      <c r="Z4" s="180" t="s">
        <v>937</v>
      </c>
      <c r="AA4" s="178" t="s">
        <v>938</v>
      </c>
      <c r="AB4" s="178" t="s">
        <v>180</v>
      </c>
      <c r="AC4" s="178" t="s">
        <v>384</v>
      </c>
      <c r="AD4" s="178" t="s">
        <v>161</v>
      </c>
      <c r="AE4" s="178" t="s">
        <v>304</v>
      </c>
      <c r="AF4" s="188" t="s">
        <v>183</v>
      </c>
      <c r="AG4" s="191">
        <v>77.0</v>
      </c>
      <c r="AH4" s="139" t="s">
        <v>939</v>
      </c>
      <c r="AI4" s="227" t="s">
        <v>940</v>
      </c>
      <c r="AJ4" s="191">
        <v>343.0</v>
      </c>
      <c r="AK4" s="283" t="s">
        <v>941</v>
      </c>
      <c r="AL4" s="134">
        <f t="shared" ref="AL4:AL6" si="1">$AM$1</f>
        <v>44582</v>
      </c>
      <c r="AM4" s="135">
        <f t="shared" ref="AM4:AM6" si="2">AL4-$AN$1</f>
        <v>-132</v>
      </c>
      <c r="AN4" s="136" t="str">
        <f t="shared" ref="AN4:AN6" si="3">IF(ISBLANK(AG4),"Pend. Ejec. Trim."&amp;CHAR(10),)&amp;
IF(ISBLANK(AH4),"Pend. Just. Trim."&amp;CHAR(10),)&amp;
IF(ISBLANK(AI4),"Pend. Evid. Trim."&amp;CHAR(10),)&amp;
IF(ISBLANK(AJ4),"Pend. Ejec. Año"&amp;CHAR(10),)&amp;
IF(ISBLANK(AK4),"Pend. Evid. Año",)&amp;
IF(OR(ISBLANK(AG4),ISBLANK(AH4),ISBLANK(AI4),ISBLANK(AJ4),ISBLANK(AK4)),,"Reporte ok")</f>
        <v>Reporte ok</v>
      </c>
      <c r="AO4" s="137"/>
      <c r="AP4" s="138"/>
    </row>
    <row r="5" ht="67.5" customHeight="1">
      <c r="A5" s="118"/>
      <c r="B5" s="177">
        <v>87.0</v>
      </c>
      <c r="C5" s="178" t="s">
        <v>372</v>
      </c>
      <c r="D5" s="178" t="s">
        <v>933</v>
      </c>
      <c r="E5" s="178" t="s">
        <v>374</v>
      </c>
      <c r="F5" s="179">
        <v>2.019011000276E12</v>
      </c>
      <c r="G5" s="180" t="s">
        <v>375</v>
      </c>
      <c r="H5" s="178" t="s">
        <v>388</v>
      </c>
      <c r="I5" s="178" t="s">
        <v>389</v>
      </c>
      <c r="J5" s="178" t="s">
        <v>390</v>
      </c>
      <c r="K5" s="181" t="s">
        <v>147</v>
      </c>
      <c r="L5" s="181" t="s">
        <v>125</v>
      </c>
      <c r="M5" s="181" t="s">
        <v>126</v>
      </c>
      <c r="N5" s="182" t="s">
        <v>942</v>
      </c>
      <c r="O5" s="183"/>
      <c r="P5" s="190">
        <v>45.0</v>
      </c>
      <c r="Q5" s="185" t="s">
        <v>943</v>
      </c>
      <c r="R5" s="186" t="s">
        <v>170</v>
      </c>
      <c r="S5" s="190">
        <v>8.0</v>
      </c>
      <c r="T5" s="190">
        <v>10.0</v>
      </c>
      <c r="U5" s="190">
        <v>20.0</v>
      </c>
      <c r="V5" s="190">
        <v>7.0</v>
      </c>
      <c r="W5" s="187" t="s">
        <v>933</v>
      </c>
      <c r="X5" s="180" t="s">
        <v>935</v>
      </c>
      <c r="Y5" s="178" t="s">
        <v>936</v>
      </c>
      <c r="Z5" s="180" t="s">
        <v>937</v>
      </c>
      <c r="AA5" s="178" t="s">
        <v>938</v>
      </c>
      <c r="AB5" s="178" t="s">
        <v>180</v>
      </c>
      <c r="AC5" s="178" t="s">
        <v>384</v>
      </c>
      <c r="AD5" s="178" t="s">
        <v>161</v>
      </c>
      <c r="AE5" s="178" t="s">
        <v>304</v>
      </c>
      <c r="AF5" s="188" t="s">
        <v>183</v>
      </c>
      <c r="AG5" s="191">
        <v>8.0</v>
      </c>
      <c r="AH5" s="284" t="s">
        <v>944</v>
      </c>
      <c r="AI5" s="227" t="s">
        <v>945</v>
      </c>
      <c r="AJ5" s="191">
        <v>60.0</v>
      </c>
      <c r="AK5" s="283" t="s">
        <v>946</v>
      </c>
      <c r="AL5" s="134">
        <f t="shared" si="1"/>
        <v>44582</v>
      </c>
      <c r="AM5" s="135">
        <f t="shared" si="2"/>
        <v>-132</v>
      </c>
      <c r="AN5" s="136" t="str">
        <f t="shared" si="3"/>
        <v>Reporte ok</v>
      </c>
      <c r="AO5" s="137"/>
      <c r="AP5" s="138"/>
    </row>
    <row r="6" ht="67.5" customHeight="1">
      <c r="A6" s="118"/>
      <c r="B6" s="177">
        <v>88.0</v>
      </c>
      <c r="C6" s="178" t="s">
        <v>290</v>
      </c>
      <c r="D6" s="178" t="s">
        <v>933</v>
      </c>
      <c r="E6" s="178" t="s">
        <v>292</v>
      </c>
      <c r="F6" s="179">
        <v>2.01901100028E12</v>
      </c>
      <c r="G6" s="180" t="s">
        <v>293</v>
      </c>
      <c r="H6" s="178" t="s">
        <v>294</v>
      </c>
      <c r="I6" s="178" t="s">
        <v>295</v>
      </c>
      <c r="J6" s="178" t="s">
        <v>296</v>
      </c>
      <c r="K6" s="181" t="s">
        <v>124</v>
      </c>
      <c r="L6" s="181" t="s">
        <v>125</v>
      </c>
      <c r="M6" s="181" t="s">
        <v>126</v>
      </c>
      <c r="N6" s="182" t="s">
        <v>636</v>
      </c>
      <c r="O6" s="183">
        <v>-7140.0</v>
      </c>
      <c r="P6" s="190">
        <v>100.0</v>
      </c>
      <c r="Q6" s="185" t="s">
        <v>947</v>
      </c>
      <c r="R6" s="186" t="s">
        <v>170</v>
      </c>
      <c r="S6" s="190">
        <v>18.0</v>
      </c>
      <c r="T6" s="190">
        <v>26.0</v>
      </c>
      <c r="U6" s="190">
        <v>33.0</v>
      </c>
      <c r="V6" s="190">
        <v>23.0</v>
      </c>
      <c r="W6" s="187" t="s">
        <v>933</v>
      </c>
      <c r="X6" s="180" t="s">
        <v>935</v>
      </c>
      <c r="Y6" s="178" t="s">
        <v>936</v>
      </c>
      <c r="Z6" s="180" t="s">
        <v>937</v>
      </c>
      <c r="AA6" s="178" t="s">
        <v>938</v>
      </c>
      <c r="AB6" s="178" t="s">
        <v>180</v>
      </c>
      <c r="AC6" s="178" t="s">
        <v>303</v>
      </c>
      <c r="AD6" s="178" t="s">
        <v>161</v>
      </c>
      <c r="AE6" s="178" t="s">
        <v>304</v>
      </c>
      <c r="AF6" s="188" t="s">
        <v>183</v>
      </c>
      <c r="AG6" s="191">
        <v>42.0</v>
      </c>
      <c r="AH6" s="144" t="s">
        <v>948</v>
      </c>
      <c r="AI6" s="230" t="s">
        <v>949</v>
      </c>
      <c r="AJ6" s="191">
        <v>156.0</v>
      </c>
      <c r="AK6" s="283" t="s">
        <v>950</v>
      </c>
      <c r="AL6" s="134">
        <f t="shared" si="1"/>
        <v>44582</v>
      </c>
      <c r="AM6" s="135">
        <f t="shared" si="2"/>
        <v>-132</v>
      </c>
      <c r="AN6" s="136" t="str">
        <f t="shared" si="3"/>
        <v>Reporte ok</v>
      </c>
      <c r="AO6" s="137"/>
      <c r="AP6" s="138"/>
    </row>
    <row r="7" ht="67.5" customHeight="1">
      <c r="A7" s="118"/>
      <c r="B7" s="177">
        <v>89.0</v>
      </c>
      <c r="C7" s="178" t="s">
        <v>290</v>
      </c>
      <c r="D7" s="178" t="s">
        <v>933</v>
      </c>
      <c r="E7" s="178" t="s">
        <v>292</v>
      </c>
      <c r="F7" s="179">
        <v>2.01901100028E12</v>
      </c>
      <c r="G7" s="180" t="s">
        <v>293</v>
      </c>
      <c r="H7" s="178" t="s">
        <v>294</v>
      </c>
      <c r="I7" s="178" t="s">
        <v>295</v>
      </c>
      <c r="J7" s="178" t="s">
        <v>350</v>
      </c>
      <c r="K7" s="181" t="s">
        <v>147</v>
      </c>
      <c r="L7" s="181" t="s">
        <v>125</v>
      </c>
      <c r="M7" s="181" t="s">
        <v>126</v>
      </c>
      <c r="N7" s="182" t="s">
        <v>951</v>
      </c>
      <c r="O7" s="183"/>
      <c r="P7" s="190">
        <v>20.0</v>
      </c>
      <c r="Q7" s="185" t="s">
        <v>952</v>
      </c>
      <c r="R7" s="186" t="s">
        <v>170</v>
      </c>
      <c r="S7" s="190">
        <v>3.0</v>
      </c>
      <c r="T7" s="190">
        <v>3.0</v>
      </c>
      <c r="U7" s="190">
        <v>7.0</v>
      </c>
      <c r="V7" s="190">
        <v>7.0</v>
      </c>
      <c r="W7" s="187" t="s">
        <v>933</v>
      </c>
      <c r="X7" s="180" t="s">
        <v>935</v>
      </c>
      <c r="Y7" s="178" t="s">
        <v>936</v>
      </c>
      <c r="Z7" s="180" t="s">
        <v>937</v>
      </c>
      <c r="AA7" s="178" t="s">
        <v>938</v>
      </c>
      <c r="AB7" s="178" t="s">
        <v>180</v>
      </c>
      <c r="AC7" s="178" t="s">
        <v>303</v>
      </c>
      <c r="AD7" s="178" t="s">
        <v>161</v>
      </c>
      <c r="AE7" s="178" t="s">
        <v>304</v>
      </c>
      <c r="AF7" s="188" t="s">
        <v>183</v>
      </c>
      <c r="AG7" s="191">
        <v>8.0</v>
      </c>
      <c r="AH7" s="144" t="s">
        <v>953</v>
      </c>
      <c r="AI7" s="230" t="s">
        <v>954</v>
      </c>
      <c r="AJ7" s="191">
        <v>26.0</v>
      </c>
      <c r="AK7" s="283" t="s">
        <v>955</v>
      </c>
      <c r="AL7" s="134"/>
      <c r="AM7" s="135"/>
      <c r="AN7" s="136"/>
      <c r="AO7" s="137"/>
      <c r="AP7" s="138"/>
    </row>
    <row r="8" ht="67.5" customHeight="1">
      <c r="A8" s="118"/>
      <c r="B8" s="177">
        <v>90.0</v>
      </c>
      <c r="C8" s="178" t="s">
        <v>290</v>
      </c>
      <c r="D8" s="178" t="s">
        <v>933</v>
      </c>
      <c r="E8" s="178" t="s">
        <v>292</v>
      </c>
      <c r="F8" s="179">
        <v>2.01901100028E12</v>
      </c>
      <c r="G8" s="180" t="s">
        <v>293</v>
      </c>
      <c r="H8" s="178" t="s">
        <v>294</v>
      </c>
      <c r="I8" s="178" t="s">
        <v>295</v>
      </c>
      <c r="J8" s="178" t="s">
        <v>296</v>
      </c>
      <c r="K8" s="181" t="s">
        <v>124</v>
      </c>
      <c r="L8" s="181" t="s">
        <v>125</v>
      </c>
      <c r="M8" s="181" t="s">
        <v>126</v>
      </c>
      <c r="N8" s="182" t="s">
        <v>636</v>
      </c>
      <c r="O8" s="183">
        <v>-7140.0</v>
      </c>
      <c r="P8" s="190">
        <v>1300.0</v>
      </c>
      <c r="Q8" s="185" t="s">
        <v>956</v>
      </c>
      <c r="R8" s="186" t="s">
        <v>170</v>
      </c>
      <c r="S8" s="190">
        <v>110.0</v>
      </c>
      <c r="T8" s="190">
        <v>290.0</v>
      </c>
      <c r="U8" s="190">
        <v>515.0</v>
      </c>
      <c r="V8" s="190">
        <v>385.0</v>
      </c>
      <c r="W8" s="187" t="s">
        <v>933</v>
      </c>
      <c r="X8" s="180" t="s">
        <v>935</v>
      </c>
      <c r="Y8" s="178" t="s">
        <v>936</v>
      </c>
      <c r="Z8" s="180" t="s">
        <v>937</v>
      </c>
      <c r="AA8" s="178" t="s">
        <v>938</v>
      </c>
      <c r="AB8" s="178" t="s">
        <v>180</v>
      </c>
      <c r="AC8" s="178" t="s">
        <v>303</v>
      </c>
      <c r="AD8" s="178" t="s">
        <v>161</v>
      </c>
      <c r="AE8" s="178" t="s">
        <v>304</v>
      </c>
      <c r="AF8" s="188" t="s">
        <v>183</v>
      </c>
      <c r="AG8" s="191">
        <v>386.0</v>
      </c>
      <c r="AH8" s="144" t="s">
        <v>957</v>
      </c>
      <c r="AI8" s="230" t="s">
        <v>958</v>
      </c>
      <c r="AJ8" s="191">
        <v>1566.0</v>
      </c>
      <c r="AK8" s="283" t="s">
        <v>959</v>
      </c>
      <c r="AL8" s="134"/>
      <c r="AM8" s="135"/>
      <c r="AN8" s="136"/>
      <c r="AO8" s="137"/>
      <c r="AP8" s="138"/>
    </row>
    <row r="9" ht="67.5" customHeight="1">
      <c r="A9" s="118"/>
      <c r="B9" s="177">
        <v>91.0</v>
      </c>
      <c r="C9" s="178" t="s">
        <v>290</v>
      </c>
      <c r="D9" s="178" t="s">
        <v>933</v>
      </c>
      <c r="E9" s="178" t="s">
        <v>292</v>
      </c>
      <c r="F9" s="179">
        <v>2.01901100028E12</v>
      </c>
      <c r="G9" s="180" t="s">
        <v>293</v>
      </c>
      <c r="H9" s="178" t="s">
        <v>294</v>
      </c>
      <c r="I9" s="178" t="s">
        <v>295</v>
      </c>
      <c r="J9" s="178" t="s">
        <v>350</v>
      </c>
      <c r="K9" s="181" t="s">
        <v>147</v>
      </c>
      <c r="L9" s="181" t="s">
        <v>125</v>
      </c>
      <c r="M9" s="181" t="s">
        <v>126</v>
      </c>
      <c r="N9" s="182" t="s">
        <v>738</v>
      </c>
      <c r="O9" s="183"/>
      <c r="P9" s="190">
        <v>40.0</v>
      </c>
      <c r="Q9" s="185" t="s">
        <v>960</v>
      </c>
      <c r="R9" s="186" t="s">
        <v>170</v>
      </c>
      <c r="S9" s="190">
        <v>4.0</v>
      </c>
      <c r="T9" s="190">
        <v>10.0</v>
      </c>
      <c r="U9" s="190">
        <v>12.0</v>
      </c>
      <c r="V9" s="190">
        <v>14.0</v>
      </c>
      <c r="W9" s="187" t="s">
        <v>933</v>
      </c>
      <c r="X9" s="180" t="s">
        <v>935</v>
      </c>
      <c r="Y9" s="178" t="s">
        <v>936</v>
      </c>
      <c r="Z9" s="180" t="s">
        <v>937</v>
      </c>
      <c r="AA9" s="178" t="s">
        <v>938</v>
      </c>
      <c r="AB9" s="178" t="s">
        <v>180</v>
      </c>
      <c r="AC9" s="178" t="s">
        <v>135</v>
      </c>
      <c r="AD9" s="178" t="s">
        <v>161</v>
      </c>
      <c r="AE9" s="178" t="s">
        <v>304</v>
      </c>
      <c r="AF9" s="188" t="s">
        <v>183</v>
      </c>
      <c r="AG9" s="191">
        <v>16.0</v>
      </c>
      <c r="AH9" s="144" t="s">
        <v>961</v>
      </c>
      <c r="AI9" s="230" t="s">
        <v>962</v>
      </c>
      <c r="AJ9" s="191">
        <v>54.0</v>
      </c>
      <c r="AK9" s="283" t="s">
        <v>963</v>
      </c>
      <c r="AL9" s="134"/>
      <c r="AM9" s="135"/>
      <c r="AN9" s="136"/>
      <c r="AO9" s="137"/>
      <c r="AP9" s="138"/>
    </row>
    <row r="10" ht="67.5" customHeight="1">
      <c r="A10" s="118"/>
      <c r="B10" s="177">
        <v>92.0</v>
      </c>
      <c r="C10" s="178" t="s">
        <v>290</v>
      </c>
      <c r="D10" s="178" t="s">
        <v>933</v>
      </c>
      <c r="E10" s="178" t="s">
        <v>292</v>
      </c>
      <c r="F10" s="179">
        <v>2.01901100028E12</v>
      </c>
      <c r="G10" s="180" t="s">
        <v>293</v>
      </c>
      <c r="H10" s="178" t="s">
        <v>294</v>
      </c>
      <c r="I10" s="178" t="s">
        <v>308</v>
      </c>
      <c r="J10" s="178" t="s">
        <v>333</v>
      </c>
      <c r="K10" s="181" t="s">
        <v>124</v>
      </c>
      <c r="L10" s="181" t="s">
        <v>125</v>
      </c>
      <c r="M10" s="181" t="s">
        <v>126</v>
      </c>
      <c r="N10" s="182" t="s">
        <v>310</v>
      </c>
      <c r="O10" s="183">
        <v>-3.0</v>
      </c>
      <c r="P10" s="190">
        <v>2.0</v>
      </c>
      <c r="Q10" s="185" t="s">
        <v>335</v>
      </c>
      <c r="R10" s="186" t="s">
        <v>170</v>
      </c>
      <c r="S10" s="190">
        <v>0.0</v>
      </c>
      <c r="T10" s="190">
        <v>1.0</v>
      </c>
      <c r="U10" s="190">
        <v>1.0</v>
      </c>
      <c r="V10" s="190">
        <v>0.0</v>
      </c>
      <c r="W10" s="187" t="s">
        <v>933</v>
      </c>
      <c r="X10" s="180" t="s">
        <v>935</v>
      </c>
      <c r="Y10" s="178" t="s">
        <v>936</v>
      </c>
      <c r="Z10" s="180" t="s">
        <v>937</v>
      </c>
      <c r="AA10" s="178" t="s">
        <v>938</v>
      </c>
      <c r="AB10" s="178" t="s">
        <v>180</v>
      </c>
      <c r="AC10" s="178" t="s">
        <v>384</v>
      </c>
      <c r="AD10" s="178" t="s">
        <v>161</v>
      </c>
      <c r="AE10" s="178" t="s">
        <v>304</v>
      </c>
      <c r="AF10" s="188" t="s">
        <v>183</v>
      </c>
      <c r="AG10" s="191">
        <v>0.0</v>
      </c>
      <c r="AH10" s="144" t="s">
        <v>964</v>
      </c>
      <c r="AI10" s="245"/>
      <c r="AJ10" s="191">
        <v>2.0</v>
      </c>
      <c r="AK10" s="283" t="s">
        <v>965</v>
      </c>
      <c r="AL10" s="134"/>
      <c r="AM10" s="135"/>
      <c r="AN10" s="136"/>
      <c r="AO10" s="137"/>
      <c r="AP10" s="138"/>
    </row>
    <row r="11" ht="67.5" customHeight="1">
      <c r="A11" s="118"/>
      <c r="B11" s="177">
        <v>93.0</v>
      </c>
      <c r="C11" s="178" t="s">
        <v>290</v>
      </c>
      <c r="D11" s="178" t="s">
        <v>933</v>
      </c>
      <c r="E11" s="178" t="s">
        <v>292</v>
      </c>
      <c r="F11" s="179">
        <v>2.01901100028E12</v>
      </c>
      <c r="G11" s="180" t="s">
        <v>293</v>
      </c>
      <c r="H11" s="178" t="s">
        <v>294</v>
      </c>
      <c r="I11" s="178" t="s">
        <v>308</v>
      </c>
      <c r="J11" s="178" t="s">
        <v>309</v>
      </c>
      <c r="K11" s="181" t="s">
        <v>124</v>
      </c>
      <c r="L11" s="181" t="s">
        <v>125</v>
      </c>
      <c r="M11" s="181" t="s">
        <v>126</v>
      </c>
      <c r="N11" s="182" t="s">
        <v>310</v>
      </c>
      <c r="O11" s="183">
        <v>-3.0</v>
      </c>
      <c r="P11" s="190">
        <v>1.0</v>
      </c>
      <c r="Q11" s="185" t="s">
        <v>966</v>
      </c>
      <c r="R11" s="186" t="s">
        <v>170</v>
      </c>
      <c r="S11" s="190">
        <v>0.0</v>
      </c>
      <c r="T11" s="190">
        <v>0.0</v>
      </c>
      <c r="U11" s="190">
        <v>0.0</v>
      </c>
      <c r="V11" s="190">
        <v>1.0</v>
      </c>
      <c r="W11" s="187" t="s">
        <v>933</v>
      </c>
      <c r="X11" s="180" t="s">
        <v>935</v>
      </c>
      <c r="Y11" s="178" t="s">
        <v>936</v>
      </c>
      <c r="Z11" s="180" t="s">
        <v>937</v>
      </c>
      <c r="AA11" s="178" t="s">
        <v>938</v>
      </c>
      <c r="AB11" s="178" t="s">
        <v>180</v>
      </c>
      <c r="AC11" s="178" t="s">
        <v>384</v>
      </c>
      <c r="AD11" s="178" t="s">
        <v>161</v>
      </c>
      <c r="AE11" s="178" t="s">
        <v>304</v>
      </c>
      <c r="AF11" s="188" t="s">
        <v>183</v>
      </c>
      <c r="AG11" s="191">
        <v>1.0</v>
      </c>
      <c r="AH11" s="229" t="s">
        <v>967</v>
      </c>
      <c r="AI11" s="230" t="s">
        <v>968</v>
      </c>
      <c r="AJ11" s="191">
        <v>1.0</v>
      </c>
      <c r="AK11" s="283" t="s">
        <v>969</v>
      </c>
      <c r="AL11" s="134"/>
      <c r="AM11" s="135"/>
      <c r="AN11" s="136"/>
      <c r="AO11" s="137"/>
      <c r="AP11" s="138"/>
    </row>
    <row r="12" ht="67.5" customHeight="1">
      <c r="A12" s="118"/>
      <c r="B12" s="177"/>
      <c r="C12" s="178"/>
      <c r="D12" s="178"/>
      <c r="E12" s="178"/>
      <c r="F12" s="179"/>
      <c r="G12" s="180"/>
      <c r="H12" s="178"/>
      <c r="I12" s="178"/>
      <c r="J12" s="178"/>
      <c r="K12" s="181"/>
      <c r="L12" s="181"/>
      <c r="M12" s="181"/>
      <c r="N12" s="182"/>
      <c r="O12" s="183"/>
      <c r="P12" s="190"/>
      <c r="Q12" s="185"/>
      <c r="R12" s="186"/>
      <c r="S12" s="190"/>
      <c r="T12" s="190"/>
      <c r="U12" s="190"/>
      <c r="V12" s="190"/>
      <c r="W12" s="187"/>
      <c r="X12" s="180"/>
      <c r="Y12" s="178"/>
      <c r="Z12" s="180"/>
      <c r="AA12" s="178"/>
      <c r="AB12" s="178"/>
      <c r="AC12" s="178"/>
      <c r="AD12" s="178"/>
      <c r="AE12" s="178"/>
      <c r="AF12" s="188"/>
      <c r="AG12" s="146"/>
      <c r="AH12" s="147"/>
      <c r="AI12" s="245"/>
      <c r="AJ12" s="149"/>
      <c r="AK12" s="133"/>
      <c r="AL12" s="134"/>
      <c r="AM12" s="135"/>
      <c r="AN12" s="136"/>
      <c r="AO12" s="137"/>
      <c r="AP12" s="138"/>
    </row>
    <row r="13" ht="67.5" customHeight="1">
      <c r="A13" s="118"/>
      <c r="B13" s="177"/>
      <c r="C13" s="178"/>
      <c r="D13" s="178"/>
      <c r="E13" s="178"/>
      <c r="F13" s="179"/>
      <c r="G13" s="180"/>
      <c r="H13" s="178"/>
      <c r="I13" s="178"/>
      <c r="J13" s="178"/>
      <c r="K13" s="181"/>
      <c r="L13" s="181"/>
      <c r="M13" s="181"/>
      <c r="N13" s="182"/>
      <c r="O13" s="183"/>
      <c r="P13" s="190"/>
      <c r="Q13" s="185"/>
      <c r="R13" s="186"/>
      <c r="S13" s="190"/>
      <c r="T13" s="190"/>
      <c r="U13" s="190"/>
      <c r="V13" s="190"/>
      <c r="W13" s="187"/>
      <c r="X13" s="180"/>
      <c r="Y13" s="178"/>
      <c r="Z13" s="180"/>
      <c r="AA13" s="178"/>
      <c r="AB13" s="178"/>
      <c r="AC13" s="178"/>
      <c r="AD13" s="178"/>
      <c r="AE13" s="178"/>
      <c r="AF13" s="188"/>
      <c r="AG13" s="146"/>
      <c r="AH13" s="147"/>
      <c r="AI13" s="245"/>
      <c r="AJ13" s="149"/>
      <c r="AK13" s="133"/>
      <c r="AL13" s="134"/>
      <c r="AM13" s="135"/>
      <c r="AN13" s="136"/>
      <c r="AO13" s="137"/>
      <c r="AP13" s="138"/>
    </row>
    <row r="14" ht="67.5" customHeight="1">
      <c r="A14" s="118"/>
      <c r="B14" s="177"/>
      <c r="C14" s="178"/>
      <c r="D14" s="178"/>
      <c r="E14" s="178"/>
      <c r="F14" s="179"/>
      <c r="G14" s="180"/>
      <c r="H14" s="178"/>
      <c r="I14" s="178"/>
      <c r="J14" s="178"/>
      <c r="K14" s="181"/>
      <c r="L14" s="181"/>
      <c r="M14" s="181"/>
      <c r="N14" s="182"/>
      <c r="O14" s="183"/>
      <c r="P14" s="190"/>
      <c r="Q14" s="185"/>
      <c r="R14" s="186"/>
      <c r="S14" s="190"/>
      <c r="T14" s="190"/>
      <c r="U14" s="190"/>
      <c r="V14" s="190"/>
      <c r="W14" s="187"/>
      <c r="X14" s="180"/>
      <c r="Y14" s="178"/>
      <c r="Z14" s="180"/>
      <c r="AA14" s="178"/>
      <c r="AB14" s="178"/>
      <c r="AC14" s="178"/>
      <c r="AD14" s="178"/>
      <c r="AE14" s="178"/>
      <c r="AF14" s="188"/>
      <c r="AG14" s="146"/>
      <c r="AH14" s="147"/>
      <c r="AI14" s="245"/>
      <c r="AJ14" s="149"/>
      <c r="AK14" s="133"/>
      <c r="AL14" s="134"/>
      <c r="AM14" s="135"/>
      <c r="AN14" s="136"/>
      <c r="AO14" s="137"/>
      <c r="AP14" s="138"/>
    </row>
    <row r="15" ht="67.5" customHeight="1">
      <c r="A15" s="118"/>
      <c r="B15" s="177"/>
      <c r="C15" s="178"/>
      <c r="D15" s="178"/>
      <c r="E15" s="178"/>
      <c r="F15" s="179"/>
      <c r="G15" s="180"/>
      <c r="H15" s="178"/>
      <c r="I15" s="178"/>
      <c r="J15" s="178"/>
      <c r="K15" s="181"/>
      <c r="L15" s="181"/>
      <c r="M15" s="181"/>
      <c r="N15" s="182"/>
      <c r="O15" s="183"/>
      <c r="P15" s="190"/>
      <c r="Q15" s="185"/>
      <c r="R15" s="186"/>
      <c r="S15" s="190"/>
      <c r="T15" s="190"/>
      <c r="U15" s="190"/>
      <c r="V15" s="190"/>
      <c r="W15" s="187"/>
      <c r="X15" s="180"/>
      <c r="Y15" s="178"/>
      <c r="Z15" s="180"/>
      <c r="AA15" s="178"/>
      <c r="AB15" s="178"/>
      <c r="AC15" s="178"/>
      <c r="AD15" s="178"/>
      <c r="AE15" s="178"/>
      <c r="AF15" s="188"/>
      <c r="AG15" s="146"/>
      <c r="AH15" s="147"/>
      <c r="AI15" s="245"/>
      <c r="AJ15" s="149"/>
      <c r="AK15" s="133"/>
      <c r="AL15" s="134"/>
      <c r="AM15" s="135"/>
      <c r="AN15" s="136"/>
      <c r="AO15" s="137"/>
      <c r="AP15" s="138"/>
    </row>
    <row r="16" ht="67.5" customHeight="1">
      <c r="A16" s="118"/>
      <c r="B16" s="177"/>
      <c r="C16" s="178"/>
      <c r="D16" s="178"/>
      <c r="E16" s="178"/>
      <c r="F16" s="179"/>
      <c r="G16" s="180"/>
      <c r="H16" s="178"/>
      <c r="I16" s="178"/>
      <c r="J16" s="178"/>
      <c r="K16" s="181"/>
      <c r="L16" s="181"/>
      <c r="M16" s="181"/>
      <c r="N16" s="182"/>
      <c r="O16" s="183"/>
      <c r="P16" s="190"/>
      <c r="Q16" s="185"/>
      <c r="R16" s="186"/>
      <c r="S16" s="190"/>
      <c r="T16" s="190"/>
      <c r="U16" s="190"/>
      <c r="V16" s="190"/>
      <c r="W16" s="187"/>
      <c r="X16" s="180"/>
      <c r="Y16" s="178"/>
      <c r="Z16" s="180"/>
      <c r="AA16" s="178"/>
      <c r="AB16" s="178"/>
      <c r="AC16" s="178"/>
      <c r="AD16" s="178"/>
      <c r="AE16" s="178"/>
      <c r="AF16" s="188"/>
      <c r="AG16" s="146"/>
      <c r="AH16" s="147"/>
      <c r="AI16" s="245"/>
      <c r="AJ16" s="149"/>
      <c r="AK16" s="133"/>
      <c r="AL16" s="134"/>
      <c r="AM16" s="135"/>
      <c r="AN16" s="136"/>
      <c r="AO16" s="137"/>
      <c r="AP16" s="138"/>
    </row>
    <row r="17" ht="67.5" customHeight="1">
      <c r="A17" s="118"/>
      <c r="B17" s="192"/>
      <c r="C17" s="193"/>
      <c r="D17" s="193"/>
      <c r="E17" s="193"/>
      <c r="F17" s="194"/>
      <c r="G17" s="195"/>
      <c r="H17" s="193"/>
      <c r="I17" s="193"/>
      <c r="J17" s="193"/>
      <c r="K17" s="196"/>
      <c r="L17" s="196"/>
      <c r="M17" s="196"/>
      <c r="N17" s="197"/>
      <c r="O17" s="198"/>
      <c r="P17" s="199"/>
      <c r="Q17" s="200"/>
      <c r="R17" s="201"/>
      <c r="S17" s="199"/>
      <c r="T17" s="199"/>
      <c r="U17" s="199"/>
      <c r="V17" s="199"/>
      <c r="W17" s="202"/>
      <c r="X17" s="195"/>
      <c r="Y17" s="193"/>
      <c r="Z17" s="195"/>
      <c r="AA17" s="193"/>
      <c r="AB17" s="193"/>
      <c r="AC17" s="193"/>
      <c r="AD17" s="193"/>
      <c r="AE17" s="193"/>
      <c r="AF17" s="203"/>
      <c r="AG17" s="161"/>
      <c r="AH17" s="162"/>
      <c r="AI17" s="247"/>
      <c r="AJ17" s="164"/>
      <c r="AK17" s="165"/>
      <c r="AL17" s="166"/>
      <c r="AM17" s="167"/>
      <c r="AN17" s="168"/>
      <c r="AO17" s="169"/>
      <c r="AP17" s="138"/>
    </row>
    <row r="18" ht="15.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285"/>
      <c r="AJ18" s="88"/>
      <c r="AK18" s="285"/>
      <c r="AL18" s="88"/>
      <c r="AM18" s="88"/>
      <c r="AN18" s="88"/>
      <c r="AO18" s="88"/>
      <c r="AP18" s="88"/>
    </row>
  </sheetData>
  <autoFilter ref="$A$3:$AP$11"/>
  <mergeCells count="4">
    <mergeCell ref="B1:C1"/>
    <mergeCell ref="AG2:AI2"/>
    <mergeCell ref="AJ2:AK2"/>
    <mergeCell ref="AL2:AO2"/>
  </mergeCells>
  <conditionalFormatting sqref="AK4:AK17 AM4:AM17">
    <cfRule type="cellIs" dxfId="2" priority="1" operator="greaterThan">
      <formula>0</formula>
    </cfRule>
  </conditionalFormatting>
  <conditionalFormatting sqref="AK4:AK17 AM4:AM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AJ4:AJ17">
      <formula1>0.0</formula1>
      <formula2>5000000.0</formula2>
    </dataValidation>
  </dataValidations>
  <hyperlinks>
    <hyperlink display="Home" location="Home!A1" ref="B1"/>
    <hyperlink r:id="rId1" ref="AI4"/>
    <hyperlink r:id="rId2" ref="AI5"/>
    <hyperlink r:id="rId3" ref="AI6"/>
    <hyperlink r:id="rId4" ref="AI7"/>
    <hyperlink r:id="rId5" ref="AI8"/>
    <hyperlink r:id="rId6" ref="AI9"/>
    <hyperlink r:id="rId7" ref="AI11"/>
  </hyperlinks>
  <printOptions gridLines="1" horizontalCentered="1"/>
  <pageMargins bottom="0.75" footer="0.0" header="0.0" left="0.7" right="0.7" top="0.75"/>
  <pageSetup cellComments="atEnd" orientation="portrait" pageOrder="overThenDown"/>
  <drawing r:id="rId8"/>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63"/>
    <col customWidth="1" min="2" max="2" width="64.38"/>
    <col customWidth="1" min="3" max="3" width="2.63"/>
    <col customWidth="1" min="4" max="4" width="61.0"/>
    <col customWidth="1" min="5" max="5" width="2.63"/>
  </cols>
  <sheetData>
    <row r="2">
      <c r="A2" s="15"/>
      <c r="B2" s="16" t="s">
        <v>31</v>
      </c>
      <c r="C2" s="17"/>
      <c r="D2" s="18" t="s">
        <v>32</v>
      </c>
    </row>
    <row r="3">
      <c r="A3" s="15"/>
      <c r="B3" s="16" t="s">
        <v>33</v>
      </c>
      <c r="C3" s="17"/>
      <c r="D3" s="17"/>
    </row>
    <row r="4">
      <c r="A4" s="15"/>
      <c r="B4" s="16" t="s">
        <v>34</v>
      </c>
      <c r="C4" s="19"/>
      <c r="D4" s="18" t="s">
        <v>35</v>
      </c>
    </row>
    <row r="5">
      <c r="D5" s="20"/>
    </row>
    <row r="6">
      <c r="B6" s="21">
        <v>44582.0</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2.63"/>
    <col customWidth="1" min="2" max="2" width="6.63"/>
    <col customWidth="1" min="3" max="3" width="14.0"/>
    <col customWidth="1" min="4" max="4" width="26.38"/>
    <col customWidth="1" min="5" max="5" width="14.5"/>
    <col customWidth="1" min="6" max="6" width="10.63"/>
    <col customWidth="1" min="7" max="7" width="16.88"/>
    <col customWidth="1" min="8" max="8" width="19.25"/>
    <col customWidth="1" min="9" max="9" width="13.75"/>
    <col customWidth="1" min="10" max="10" width="26.38"/>
    <col customWidth="1" min="11" max="11" width="12.88"/>
    <col customWidth="1" min="12" max="12" width="11.25"/>
    <col customWidth="1" min="13" max="13" width="11.75"/>
    <col customWidth="1" min="14" max="14" width="12.25"/>
    <col customWidth="1" hidden="1" min="15" max="15" width="12.38"/>
    <col customWidth="1" min="16" max="16" width="21.25"/>
    <col customWidth="1" min="17" max="17" width="21.0"/>
    <col customWidth="1" min="18" max="18" width="19.88"/>
    <col customWidth="1" min="19" max="19" width="11.25"/>
    <col customWidth="1" min="20" max="20" width="11.75"/>
    <col customWidth="1" min="21" max="21" width="12.25"/>
    <col customWidth="1" min="22" max="22" width="12.38"/>
    <col customWidth="1" min="23" max="23" width="15.25"/>
    <col customWidth="1" min="24" max="24" width="16.0"/>
    <col customWidth="1" min="25" max="25" width="15.5"/>
    <col customWidth="1" min="26" max="27" width="15.13"/>
    <col customWidth="1" min="28" max="28" width="17.25"/>
    <col customWidth="1" min="29" max="29" width="17.13"/>
    <col customWidth="1" min="30" max="30" width="15.13"/>
    <col customWidth="1" min="31" max="31" width="20.63"/>
    <col customWidth="1" min="32" max="32" width="17.25"/>
    <col customWidth="1" min="33" max="33" width="15.13"/>
    <col customWidth="1" min="34" max="34" width="41.25"/>
    <col customWidth="1" min="35" max="39" width="15.13"/>
    <col customWidth="1" min="40" max="40" width="60.5"/>
    <col customWidth="1" min="41" max="41" width="14.13"/>
    <col customWidth="1" min="42" max="42" width="66.63"/>
    <col customWidth="1" hidden="1" min="43" max="64" width="15.13"/>
    <col customWidth="1" min="65" max="65" width="2.63"/>
    <col customWidth="1" min="66" max="66" width="5.38"/>
    <col customWidth="1" min="67" max="67" width="19.0"/>
    <col customWidth="1" min="68" max="68" width="23.13"/>
    <col customWidth="1" min="69" max="69" width="13.63"/>
    <col customWidth="1" min="70" max="70" width="19.0"/>
    <col customWidth="1" min="71" max="71" width="13.63"/>
    <col customWidth="1" min="72" max="73" width="17.5"/>
    <col customWidth="1" min="74" max="77" width="13.63"/>
    <col customWidth="1" min="78" max="78" width="19.0"/>
  </cols>
  <sheetData>
    <row r="1" ht="30.75" customHeight="1">
      <c r="A1" s="22"/>
      <c r="B1" s="23"/>
      <c r="C1" s="23"/>
      <c r="D1" s="23"/>
      <c r="E1" s="23"/>
      <c r="F1" s="23"/>
      <c r="G1" s="23"/>
      <c r="H1" s="23"/>
      <c r="I1" s="23"/>
      <c r="J1" s="23"/>
      <c r="K1" s="23"/>
      <c r="L1" s="23"/>
      <c r="M1" s="23"/>
      <c r="N1" s="23"/>
      <c r="O1" s="23"/>
      <c r="P1" s="24"/>
      <c r="Q1" s="24"/>
      <c r="R1" s="24"/>
      <c r="S1" s="24"/>
      <c r="T1" s="24"/>
      <c r="U1" s="24"/>
      <c r="V1" s="24"/>
      <c r="W1" s="23"/>
      <c r="AG1" s="25" t="s">
        <v>36</v>
      </c>
      <c r="AH1" s="26"/>
      <c r="AI1" s="26"/>
      <c r="AJ1" s="26"/>
      <c r="AK1" s="26"/>
      <c r="AL1" s="26"/>
      <c r="AM1" s="26"/>
      <c r="AN1" s="26"/>
      <c r="AO1" s="26"/>
      <c r="AP1" s="26"/>
      <c r="AQ1" s="27"/>
      <c r="AR1" s="28" t="s">
        <v>37</v>
      </c>
      <c r="AS1" s="29"/>
      <c r="AT1" s="29"/>
      <c r="AU1" s="29"/>
      <c r="AV1" s="29"/>
      <c r="AW1" s="29"/>
      <c r="AX1" s="30"/>
      <c r="AY1" s="28" t="s">
        <v>36</v>
      </c>
      <c r="AZ1" s="29"/>
      <c r="BA1" s="29"/>
      <c r="BB1" s="29"/>
      <c r="BC1" s="29"/>
      <c r="BD1" s="29"/>
      <c r="BE1" s="30"/>
      <c r="BF1" s="28" t="s">
        <v>38</v>
      </c>
      <c r="BG1" s="29"/>
      <c r="BH1" s="29"/>
      <c r="BI1" s="29"/>
      <c r="BJ1" s="29"/>
      <c r="BK1" s="29"/>
      <c r="BL1" s="31"/>
      <c r="BM1" s="5"/>
      <c r="BO1" s="5"/>
      <c r="BP1" s="6" t="s">
        <v>24</v>
      </c>
      <c r="BV1" s="32" t="s">
        <v>39</v>
      </c>
      <c r="BW1" s="32">
        <v>-1.0</v>
      </c>
      <c r="BX1" s="32">
        <v>0.0</v>
      </c>
      <c r="BY1" s="32">
        <v>1.0</v>
      </c>
      <c r="BZ1" s="5"/>
    </row>
    <row r="2" ht="33.75" customHeight="1">
      <c r="A2" s="33"/>
      <c r="B2" s="34" t="s">
        <v>40</v>
      </c>
      <c r="C2" s="35" t="s">
        <v>41</v>
      </c>
      <c r="D2" s="34" t="s">
        <v>42</v>
      </c>
      <c r="E2" s="34" t="s">
        <v>43</v>
      </c>
      <c r="F2" s="36" t="s">
        <v>44</v>
      </c>
      <c r="G2" s="37" t="s">
        <v>45</v>
      </c>
      <c r="H2" s="34" t="s">
        <v>46</v>
      </c>
      <c r="I2" s="37" t="s">
        <v>47</v>
      </c>
      <c r="J2" s="37" t="s">
        <v>48</v>
      </c>
      <c r="K2" s="37" t="s">
        <v>49</v>
      </c>
      <c r="L2" s="37" t="s">
        <v>50</v>
      </c>
      <c r="M2" s="34" t="s">
        <v>51</v>
      </c>
      <c r="N2" s="34" t="s">
        <v>52</v>
      </c>
      <c r="O2" s="37" t="s">
        <v>53</v>
      </c>
      <c r="P2" s="38" t="s">
        <v>54</v>
      </c>
      <c r="Q2" s="38" t="s">
        <v>55</v>
      </c>
      <c r="R2" s="38" t="s">
        <v>56</v>
      </c>
      <c r="S2" s="38" t="s">
        <v>57</v>
      </c>
      <c r="T2" s="38" t="s">
        <v>58</v>
      </c>
      <c r="U2" s="38" t="s">
        <v>59</v>
      </c>
      <c r="V2" s="38" t="s">
        <v>60</v>
      </c>
      <c r="W2" s="34" t="s">
        <v>61</v>
      </c>
      <c r="X2" s="35" t="s">
        <v>62</v>
      </c>
      <c r="Y2" s="35" t="s">
        <v>63</v>
      </c>
      <c r="Z2" s="35" t="s">
        <v>64</v>
      </c>
      <c r="AA2" s="35" t="s">
        <v>65</v>
      </c>
      <c r="AB2" s="35" t="s">
        <v>66</v>
      </c>
      <c r="AC2" s="35" t="s">
        <v>67</v>
      </c>
      <c r="AD2" s="35" t="s">
        <v>68</v>
      </c>
      <c r="AE2" s="35" t="s">
        <v>69</v>
      </c>
      <c r="AF2" s="35" t="s">
        <v>70</v>
      </c>
      <c r="AG2" s="34" t="s">
        <v>71</v>
      </c>
      <c r="AH2" s="35" t="s">
        <v>72</v>
      </c>
      <c r="AI2" s="35"/>
      <c r="AJ2" s="35"/>
      <c r="AK2" s="35"/>
      <c r="AL2" s="35" t="s">
        <v>73</v>
      </c>
      <c r="AM2" s="35" t="s">
        <v>74</v>
      </c>
      <c r="AN2" s="35"/>
      <c r="AO2" s="35" t="s">
        <v>75</v>
      </c>
      <c r="AP2" s="35" t="s">
        <v>76</v>
      </c>
      <c r="AQ2" s="39" t="s">
        <v>77</v>
      </c>
      <c r="AR2" s="39" t="s">
        <v>78</v>
      </c>
      <c r="AS2" s="39" t="s">
        <v>72</v>
      </c>
      <c r="AT2" s="39" t="s">
        <v>73</v>
      </c>
      <c r="AU2" s="39" t="s">
        <v>74</v>
      </c>
      <c r="AV2" s="39" t="s">
        <v>79</v>
      </c>
      <c r="AW2" s="39" t="s">
        <v>76</v>
      </c>
      <c r="AX2" s="39" t="s">
        <v>77</v>
      </c>
      <c r="AY2" s="39" t="s">
        <v>78</v>
      </c>
      <c r="AZ2" s="39" t="s">
        <v>72</v>
      </c>
      <c r="BA2" s="39" t="s">
        <v>73</v>
      </c>
      <c r="BB2" s="39" t="s">
        <v>74</v>
      </c>
      <c r="BC2" s="39" t="s">
        <v>79</v>
      </c>
      <c r="BD2" s="39" t="s">
        <v>76</v>
      </c>
      <c r="BE2" s="39" t="s">
        <v>77</v>
      </c>
      <c r="BF2" s="39" t="s">
        <v>78</v>
      </c>
      <c r="BG2" s="39" t="s">
        <v>72</v>
      </c>
      <c r="BH2" s="39" t="s">
        <v>73</v>
      </c>
      <c r="BI2" s="39" t="s">
        <v>74</v>
      </c>
      <c r="BJ2" s="39" t="s">
        <v>79</v>
      </c>
      <c r="BK2" s="40" t="s">
        <v>76</v>
      </c>
      <c r="BL2" s="41" t="s">
        <v>77</v>
      </c>
      <c r="BM2" s="5"/>
      <c r="BO2" s="5"/>
      <c r="BP2" s="7" t="s">
        <v>25</v>
      </c>
      <c r="BQ2" s="8" t="s">
        <v>26</v>
      </c>
      <c r="BR2" s="8" t="s">
        <v>27</v>
      </c>
      <c r="BS2" s="8" t="s">
        <v>28</v>
      </c>
      <c r="BT2" s="42" t="s">
        <v>80</v>
      </c>
      <c r="BU2" s="42" t="s">
        <v>81</v>
      </c>
      <c r="BV2" s="43" t="s">
        <v>82</v>
      </c>
      <c r="BW2" s="44" t="s">
        <v>83</v>
      </c>
      <c r="BX2" s="44" t="s">
        <v>84</v>
      </c>
      <c r="BY2" s="44" t="s">
        <v>85</v>
      </c>
      <c r="BZ2" s="5"/>
    </row>
    <row r="3" ht="37.5" customHeight="1">
      <c r="A3" s="45"/>
      <c r="B3" s="46">
        <f>IFERROR(__xludf.DUMMYFUNCTION("{FILTER(Administrativa!B4:AL159,NOT(ISBLANK(Administrativa!B4:B159)));
FILTER(A_Ciudadano!B4:AL159,NOT(ISBLANK(A_Ciudadano!B4:B159)));
FILTER(Comunicaciones!B4:AL159,NOT(ISBLANK(Comunicaciones!B4:B159)));
FILTER(Contratos!B4:AL159,NOT(ISBLANK(Contratos!B4"&amp;":B159)));
FILTER(C_Interno!B4:AL159,NOT(ISBLANK(C_Interno!B4:B159)));
FILTER(CI_Disciplinario!B4:AL159,NOT(ISBLANK(CI_Disciplinario!B4:B159)));
FILTER(DTAF!B4:AL159,NOT(ISBLANK(DTAF!B4:B159)));
FILTER(DTIV!B4:AL159,NOT(ISBLANK(DTIV!B4:B159)));
FILTER(Fina"&amp;"nciera!B4:AL159,NOT(ISBLANK(Financiera!B4:B159)));
FILTER(G_Documental!B4:AL159,NOT(ISBLANK(G_Documental!B4:B159)));
FILTER(OA_Juridica!B4:AL159,NOT(ISBLANK(OA_Juridica!B4:B159)));
FILTER(OGCI!B4:AL159,NOT(ISBLANK(OGCI!B4:B159)));
FILTER('Planeación'!B4:A"&amp;"L159,NOT(ISBLANK('Planeación'!B4:B159)));
FILTER(Sistemas!B4:AL159,NOT(ISBLANK(Sistemas!B4:B159)));
FILTER(T_Humano!B4:AL159,NOT(ISBLANK(T_Humano!B4:B159)));
FILTER(R_Barrancabermeja!B4:AL159,NOT(ISBLANK(R_Barrancabermeja!B4:B159)));
FILTER(R_Barranquilla"&amp;"!B4:AL159,NOT(ISBLANK(R_Barranquilla!B4:B159)));
FILTER(R_Bogota!B4:AL159,NOT(ISBLANK(R_Bogota!B4:B159)));
FILTER(R_Cali!B4:AL159,NOT(ISBLANK(R_Cali!B4:B159)));
FILTER(R_Magangue!B4:AL159,NOT(ISBLANK(R_Magangue!B4:B159)));
FILTER(R_Medellin!B4:AL159,NOT(I"&amp;"SBLANK(R_Medellin!B4:B159)));
FILTER(R_Villavicencio!B4:AL159,NOT(ISBLANK(R_Villavicencio!B4:B159)))}"),1.0)</f>
        <v>1</v>
      </c>
      <c r="C3" s="47" t="str">
        <f>IFERROR(__xludf.DUMMYFUNCTION("""COMPUTED_VALUE"""),"Gestión administrativa")</f>
        <v>Gestión administrativa</v>
      </c>
      <c r="D3" s="48" t="str">
        <f>IFERROR(__xludf.DUMMYFUNCTION("""COMPUTED_VALUE"""),"Administrativa")</f>
        <v>Administrativa</v>
      </c>
      <c r="E3" s="48" t="str">
        <f>IFERROR(__xludf.DUMMYFUNCTION("""COMPUTED_VALUE"""),"Fortalecimiento de la capacidad de gestión de la autoridad nacional de acuicultura y pesca - aunap nacional")</f>
        <v>Fortalecimiento de la capacidad de gestión de la autoridad nacional de acuicultura y pesca - aunap nacional</v>
      </c>
      <c r="F3" s="49">
        <f>IFERROR(__xludf.DUMMYFUNCTION("""COMPUTED_VALUE"""),2.018011000241E12)</f>
        <v>2018011000241</v>
      </c>
      <c r="G3" s="50" t="str">
        <f>IFERROR(__xludf.DUMMYFUNCTION("""COMPUTED_VALUE"""),"Fortalecimiento")</f>
        <v>Fortalecimiento</v>
      </c>
      <c r="H3" s="48" t="str">
        <f>IFERROR(__xludf.DUMMYFUNCTION("""COMPUTED_VALUE"""),"Mejorar las condiciones en la infraestructura física de las sedes de la AUNAP")</f>
        <v>Mejorar las condiciones en la infraestructura física de las sedes de la AUNAP</v>
      </c>
      <c r="I3" s="48" t="str">
        <f>IFERROR(__xludf.DUMMYFUNCTION("""COMPUTED_VALUE"""),"Sedes adecuadas")</f>
        <v>Sedes adecuadas</v>
      </c>
      <c r="J3" s="48" t="str">
        <f>IFERROR(__xludf.DUMMYFUNCTION("""COMPUTED_VALUE"""),"Adecuar locativamente las sedes de la AUNAP, para ofrecer mejores condiciones a los servidores públicos y brindar una adecuada prestación del servicios")</f>
        <v>Adecuar locativamente las sedes de la AUNAP, para ofrecer mejores condiciones a los servidores públicos y brindar una adecuada prestación del servicios</v>
      </c>
      <c r="K3" s="51" t="str">
        <f>IFERROR(__xludf.DUMMYFUNCTION("""COMPUTED_VALUE"""),"Producto")</f>
        <v>Producto</v>
      </c>
      <c r="L3" s="51" t="str">
        <f>IFERROR(__xludf.DUMMYFUNCTION("""COMPUTED_VALUE"""),"Eficacia")</f>
        <v>Eficacia</v>
      </c>
      <c r="M3" s="51" t="str">
        <f>IFERROR(__xludf.DUMMYFUNCTION("""COMPUTED_VALUE"""),"Número")</f>
        <v>Número</v>
      </c>
      <c r="N3" s="52" t="str">
        <f>IFERROR(__xludf.DUMMYFUNCTION("""COMPUTED_VALUE"""),"Sedes adecuadas")</f>
        <v>Sedes adecuadas</v>
      </c>
      <c r="O3" s="53">
        <f>IFERROR(__xludf.DUMMYFUNCTION("""COMPUTED_VALUE"""),1.0)</f>
        <v>1</v>
      </c>
      <c r="P3" s="54">
        <f>IFERROR(__xludf.DUMMYFUNCTION("""COMPUTED_VALUE"""),1.0)</f>
        <v>1</v>
      </c>
      <c r="Q3" s="55" t="str">
        <f>IFERROR(__xludf.DUMMYFUNCTION("""COMPUTED_VALUE"""),"Hacer una intervencion de Adecuación a un bien inmueble de la AUNAP")</f>
        <v>Hacer una intervencion de Adecuación a un bien inmueble de la AUNAP</v>
      </c>
      <c r="R3" s="14" t="str">
        <f>IFERROR(__xludf.DUMMYFUNCTION("""COMPUTED_VALUE"""),"Anual")</f>
        <v>Anual</v>
      </c>
      <c r="S3" s="54">
        <f>IFERROR(__xludf.DUMMYFUNCTION("""COMPUTED_VALUE"""),0.0)</f>
        <v>0</v>
      </c>
      <c r="T3" s="54">
        <f>IFERROR(__xludf.DUMMYFUNCTION("""COMPUTED_VALUE"""),0.0)</f>
        <v>0</v>
      </c>
      <c r="U3" s="54">
        <f>IFERROR(__xludf.DUMMYFUNCTION("""COMPUTED_VALUE"""),0.0)</f>
        <v>0</v>
      </c>
      <c r="V3" s="54">
        <f>IFERROR(__xludf.DUMMYFUNCTION("""COMPUTED_VALUE"""),1.0)</f>
        <v>1</v>
      </c>
      <c r="W3" s="56" t="str">
        <f>IFERROR(__xludf.DUMMYFUNCTION("""COMPUTED_VALUE"""),"Coordinación Administrativa")</f>
        <v>Coordinación Administrativa</v>
      </c>
      <c r="X3" s="57" t="str">
        <f>IFERROR(__xludf.DUMMYFUNCTION("""COMPUTED_VALUE"""),"Gustavo Polo")</f>
        <v>Gustavo Polo</v>
      </c>
      <c r="Y3" s="47" t="str">
        <f>IFERROR(__xludf.DUMMYFUNCTION("""COMPUTED_VALUE"""),"Coordinador Administrativa")</f>
        <v>Coordinador Administrativa</v>
      </c>
      <c r="Z3" s="57" t="str">
        <f>IFERROR(__xludf.DUMMYFUNCTION("""COMPUTED_VALUE"""),"gustavo.polo@aunap.gov.co")</f>
        <v>gustavo.polo@aunap.gov.co</v>
      </c>
      <c r="AA3" s="47" t="str">
        <f>IFERROR(__xludf.DUMMYFUNCTION("""COMPUTED_VALUE"""),"Humanos, fisicos, financieros")</f>
        <v>Humanos, fisicos, financieros</v>
      </c>
      <c r="AB3" s="47" t="str">
        <f>IFERROR(__xludf.DUMMYFUNCTION("""COMPUTED_VALUE"""),"Plan Anual de Adquisiciones - PAA")</f>
        <v>Plan Anual de Adquisiciones - PAA</v>
      </c>
      <c r="AC3" s="47" t="str">
        <f>IFERROR(__xludf.DUMMYFUNCTION("""COMPUTED_VALUE"""),"Llegar con actividades de pesca y acuicultura a todas las regiones")</f>
        <v>Llegar con actividades de pesca y acuicultura a todas las regiones</v>
      </c>
      <c r="AD3" s="47" t="str">
        <f>IFERROR(__xludf.DUMMYFUNCTION("""COMPUTED_VALUE"""),"Direccionamiento Estratégico")</f>
        <v>Direccionamiento Estratégico</v>
      </c>
      <c r="AE3" s="47" t="str">
        <f>IFERROR(__xludf.DUMMYFUNCTION("""COMPUTED_VALUE"""),"Gestión Presupuestal y Eficiencia del Gasto Público")</f>
        <v>Gestión Presupuestal y Eficiencia del Gasto Público</v>
      </c>
      <c r="AF3" s="47" t="str">
        <f>IFERROR(__xludf.DUMMYFUNCTION("""COMPUTED_VALUE"""),"16. Paz, justicia e instituciones sólidas")</f>
        <v>16. Paz, justicia e instituciones sólidas</v>
      </c>
      <c r="AG3" s="58"/>
      <c r="AH3" s="59"/>
      <c r="AI3" s="59"/>
      <c r="AJ3" s="59"/>
      <c r="AK3" s="59"/>
      <c r="AL3" s="59">
        <f>IFERROR(__xludf.DUMMYFUNCTION("""COMPUTED_VALUE"""),44582.0)</f>
        <v>44582</v>
      </c>
      <c r="AM3" s="60"/>
      <c r="AN3" s="61" t="str">
        <f>IFERROR(IF((AO3+1)&lt;2,Alertas!$B$2&amp;TEXT(AO3,"0%")&amp;Alertas!$D$2, IF((AO3+1)=2,Alertas!$B$3,IF((AO3+1)&gt;2,Alertas!$B$4&amp;TEXT(AO3,"0%")&amp;Alertas!$D$4,AO3+1))),"Sin meta para el segundo trimestre")</f>
        <v>Sin meta para el segundo trimestre</v>
      </c>
      <c r="AO3" s="62" t="str">
        <f t="shared" ref="AO3:AO158" si="2">IF(AND(OR(NOT(ISBLANK(AG3)),NOT(ISBLANK(AH3)),NOT(ISBLANK(AL3))),OR(T3=0,T3="-")),IF(OR(AG3=0,AG3=""),"-",1+AG3),IF(T3=0,"-",AG3/T3))</f>
        <v>-</v>
      </c>
      <c r="AP3" s="61" t="str">
        <f t="shared" ref="AP3:AP158" si="3">IF(AND(ISBLANK(AG3),T3&lt;&gt;0),"No reporto ejecución. "&amp;CHAR(10),"")
&amp;IF(AND(ISBLANK(AH3),T3&lt;&gt;0),"No reporto justificación de avance. "&amp;CHAR(10),"")
&amp;IF(AND(ISBLANK(AL3),T3&lt;&gt;0),"No reporto evidencia."&amp;CHAR(10),"")
&amp;IF(ISBLANK(AO3),"vacio",AN3)&amp;"."</f>
        <v>Sin meta para el segundo trimestre.</v>
      </c>
      <c r="AQ3" s="63"/>
      <c r="AR3" s="64"/>
      <c r="AS3" s="65"/>
      <c r="AT3" s="65"/>
      <c r="AU3" s="66"/>
      <c r="AV3" s="67"/>
      <c r="AW3" s="68"/>
      <c r="AX3" s="63"/>
      <c r="AY3" s="64"/>
      <c r="AZ3" s="69"/>
      <c r="BA3" s="65"/>
      <c r="BB3" s="70"/>
      <c r="BC3" s="71"/>
      <c r="BD3" s="72"/>
      <c r="BE3" s="73"/>
      <c r="BF3" s="64"/>
      <c r="BG3" s="69"/>
      <c r="BH3" s="65"/>
      <c r="BI3" s="66"/>
      <c r="BJ3" s="71"/>
      <c r="BK3" s="72"/>
      <c r="BL3" s="74"/>
      <c r="BN3" s="5" t="str">
        <f t="shared" ref="BN3:BN15" si="4">IFERROR(IF((AO3+1)&lt;2,"-1", IF((AO3+1)=2,"0",IF((AO3+1)&gt;2,"1",AO3+1))),"-")</f>
        <v>-</v>
      </c>
      <c r="BP3" s="75" t="s">
        <v>86</v>
      </c>
      <c r="BQ3" s="10">
        <f t="shared" ref="BQ3:BQ24" si="5">COUNTIFS($D:$D,BP3)</f>
        <v>3</v>
      </c>
      <c r="BR3" s="11">
        <f t="shared" ref="BR3:BR24" si="6">COUNTIFS($D:$D,$BP3,$T:$T,"&gt;0")</f>
        <v>1</v>
      </c>
      <c r="BS3" s="11">
        <f t="shared" ref="BS3:BS24" si="7">COUNTIFS($D:$D,$BP3,$AG:$AG,"&gt;0")</f>
        <v>2</v>
      </c>
      <c r="BT3" s="12">
        <f t="shared" ref="BT3:BT24" si="8">IFERROR(AVERAGEIFS($AO:$AO,$D:$D,$BP3),"-")</f>
        <v>2.6</v>
      </c>
      <c r="BU3" s="11" t="str">
        <f t="shared" ref="BU3:BU24" si="9">IFERROR(IF(BT3+1&lt;1.9,"Reporte con Baja Ejecución",IF(BT3+1&gt;2.1,"Reporte con Sobre Ejecución","Reporte Completo")),"-")</f>
        <v>Reporte con Sobre Ejecución</v>
      </c>
      <c r="BV3" s="76">
        <f t="shared" ref="BV3:BY3" si="1">COUNTIFS($D:$D,$BP3,$BN:$BN,BV$1)</f>
        <v>1</v>
      </c>
      <c r="BW3" s="76">
        <f t="shared" si="1"/>
        <v>1</v>
      </c>
      <c r="BX3" s="76">
        <f t="shared" si="1"/>
        <v>0</v>
      </c>
      <c r="BY3" s="76">
        <f t="shared" si="1"/>
        <v>1</v>
      </c>
    </row>
    <row r="4" ht="37.5" customHeight="1">
      <c r="A4" s="45"/>
      <c r="B4" s="46">
        <f>IFERROR(__xludf.DUMMYFUNCTION("""COMPUTED_VALUE"""),2.0)</f>
        <v>2</v>
      </c>
      <c r="C4" s="47" t="str">
        <f>IFERROR(__xludf.DUMMYFUNCTION("""COMPUTED_VALUE"""),"Gestión administrativa")</f>
        <v>Gestión administrativa</v>
      </c>
      <c r="D4" s="48" t="str">
        <f>IFERROR(__xludf.DUMMYFUNCTION("""COMPUTED_VALUE"""),"Administrativa")</f>
        <v>Administrativa</v>
      </c>
      <c r="E4" s="48" t="str">
        <f>IFERROR(__xludf.DUMMYFUNCTION("""COMPUTED_VALUE"""),"Fortalecimiento de la capacidad de gestión de la autoridad nacional de acuicultura y pesca - aunap nacional")</f>
        <v>Fortalecimiento de la capacidad de gestión de la autoridad nacional de acuicultura y pesca - aunap nacional</v>
      </c>
      <c r="F4" s="49">
        <f>IFERROR(__xludf.DUMMYFUNCTION("""COMPUTED_VALUE"""),2.018011000241E12)</f>
        <v>2018011000241</v>
      </c>
      <c r="G4" s="50" t="str">
        <f>IFERROR(__xludf.DUMMYFUNCTION("""COMPUTED_VALUE"""),"Fortalecimiento")</f>
        <v>Fortalecimiento</v>
      </c>
      <c r="H4" s="48" t="str">
        <f>IFERROR(__xludf.DUMMYFUNCTION("""COMPUTED_VALUE"""),"Mejorar las condiciones en la infraestructura física de las sedes de la AUNAP")</f>
        <v>Mejorar las condiciones en la infraestructura física de las sedes de la AUNAP</v>
      </c>
      <c r="I4" s="48" t="str">
        <f>IFERROR(__xludf.DUMMYFUNCTION("""COMPUTED_VALUE"""),"Sedes mantenidas")</f>
        <v>Sedes mantenidas</v>
      </c>
      <c r="J4" s="48" t="str">
        <f>IFERROR(__xludf.DUMMYFUNCTION("""COMPUTED_VALUE"""),"Realizar mantenimiento preventivo y correctivo a las sedes de AUNAP, para brindar una mejor prestación del servicios de atención a la ciudadanía")</f>
        <v>Realizar mantenimiento preventivo y correctivo a las sedes de AUNAP, para brindar una mejor prestación del servicios de atención a la ciudadanía</v>
      </c>
      <c r="K4" s="51" t="str">
        <f>IFERROR(__xludf.DUMMYFUNCTION("""COMPUTED_VALUE"""),"Producto")</f>
        <v>Producto</v>
      </c>
      <c r="L4" s="51" t="str">
        <f>IFERROR(__xludf.DUMMYFUNCTION("""COMPUTED_VALUE"""),"Eficacia")</f>
        <v>Eficacia</v>
      </c>
      <c r="M4" s="51" t="str">
        <f>IFERROR(__xludf.DUMMYFUNCTION("""COMPUTED_VALUE"""),"Número")</f>
        <v>Número</v>
      </c>
      <c r="N4" s="52" t="str">
        <f>IFERROR(__xludf.DUMMYFUNCTION("""COMPUTED_VALUE"""),"Sedes mantenidas")</f>
        <v>Sedes mantenidas</v>
      </c>
      <c r="O4" s="53">
        <f>IFERROR(__xludf.DUMMYFUNCTION("""COMPUTED_VALUE"""),1.0)</f>
        <v>1</v>
      </c>
      <c r="P4" s="54">
        <f>IFERROR(__xludf.DUMMYFUNCTION("""COMPUTED_VALUE"""),1.0)</f>
        <v>1</v>
      </c>
      <c r="Q4" s="55" t="str">
        <f>IFERROR(__xludf.DUMMYFUNCTION("""COMPUTED_VALUE"""),"Realizar un mantenimiento a un bien inmueble de la AUNAP")</f>
        <v>Realizar un mantenimiento a un bien inmueble de la AUNAP</v>
      </c>
      <c r="R4" s="14" t="str">
        <f>IFERROR(__xludf.DUMMYFUNCTION("""COMPUTED_VALUE"""),"Anual")</f>
        <v>Anual</v>
      </c>
      <c r="S4" s="54">
        <f>IFERROR(__xludf.DUMMYFUNCTION("""COMPUTED_VALUE"""),0.0)</f>
        <v>0</v>
      </c>
      <c r="T4" s="54">
        <f>IFERROR(__xludf.DUMMYFUNCTION("""COMPUTED_VALUE"""),0.0)</f>
        <v>0</v>
      </c>
      <c r="U4" s="54">
        <f>IFERROR(__xludf.DUMMYFUNCTION("""COMPUTED_VALUE"""),0.0)</f>
        <v>0</v>
      </c>
      <c r="V4" s="54">
        <f>IFERROR(__xludf.DUMMYFUNCTION("""COMPUTED_VALUE"""),1.0)</f>
        <v>1</v>
      </c>
      <c r="W4" s="56" t="str">
        <f>IFERROR(__xludf.DUMMYFUNCTION("""COMPUTED_VALUE"""),"Coordinación Administrativa")</f>
        <v>Coordinación Administrativa</v>
      </c>
      <c r="X4" s="57" t="str">
        <f>IFERROR(__xludf.DUMMYFUNCTION("""COMPUTED_VALUE"""),"Gustavo Polo")</f>
        <v>Gustavo Polo</v>
      </c>
      <c r="Y4" s="47" t="str">
        <f>IFERROR(__xludf.DUMMYFUNCTION("""COMPUTED_VALUE"""),"Coordinador Administrativa")</f>
        <v>Coordinador Administrativa</v>
      </c>
      <c r="Z4" s="57" t="str">
        <f>IFERROR(__xludf.DUMMYFUNCTION("""COMPUTED_VALUE"""),"gustavo.polo@aunap.gov.co")</f>
        <v>gustavo.polo@aunap.gov.co</v>
      </c>
      <c r="AA4" s="47" t="str">
        <f>IFERROR(__xludf.DUMMYFUNCTION("""COMPUTED_VALUE"""),"Humanos, fisicos, financieros")</f>
        <v>Humanos, fisicos, financieros</v>
      </c>
      <c r="AB4" s="47" t="str">
        <f>IFERROR(__xludf.DUMMYFUNCTION("""COMPUTED_VALUE"""),"Plan Anual de Adquisiciones - PAA")</f>
        <v>Plan Anual de Adquisiciones - PAA</v>
      </c>
      <c r="AC4" s="47" t="str">
        <f>IFERROR(__xludf.DUMMYFUNCTION("""COMPUTED_VALUE"""),"Llegar con actividades de pesca y acuicultura a todas las regiones")</f>
        <v>Llegar con actividades de pesca y acuicultura a todas las regiones</v>
      </c>
      <c r="AD4" s="47" t="str">
        <f>IFERROR(__xludf.DUMMYFUNCTION("""COMPUTED_VALUE"""),"Direccionamiento Estratégico")</f>
        <v>Direccionamiento Estratégico</v>
      </c>
      <c r="AE4" s="47" t="str">
        <f>IFERROR(__xludf.DUMMYFUNCTION("""COMPUTED_VALUE"""),"Gestión Presupuestal y Eficiencia del Gasto Público")</f>
        <v>Gestión Presupuestal y Eficiencia del Gasto Público</v>
      </c>
      <c r="AF4" s="47" t="str">
        <f>IFERROR(__xludf.DUMMYFUNCTION("""COMPUTED_VALUE"""),"16. Paz, justicia e instituciones sólidas")</f>
        <v>16. Paz, justicia e instituciones sólidas</v>
      </c>
      <c r="AG4" s="58">
        <f>IFERROR(__xludf.DUMMYFUNCTION("""COMPUTED_VALUE"""),4.0)</f>
        <v>4</v>
      </c>
      <c r="AH4" s="59" t="str">
        <f>IFERROR(__xludf.DUMMYFUNCTION("""COMPUTED_VALUE"""),"Se realizo cerco de alambre de puas calibre 14 de 6 lineas, retenidas con grapas soportadas en 340 estanillos en la cerca costado norte de la estacion de Bahia Malaga")</f>
        <v>Se realizo cerco de alambre de puas calibre 14 de 6 lineas, retenidas con grapas soportadas en 340 estanillos en la cerca costado norte de la estacion de Bahia Malaga</v>
      </c>
      <c r="AI4" s="77" t="str">
        <f>IFERROR(__xludf.DUMMYFUNCTION("""COMPUTED_VALUE"""),"https://drive.google.com/file/d/1yypSO3Zcg2H6XdprQrbajYUQCIWj_9Qo/view?usp=sharing")</f>
        <v>https://drive.google.com/file/d/1yypSO3Zcg2H6XdprQrbajYUQCIWj_9Qo/view?usp=sharing</v>
      </c>
      <c r="AJ4" s="59">
        <f>IFERROR(__xludf.DUMMYFUNCTION("""COMPUTED_VALUE"""),0.33)</f>
        <v>0.33</v>
      </c>
      <c r="AK4" s="59" t="str">
        <f>IFERROR(__xludf.DUMMYFUNCTION("""COMPUTED_VALUE"""),"Se realizo cerco de alambre de puas calibre 14 de 6 lineas, retenidas con grapas soportadas en 340 estanillos en la cerca costado norte de la estacion de Bahia Malaga")</f>
        <v>Se realizo cerco de alambre de puas calibre 14 de 6 lineas, retenidas con grapas soportadas en 340 estanillos en la cerca costado norte de la estacion de Bahia Malaga</v>
      </c>
      <c r="AL4" s="59">
        <f>IFERROR(__xludf.DUMMYFUNCTION("""COMPUTED_VALUE"""),44582.0)</f>
        <v>44582</v>
      </c>
      <c r="AM4" s="60"/>
      <c r="AN4" s="61" t="str">
        <f>IFERROR(IF((AO4+1)&lt;2,Alertas!$B$2&amp;TEXT(AO4,"0%")&amp;Alertas!$D$2, IF((AO4+1)=2,Alertas!$B$3,IF((AO4+1)&gt;2,Alertas!$B$4&amp;TEXT(AO4,"0%")&amp;Alertas!$D$4,AO4+1))),"Sin meta para el segundo trimestre")</f>
        <v>La ejecución de la meta registrada se encuentra por encima de la meta programada en la formulación del plan de acción para el segundo trimestre, su porcentaje de cumplimiento es 500%,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4" s="62">
        <f t="shared" si="2"/>
        <v>5</v>
      </c>
      <c r="AP4" s="61" t="str">
        <f t="shared" si="3"/>
        <v>La ejecución de la meta registrada se encuentra por encima de la meta programada en la formulación del plan de acción para el segundo trimestre, su porcentaje de cumplimiento es 500%,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4" s="63"/>
      <c r="AR4" s="64"/>
      <c r="AS4" s="65"/>
      <c r="AT4" s="65"/>
      <c r="AU4" s="66"/>
      <c r="AV4" s="67"/>
      <c r="AW4" s="68"/>
      <c r="AX4" s="63"/>
      <c r="AY4" s="64"/>
      <c r="AZ4" s="69"/>
      <c r="BA4" s="65"/>
      <c r="BB4" s="70"/>
      <c r="BC4" s="71"/>
      <c r="BD4" s="72"/>
      <c r="BE4" s="73"/>
      <c r="BF4" s="64"/>
      <c r="BG4" s="69"/>
      <c r="BH4" s="65"/>
      <c r="BI4" s="66"/>
      <c r="BJ4" s="71"/>
      <c r="BK4" s="72"/>
      <c r="BL4" s="74"/>
      <c r="BN4" s="5" t="str">
        <f t="shared" si="4"/>
        <v>1</v>
      </c>
      <c r="BP4" s="75" t="s">
        <v>87</v>
      </c>
      <c r="BQ4" s="13">
        <f t="shared" si="5"/>
        <v>8</v>
      </c>
      <c r="BR4" s="11">
        <f t="shared" si="6"/>
        <v>7</v>
      </c>
      <c r="BS4" s="11">
        <f t="shared" si="7"/>
        <v>7</v>
      </c>
      <c r="BT4" s="12">
        <f t="shared" si="8"/>
        <v>1.041666667</v>
      </c>
      <c r="BU4" s="11" t="str">
        <f t="shared" si="9"/>
        <v>Reporte Completo</v>
      </c>
      <c r="BV4" s="76">
        <f t="shared" ref="BV4:BY4" si="10">COUNTIFS($D:$D,$BP4,$BN:$BN,BV$1)</f>
        <v>0</v>
      </c>
      <c r="BW4" s="76">
        <f t="shared" si="10"/>
        <v>2</v>
      </c>
      <c r="BX4" s="76">
        <f t="shared" si="10"/>
        <v>4</v>
      </c>
      <c r="BY4" s="76">
        <f t="shared" si="10"/>
        <v>1</v>
      </c>
    </row>
    <row r="5" ht="37.5" customHeight="1">
      <c r="A5" s="45"/>
      <c r="B5" s="46">
        <f>IFERROR(__xludf.DUMMYFUNCTION("""COMPUTED_VALUE"""),3.0)</f>
        <v>3</v>
      </c>
      <c r="C5" s="47" t="str">
        <f>IFERROR(__xludf.DUMMYFUNCTION("""COMPUTED_VALUE"""),"Gestión administrativa")</f>
        <v>Gestión administrativa</v>
      </c>
      <c r="D5" s="48" t="str">
        <f>IFERROR(__xludf.DUMMYFUNCTION("""COMPUTED_VALUE"""),"Administrativa")</f>
        <v>Administrativa</v>
      </c>
      <c r="E5" s="48" t="str">
        <f>IFERROR(__xludf.DUMMYFUNCTION("""COMPUTED_VALUE"""),"Fortalecimiento de la capacidad de gestión de la autoridad nacional de acuicultura y pesca - aunap nacional")</f>
        <v>Fortalecimiento de la capacidad de gestión de la autoridad nacional de acuicultura y pesca - aunap nacional</v>
      </c>
      <c r="F5" s="49">
        <f>IFERROR(__xludf.DUMMYFUNCTION("""COMPUTED_VALUE"""),2.018011000241E12)</f>
        <v>2018011000241</v>
      </c>
      <c r="G5" s="50" t="str">
        <f>IFERROR(__xludf.DUMMYFUNCTION("""COMPUTED_VALUE"""),"Fortalecimiento")</f>
        <v>Fortalecimiento</v>
      </c>
      <c r="H5" s="48" t="str">
        <f>IFERROR(__xludf.DUMMYFUNCTION("""COMPUTED_VALUE"""),"Fortalecer los sistemas de gestión de la Entidad")</f>
        <v>Fortalecer los sistemas de gestión de la Entidad</v>
      </c>
      <c r="I5" s="48" t="str">
        <f>IFERROR(__xludf.DUMMYFUNCTION("""COMPUTED_VALUE"""),"Servicio de Implementación Sistemas de Gestión")</f>
        <v>Servicio de Implementación Sistemas de Gestión</v>
      </c>
      <c r="J5"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5" s="51" t="str">
        <f>IFERROR(__xludf.DUMMYFUNCTION("""COMPUTED_VALUE"""),"Gestión del área")</f>
        <v>Gestión del área</v>
      </c>
      <c r="L5" s="51" t="str">
        <f>IFERROR(__xludf.DUMMYFUNCTION("""COMPUTED_VALUE"""),"Eficacia")</f>
        <v>Eficacia</v>
      </c>
      <c r="M5" s="51" t="str">
        <f>IFERROR(__xludf.DUMMYFUNCTION("""COMPUTED_VALUE"""),"Porcentaje")</f>
        <v>Porcentaje</v>
      </c>
      <c r="N5" s="52" t="str">
        <f>IFERROR(__xludf.DUMMYFUNCTION("""COMPUTED_VALUE"""),"Inventarios nivel central realizados / Total de inventarios nivel central programados")</f>
        <v>Inventarios nivel central realizados / Total de inventarios nivel central programados</v>
      </c>
      <c r="O5" s="53">
        <f>IFERROR(__xludf.DUMMYFUNCTION("""COMPUTED_VALUE"""),1.0)</f>
        <v>1</v>
      </c>
      <c r="P5" s="78">
        <f>IFERROR(__xludf.DUMMYFUNCTION("""COMPUTED_VALUE"""),1.0)</f>
        <v>1</v>
      </c>
      <c r="Q5" s="79" t="str">
        <f>IFERROR(__xludf.DUMMYFUNCTION("""COMPUTED_VALUE"""),"Hacer inventario de los bienes muebles a las oficinas Buenaventura, Magangue y Villavicencio")</f>
        <v>Hacer inventario de los bienes muebles a las oficinas Buenaventura, Magangue y Villavicencio</v>
      </c>
      <c r="R5" s="79" t="str">
        <f>IFERROR(__xludf.DUMMYFUNCTION("""COMPUTED_VALUE"""),"Anual")</f>
        <v>Anual</v>
      </c>
      <c r="S5" s="78">
        <f>IFERROR(__xludf.DUMMYFUNCTION("""COMPUTED_VALUE"""),0.0)</f>
        <v>0</v>
      </c>
      <c r="T5" s="78">
        <f>IFERROR(__xludf.DUMMYFUNCTION("""COMPUTED_VALUE"""),0.2)</f>
        <v>0.2</v>
      </c>
      <c r="U5" s="78">
        <f>IFERROR(__xludf.DUMMYFUNCTION("""COMPUTED_VALUE"""),0.3)</f>
        <v>0.3</v>
      </c>
      <c r="V5" s="78">
        <f>IFERROR(__xludf.DUMMYFUNCTION("""COMPUTED_VALUE"""),0.5)</f>
        <v>0.5</v>
      </c>
      <c r="W5" s="56" t="str">
        <f>IFERROR(__xludf.DUMMYFUNCTION("""COMPUTED_VALUE"""),"Coordinación Administrativa")</f>
        <v>Coordinación Administrativa</v>
      </c>
      <c r="X5" s="57" t="str">
        <f>IFERROR(__xludf.DUMMYFUNCTION("""COMPUTED_VALUE"""),"Gustavo Polo")</f>
        <v>Gustavo Polo</v>
      </c>
      <c r="Y5" s="47" t="str">
        <f>IFERROR(__xludf.DUMMYFUNCTION("""COMPUTED_VALUE"""),"Coordinador Administrativa")</f>
        <v>Coordinador Administrativa</v>
      </c>
      <c r="Z5" s="57" t="str">
        <f>IFERROR(__xludf.DUMMYFUNCTION("""COMPUTED_VALUE"""),"gustavo.polo@aunap.gov.co")</f>
        <v>gustavo.polo@aunap.gov.co</v>
      </c>
      <c r="AA5" s="47" t="str">
        <f>IFERROR(__xludf.DUMMYFUNCTION("""COMPUTED_VALUE"""),"Humanos, fisicos, financieros")</f>
        <v>Humanos, fisicos, financieros</v>
      </c>
      <c r="AB5" s="47" t="str">
        <f>IFERROR(__xludf.DUMMYFUNCTION("""COMPUTED_VALUE"""),"Plan Anual de Adquisiciones - PAA")</f>
        <v>Plan Anual de Adquisiciones - PAA</v>
      </c>
      <c r="AC5" s="47" t="str">
        <f>IFERROR(__xludf.DUMMYFUNCTION("""COMPUTED_VALUE"""),"Llegar con actividades de pesca y acuicultura a todas las regiones")</f>
        <v>Llegar con actividades de pesca y acuicultura a todas las regiones</v>
      </c>
      <c r="AD5" s="47" t="str">
        <f>IFERROR(__xludf.DUMMYFUNCTION("""COMPUTED_VALUE"""),"Direccionamiento Estratégico")</f>
        <v>Direccionamiento Estratégico</v>
      </c>
      <c r="AE5" s="47" t="str">
        <f>IFERROR(__xludf.DUMMYFUNCTION("""COMPUTED_VALUE"""),"Gestión Presupuestal y Eficiencia del Gasto Público")</f>
        <v>Gestión Presupuestal y Eficiencia del Gasto Público</v>
      </c>
      <c r="AF5" s="47" t="str">
        <f>IFERROR(__xludf.DUMMYFUNCTION("""COMPUTED_VALUE"""),"16. Paz, justicia e instituciones sólidas")</f>
        <v>16. Paz, justicia e instituciones sólidas</v>
      </c>
      <c r="AG5" s="80">
        <f>IFERROR(__xludf.DUMMYFUNCTION("""COMPUTED_VALUE"""),0.04)</f>
        <v>0.04</v>
      </c>
      <c r="AH5" s="59" t="str">
        <f>IFERROR(__xludf.DUMMYFUNCTION("""COMPUTED_VALUE"""),"Se realizo la toma de inventario al 100% en región, nivel central y estaciones piscícolas")</f>
        <v>Se realizo la toma de inventario al 100% en región, nivel central y estaciones piscícolas</v>
      </c>
      <c r="AI5" s="77" t="str">
        <f>IFERROR(__xludf.DUMMYFUNCTION("""COMPUTED_VALUE"""),"https://drive.google.com/file/d/1ArVsmjkBXlRuATeSSRyQ9XXWfuo4NJEt/view?usp=sharing")</f>
        <v>https://drive.google.com/file/d/1ArVsmjkBXlRuATeSSRyQ9XXWfuo4NJEt/view?usp=sharing</v>
      </c>
      <c r="AJ5" s="59">
        <f>IFERROR(__xludf.DUMMYFUNCTION("""COMPUTED_VALUE"""),0.33)</f>
        <v>0.33</v>
      </c>
      <c r="AK5" s="59" t="str">
        <f>IFERROR(__xludf.DUMMYFUNCTION("""COMPUTED_VALUE"""),"Se realizo la toma de inventario al 100% en región, nivel central y estaciones piscícolas")</f>
        <v>Se realizo la toma de inventario al 100% en región, nivel central y estaciones piscícolas</v>
      </c>
      <c r="AL5" s="59">
        <f>IFERROR(__xludf.DUMMYFUNCTION("""COMPUTED_VALUE"""),44582.0)</f>
        <v>44582</v>
      </c>
      <c r="AM5" s="60"/>
      <c r="AN5" s="61" t="str">
        <f>IFERROR(IF((AO5+1)&lt;2,Alertas!$B$2&amp;TEXT(AO5,"0%")&amp;Alertas!$D$2, IF((AO5+1)=2,Alertas!$B$3,IF((AO5+1)&gt;2,Alertas!$B$4&amp;TEXT(AO5,"0%")&amp;Alertas!$D$4,AO5+1))),"Sin meta para el segundo trimestre")</f>
        <v>La ejecución de la meta registrada se encuentra por debajo de la meta programada en la formulación del plan de acción para el segundo trimestre, su porcentaje de cumplimiento es 20%, lo cual indica un incumplimiento que puede ser entendido por los entes de control como falencias en el proceso de planeación y gestión de la dependencia. se recomienda realizar acciones para garantizar el cumplimiento de la meta durante lo que resta de vigencia</v>
      </c>
      <c r="AO5" s="62">
        <f t="shared" si="2"/>
        <v>0.2</v>
      </c>
      <c r="AP5" s="61" t="str">
        <f t="shared" si="3"/>
        <v>La ejecución de la meta registrada se encuentra por debajo de la meta programada en la formulación del plan de acción para el segundo trimestre, su porcentaje de cumplimiento es 20%, lo cual indica un incumplimiento que puede ser entendido por los entes de control como falencias en el proceso de planeación y gestión de la dependencia. se recomienda realizar acciones para garantizar el cumplimiento de la meta durante lo que resta de vigencia.</v>
      </c>
      <c r="AQ5" s="63"/>
      <c r="AR5" s="64"/>
      <c r="AS5" s="65"/>
      <c r="AT5" s="65"/>
      <c r="AU5" s="66"/>
      <c r="AV5" s="67"/>
      <c r="AW5" s="68"/>
      <c r="AX5" s="63"/>
      <c r="AY5" s="64"/>
      <c r="AZ5" s="69"/>
      <c r="BA5" s="65"/>
      <c r="BB5" s="70"/>
      <c r="BC5" s="71"/>
      <c r="BD5" s="72"/>
      <c r="BE5" s="73"/>
      <c r="BF5" s="64"/>
      <c r="BG5" s="69"/>
      <c r="BH5" s="65"/>
      <c r="BI5" s="66"/>
      <c r="BJ5" s="71"/>
      <c r="BK5" s="72"/>
      <c r="BL5" s="74"/>
      <c r="BN5" s="5" t="str">
        <f t="shared" si="4"/>
        <v>-1</v>
      </c>
      <c r="BP5" s="75" t="s">
        <v>88</v>
      </c>
      <c r="BQ5" s="13">
        <f t="shared" si="5"/>
        <v>3</v>
      </c>
      <c r="BR5" s="11">
        <f t="shared" si="6"/>
        <v>2</v>
      </c>
      <c r="BS5" s="11">
        <f t="shared" si="7"/>
        <v>0</v>
      </c>
      <c r="BT5" s="12">
        <f t="shared" si="8"/>
        <v>0</v>
      </c>
      <c r="BU5" s="11" t="str">
        <f t="shared" si="9"/>
        <v>Reporte con Baja Ejecución</v>
      </c>
      <c r="BV5" s="76">
        <f t="shared" ref="BV5:BY5" si="11">COUNTIFS($D:$D,$BP5,$BN:$BN,BV$1)</f>
        <v>1</v>
      </c>
      <c r="BW5" s="76">
        <f t="shared" si="11"/>
        <v>2</v>
      </c>
      <c r="BX5" s="76">
        <f t="shared" si="11"/>
        <v>0</v>
      </c>
      <c r="BY5" s="76">
        <f t="shared" si="11"/>
        <v>0</v>
      </c>
    </row>
    <row r="6" ht="37.5" customHeight="1">
      <c r="A6" s="45"/>
      <c r="B6" s="46">
        <f>IFERROR(__xludf.DUMMYFUNCTION("""COMPUTED_VALUE"""),12.0)</f>
        <v>12</v>
      </c>
      <c r="C6" s="47" t="str">
        <f>IFERROR(__xludf.DUMMYFUNCTION("""COMPUTED_VALUE"""),"Atención al ciudadano")</f>
        <v>Atención al ciudadano</v>
      </c>
      <c r="D6" s="48" t="str">
        <f>IFERROR(__xludf.DUMMYFUNCTION("""COMPUTED_VALUE"""),"Atención al ciudadano")</f>
        <v>Atención al ciudadano</v>
      </c>
      <c r="E6" s="48" t="str">
        <f>IFERROR(__xludf.DUMMYFUNCTION("""COMPUTED_VALUE"""),"Fortalecimiento de la capacidad de gestión de la autoridad nacional de acuicultura y pesca - aunap nacional")</f>
        <v>Fortalecimiento de la capacidad de gestión de la autoridad nacional de acuicultura y pesca - aunap nacional</v>
      </c>
      <c r="F6" s="49">
        <f>IFERROR(__xludf.DUMMYFUNCTION("""COMPUTED_VALUE"""),2.018011000241E12)</f>
        <v>2018011000241</v>
      </c>
      <c r="G6" s="50" t="str">
        <f>IFERROR(__xludf.DUMMYFUNCTION("""COMPUTED_VALUE"""),"Fortalecimiento")</f>
        <v>Fortalecimiento</v>
      </c>
      <c r="H6" s="48" t="str">
        <f>IFERROR(__xludf.DUMMYFUNCTION("""COMPUTED_VALUE"""),"Fortalecer los sistemas de gestión de la Entidad")</f>
        <v>Fortalecer los sistemas de gestión de la Entidad</v>
      </c>
      <c r="I6" s="48" t="str">
        <f>IFERROR(__xludf.DUMMYFUNCTION("""COMPUTED_VALUE"""),"Servicio de Implementación Sistemas de Gestión")</f>
        <v>Servicio de Implementación Sistemas de Gestión</v>
      </c>
      <c r="J6"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6" s="51" t="str">
        <f>IFERROR(__xludf.DUMMYFUNCTION("""COMPUTED_VALUE"""),"Gestión del área")</f>
        <v>Gestión del área</v>
      </c>
      <c r="L6" s="51" t="str">
        <f>IFERROR(__xludf.DUMMYFUNCTION("""COMPUTED_VALUE"""),"Eficacia")</f>
        <v>Eficacia</v>
      </c>
      <c r="M6" s="51" t="str">
        <f>IFERROR(__xludf.DUMMYFUNCTION("""COMPUTED_VALUE"""),"Porcentaje")</f>
        <v>Porcentaje</v>
      </c>
      <c r="N6" s="52" t="str">
        <f>IFERROR(__xludf.DUMMYFUNCTION("""COMPUTED_VALUE"""),"Número de actividades de la estrategia de Servicio al Ciudadano ejecutadas/Número de actividades de la estrategia de Servicio al Ciudadano * 100")</f>
        <v>Número de actividades de la estrategia de Servicio al Ciudadano ejecutadas/Número de actividades de la estrategia de Servicio al Ciudadano * 100</v>
      </c>
      <c r="O6" s="53"/>
      <c r="P6" s="54">
        <f>IFERROR(__xludf.DUMMYFUNCTION("""COMPUTED_VALUE"""),1.0)</f>
        <v>1</v>
      </c>
      <c r="Q6" s="55" t="str">
        <f>IFERROR(__xludf.DUMMYFUNCTION("""COMPUTED_VALUE"""),"Ejecutar las actividades de la estrategia de  Servicio al Ciudadano.")</f>
        <v>Ejecutar las actividades de la estrategia de  Servicio al Ciudadano.</v>
      </c>
      <c r="R6" s="14" t="str">
        <f>IFERROR(__xludf.DUMMYFUNCTION("""COMPUTED_VALUE"""),"Semestral")</f>
        <v>Semestral</v>
      </c>
      <c r="S6" s="54">
        <f>IFERROR(__xludf.DUMMYFUNCTION("""COMPUTED_VALUE"""),0.0)</f>
        <v>0</v>
      </c>
      <c r="T6" s="54">
        <f>IFERROR(__xludf.DUMMYFUNCTION("""COMPUTED_VALUE"""),1.0)</f>
        <v>1</v>
      </c>
      <c r="U6" s="54">
        <f>IFERROR(__xludf.DUMMYFUNCTION("""COMPUTED_VALUE"""),0.0)</f>
        <v>0</v>
      </c>
      <c r="V6" s="54">
        <f>IFERROR(__xludf.DUMMYFUNCTION("""COMPUTED_VALUE"""),1.0)</f>
        <v>1</v>
      </c>
      <c r="W6" s="56" t="str">
        <f>IFERROR(__xludf.DUMMYFUNCTION("""COMPUTED_VALUE"""),"Administrativa")</f>
        <v>Administrativa</v>
      </c>
      <c r="X6" s="57" t="str">
        <f>IFERROR(__xludf.DUMMYFUNCTION("""COMPUTED_VALUE"""),"Gustavo Polo")</f>
        <v>Gustavo Polo</v>
      </c>
      <c r="Y6" s="47" t="str">
        <f>IFERROR(__xludf.DUMMYFUNCTION("""COMPUTED_VALUE"""),"Coordinador Administrativo")</f>
        <v>Coordinador Administrativo</v>
      </c>
      <c r="Z6" s="57" t="str">
        <f>IFERROR(__xludf.DUMMYFUNCTION("""COMPUTED_VALUE"""),"gustavo.polo@aunap.gov.co")</f>
        <v>gustavo.polo@aunap.gov.co</v>
      </c>
      <c r="AA6" s="47" t="str">
        <f>IFERROR(__xludf.DUMMYFUNCTION("""COMPUTED_VALUE"""),"Humanos, Físicos, Financieros, Tecnológicos")</f>
        <v>Humanos, Físicos, Financieros, Tecnológicos</v>
      </c>
      <c r="AB6" s="47" t="str">
        <f>IFERROR(__xludf.DUMMYFUNCTION("""COMPUTED_VALUE"""),"Plan Anticorrupción y de Atención al Ciudadano - PAAC")</f>
        <v>Plan Anticorrupción y de Atención al Ciudadano - PAAC</v>
      </c>
      <c r="AC6" s="47" t="str">
        <f>IFERROR(__xludf.DUMMYFUNCTION("""COMPUTED_VALUE"""),"Llegar con actividades de pesca y acuicultura a todas las regiones")</f>
        <v>Llegar con actividades de pesca y acuicultura a todas las regiones</v>
      </c>
      <c r="AD6" s="47" t="str">
        <f>IFERROR(__xludf.DUMMYFUNCTION("""COMPUTED_VALUE"""),"Gestión con valores para resultados")</f>
        <v>Gestión con valores para resultados</v>
      </c>
      <c r="AE6" s="47" t="str">
        <f>IFERROR(__xludf.DUMMYFUNCTION("""COMPUTED_VALUE"""),"Servicio al Ciudadano")</f>
        <v>Servicio al Ciudadano</v>
      </c>
      <c r="AF6" s="47" t="str">
        <f>IFERROR(__xludf.DUMMYFUNCTION("""COMPUTED_VALUE"""),"16. Paz, justicia e instituciones sólidas")</f>
        <v>16. Paz, justicia e instituciones sólidas</v>
      </c>
      <c r="AG6" s="80"/>
      <c r="AH6" s="59" t="str">
        <f>IFERROR(__xludf.DUMMYFUNCTION("""COMPUTED_VALUE"""),"Se cumplio desde el trimestre pasado el cumplimiento de dicha estrategia.")</f>
        <v>Se cumplio desde el trimestre pasado el cumplimiento de dicha estrategia.</v>
      </c>
      <c r="AI6" s="59"/>
      <c r="AJ6" s="59"/>
      <c r="AK6" s="59"/>
      <c r="AL6" s="59">
        <f>IFERROR(__xludf.DUMMYFUNCTION("""COMPUTED_VALUE"""),44582.0)</f>
        <v>44582</v>
      </c>
      <c r="AM6" s="60"/>
      <c r="AN6" s="61" t="str">
        <f>IFERROR(IF((AO6+1)&lt;2,Alertas!$B$2&amp;TEXT(AO6,"0%")&amp;Alertas!$D$2, IF((AO6+1)=2,Alertas!$B$3,IF((AO6+1)&gt;2,Alertas!$B$4&amp;TEXT(AO6,"0%")&amp;Alertas!$D$4,AO6+1))),"Sin meta para el segundo trimestre")</f>
        <v>La ejecución de la meta registrada se encuentra por debajo de la meta programada en la formulación del plan de acción para el segundo trimestre, su porcentaje de cumplimiento es 0%, lo cual indica un incumplimiento que puede ser entendido por los entes de control como falencias en el proceso de planeación y gestión de la dependencia. se recomienda realizar acciones para garantizar el cumplimiento de la meta durante lo que resta de vigencia</v>
      </c>
      <c r="AO6" s="62">
        <f t="shared" si="2"/>
        <v>0</v>
      </c>
      <c r="AP6" s="61" t="str">
        <f t="shared" si="3"/>
        <v>No reporto ejecución. 
La ejecución de la meta registrada se encuentra por debajo de la meta programada en la formulación del plan de acción para el segundo trimestre, su porcentaje de cumplimiento es 0%, lo cual indica un incumplimiento que puede ser entendido por los entes de control como falencias en el proceso de planeación y gestión de la dependencia. se recomienda realizar acciones para garantizar el cumplimiento de la meta durante lo que resta de vigencia.</v>
      </c>
      <c r="AQ6" s="63"/>
      <c r="AR6" s="64"/>
      <c r="AS6" s="65"/>
      <c r="AT6" s="65"/>
      <c r="AU6" s="66"/>
      <c r="AV6" s="67"/>
      <c r="AW6" s="68"/>
      <c r="AX6" s="63"/>
      <c r="AY6" s="64"/>
      <c r="AZ6" s="69"/>
      <c r="BA6" s="65"/>
      <c r="BB6" s="70"/>
      <c r="BC6" s="71"/>
      <c r="BD6" s="72"/>
      <c r="BE6" s="73"/>
      <c r="BF6" s="64"/>
      <c r="BG6" s="69"/>
      <c r="BH6" s="65"/>
      <c r="BI6" s="66"/>
      <c r="BJ6" s="71"/>
      <c r="BK6" s="72"/>
      <c r="BL6" s="74"/>
      <c r="BN6" s="5" t="str">
        <f t="shared" si="4"/>
        <v>-1</v>
      </c>
      <c r="BP6" s="75" t="s">
        <v>89</v>
      </c>
      <c r="BQ6" s="13">
        <f t="shared" si="5"/>
        <v>7</v>
      </c>
      <c r="BR6" s="11">
        <f t="shared" si="6"/>
        <v>7</v>
      </c>
      <c r="BS6" s="11">
        <f t="shared" si="7"/>
        <v>7</v>
      </c>
      <c r="BT6" s="12">
        <f t="shared" si="8"/>
        <v>0.9157142857</v>
      </c>
      <c r="BU6" s="11" t="str">
        <f t="shared" si="9"/>
        <v>Reporte Completo</v>
      </c>
      <c r="BV6" s="76">
        <f t="shared" ref="BV6:BY6" si="12">COUNTIFS($D:$D,$BP6,$BN:$BN,BV$1)</f>
        <v>0</v>
      </c>
      <c r="BW6" s="76">
        <f t="shared" si="12"/>
        <v>1</v>
      </c>
      <c r="BX6" s="76">
        <f t="shared" si="12"/>
        <v>5</v>
      </c>
      <c r="BY6" s="76">
        <f t="shared" si="12"/>
        <v>0</v>
      </c>
    </row>
    <row r="7" ht="37.5" customHeight="1">
      <c r="A7" s="45"/>
      <c r="B7" s="46">
        <f>IFERROR(__xludf.DUMMYFUNCTION("""COMPUTED_VALUE"""),13.0)</f>
        <v>13</v>
      </c>
      <c r="C7" s="47" t="str">
        <f>IFERROR(__xludf.DUMMYFUNCTION("""COMPUTED_VALUE"""),"Atención al ciudadano")</f>
        <v>Atención al ciudadano</v>
      </c>
      <c r="D7" s="48" t="str">
        <f>IFERROR(__xludf.DUMMYFUNCTION("""COMPUTED_VALUE"""),"Atención al ciudadano")</f>
        <v>Atención al ciudadano</v>
      </c>
      <c r="E7" s="48" t="str">
        <f>IFERROR(__xludf.DUMMYFUNCTION("""COMPUTED_VALUE"""),"Fortalecimiento de la capacidad de gestión de la autoridad nacional de acuicultura y pesca - aunap nacional")</f>
        <v>Fortalecimiento de la capacidad de gestión de la autoridad nacional de acuicultura y pesca - aunap nacional</v>
      </c>
      <c r="F7" s="49">
        <f>IFERROR(__xludf.DUMMYFUNCTION("""COMPUTED_VALUE"""),2.018011000241E12)</f>
        <v>2018011000241</v>
      </c>
      <c r="G7" s="50" t="str">
        <f>IFERROR(__xludf.DUMMYFUNCTION("""COMPUTED_VALUE"""),"Fortalecimiento")</f>
        <v>Fortalecimiento</v>
      </c>
      <c r="H7" s="48" t="str">
        <f>IFERROR(__xludf.DUMMYFUNCTION("""COMPUTED_VALUE"""),"Fortalecer los sistemas de gestión de la Entidad")</f>
        <v>Fortalecer los sistemas de gestión de la Entidad</v>
      </c>
      <c r="I7" s="48" t="str">
        <f>IFERROR(__xludf.DUMMYFUNCTION("""COMPUTED_VALUE"""),"Servicio de Implementación Sistemas de Gestión")</f>
        <v>Servicio de Implementación Sistemas de Gestión</v>
      </c>
      <c r="J7"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7" s="51" t="str">
        <f>IFERROR(__xludf.DUMMYFUNCTION("""COMPUTED_VALUE"""),"Gestión del área")</f>
        <v>Gestión del área</v>
      </c>
      <c r="L7" s="51" t="str">
        <f>IFERROR(__xludf.DUMMYFUNCTION("""COMPUTED_VALUE"""),"Eficacia")</f>
        <v>Eficacia</v>
      </c>
      <c r="M7" s="51" t="str">
        <f>IFERROR(__xludf.DUMMYFUNCTION("""COMPUTED_VALUE"""),"Porcentaje")</f>
        <v>Porcentaje</v>
      </c>
      <c r="N7" s="52" t="str">
        <f>IFERROR(__xludf.DUMMYFUNCTION("""COMPUTED_VALUE"""),"Cantidad de PQRD´s con seguimiento atendidas en los terminos establecidos/cantidad total de PQRDs recibidas")</f>
        <v>Cantidad de PQRD´s con seguimiento atendidas en los terminos establecidos/cantidad total de PQRDs recibidas</v>
      </c>
      <c r="O7" s="53"/>
      <c r="P7" s="54">
        <f>IFERROR(__xludf.DUMMYFUNCTION("""COMPUTED_VALUE"""),1.0)</f>
        <v>1</v>
      </c>
      <c r="Q7" s="55" t="str">
        <f>IFERROR(__xludf.DUMMYFUNCTION("""COMPUTED_VALUE"""),"Hacer Seguimiento a las diferentes areas de la entidad con el fin de dar respuesta oportuna a las PQRD’s")</f>
        <v>Hacer Seguimiento a las diferentes areas de la entidad con el fin de dar respuesta oportuna a las PQRD’s</v>
      </c>
      <c r="R7" s="14" t="str">
        <f>IFERROR(__xludf.DUMMYFUNCTION("""COMPUTED_VALUE"""),"Semestral")</f>
        <v>Semestral</v>
      </c>
      <c r="S7" s="54">
        <f>IFERROR(__xludf.DUMMYFUNCTION("""COMPUTED_VALUE"""),0.0)</f>
        <v>0</v>
      </c>
      <c r="T7" s="54">
        <f>IFERROR(__xludf.DUMMYFUNCTION("""COMPUTED_VALUE"""),1.0)</f>
        <v>1</v>
      </c>
      <c r="U7" s="54">
        <f>IFERROR(__xludf.DUMMYFUNCTION("""COMPUTED_VALUE"""),0.0)</f>
        <v>0</v>
      </c>
      <c r="V7" s="54">
        <f>IFERROR(__xludf.DUMMYFUNCTION("""COMPUTED_VALUE"""),1.0)</f>
        <v>1</v>
      </c>
      <c r="W7" s="56" t="str">
        <f>IFERROR(__xludf.DUMMYFUNCTION("""COMPUTED_VALUE"""),"Administrativa")</f>
        <v>Administrativa</v>
      </c>
      <c r="X7" s="57" t="str">
        <f>IFERROR(__xludf.DUMMYFUNCTION("""COMPUTED_VALUE"""),"Gustavo Polo")</f>
        <v>Gustavo Polo</v>
      </c>
      <c r="Y7" s="47" t="str">
        <f>IFERROR(__xludf.DUMMYFUNCTION("""COMPUTED_VALUE"""),"Coordinador Administrativo")</f>
        <v>Coordinador Administrativo</v>
      </c>
      <c r="Z7" s="57" t="str">
        <f>IFERROR(__xludf.DUMMYFUNCTION("""COMPUTED_VALUE"""),"gustavo.polo@aunap.gov.co")</f>
        <v>gustavo.polo@aunap.gov.co</v>
      </c>
      <c r="AA7" s="47" t="str">
        <f>IFERROR(__xludf.DUMMYFUNCTION("""COMPUTED_VALUE"""),"Humanos, Físicos, Financieros, Tecnológicos")</f>
        <v>Humanos, Físicos, Financieros, Tecnológicos</v>
      </c>
      <c r="AB7" s="47" t="str">
        <f>IFERROR(__xludf.DUMMYFUNCTION("""COMPUTED_VALUE"""),"Plan Anticorrupción y de Atención al Ciudadano - PAAC")</f>
        <v>Plan Anticorrupción y de Atención al Ciudadano - PAAC</v>
      </c>
      <c r="AC7" s="47" t="str">
        <f>IFERROR(__xludf.DUMMYFUNCTION("""COMPUTED_VALUE"""),"Llegar con actividades de pesca y acuicultura a todas las regiones")</f>
        <v>Llegar con actividades de pesca y acuicultura a todas las regiones</v>
      </c>
      <c r="AD7" s="47" t="str">
        <f>IFERROR(__xludf.DUMMYFUNCTION("""COMPUTED_VALUE"""),"Gestión con valores para resultados")</f>
        <v>Gestión con valores para resultados</v>
      </c>
      <c r="AE7" s="47" t="str">
        <f>IFERROR(__xludf.DUMMYFUNCTION("""COMPUTED_VALUE"""),"Servicio al Ciudadano")</f>
        <v>Servicio al Ciudadano</v>
      </c>
      <c r="AF7" s="47" t="str">
        <f>IFERROR(__xludf.DUMMYFUNCTION("""COMPUTED_VALUE"""),"16. Paz, justicia e instituciones sólidas")</f>
        <v>16. Paz, justicia e instituciones sólidas</v>
      </c>
      <c r="AG7" s="80"/>
      <c r="AH7" s="59" t="str">
        <f>IFERROR(__xludf.DUMMYFUNCTION("""COMPUTED_VALUE"""),"Se realizo un control de las pqrsd el cual se llevado a los comites de gestión y desempeño, por parte del Secretario General y El Coordinador Administrativo")</f>
        <v>Se realizo un control de las pqrsd el cual se llevado a los comites de gestión y desempeño, por parte del Secretario General y El Coordinador Administrativo</v>
      </c>
      <c r="AI7" s="77" t="str">
        <f>IFERROR(__xludf.DUMMYFUNCTION("""COMPUTED_VALUE"""),"https://drive.google.com/drive/u/0/folders/1NeeVokVL0UOA8AnRGCwDs7ACoNQXV_EP")</f>
        <v>https://drive.google.com/drive/u/0/folders/1NeeVokVL0UOA8AnRGCwDs7ACoNQXV_EP</v>
      </c>
      <c r="AJ7" s="59"/>
      <c r="AK7" s="59"/>
      <c r="AL7" s="59">
        <f>IFERROR(__xludf.DUMMYFUNCTION("""COMPUTED_VALUE"""),44582.0)</f>
        <v>44582</v>
      </c>
      <c r="AM7" s="60"/>
      <c r="AN7" s="61" t="str">
        <f>IFERROR(IF((AO7+1)&lt;2,Alertas!$B$2&amp;TEXT(AO7,"0%")&amp;Alertas!$D$2, IF((AO7+1)=2,Alertas!$B$3,IF((AO7+1)&gt;2,Alertas!$B$4&amp;TEXT(AO7,"0%")&amp;Alertas!$D$4,AO7+1))),"Sin meta para el segundo trimestre")</f>
        <v>La ejecución de la meta registrada se encuentra por debajo de la meta programada en la formulación del plan de acción para el segundo trimestre, su porcentaje de cumplimiento es 0%, lo cual indica un incumplimiento que puede ser entendido por los entes de control como falencias en el proceso de planeación y gestión de la dependencia. se recomienda realizar acciones para garantizar el cumplimiento de la meta durante lo que resta de vigencia</v>
      </c>
      <c r="AO7" s="62">
        <f t="shared" si="2"/>
        <v>0</v>
      </c>
      <c r="AP7" s="61" t="str">
        <f t="shared" si="3"/>
        <v>No reporto ejecución. 
La ejecución de la meta registrada se encuentra por debajo de la meta programada en la formulación del plan de acción para el segundo trimestre, su porcentaje de cumplimiento es 0%, lo cual indica un incumplimiento que puede ser entendido por los entes de control como falencias en el proceso de planeación y gestión de la dependencia. se recomienda realizar acciones para garantizar el cumplimiento de la meta durante lo que resta de vigencia.</v>
      </c>
      <c r="AQ7" s="63"/>
      <c r="AR7" s="64"/>
      <c r="AS7" s="65"/>
      <c r="AT7" s="65"/>
      <c r="AU7" s="66"/>
      <c r="AV7" s="67"/>
      <c r="AW7" s="68"/>
      <c r="AX7" s="63"/>
      <c r="AY7" s="64"/>
      <c r="AZ7" s="69"/>
      <c r="BA7" s="65"/>
      <c r="BB7" s="70"/>
      <c r="BC7" s="71"/>
      <c r="BD7" s="72"/>
      <c r="BE7" s="73"/>
      <c r="BF7" s="64"/>
      <c r="BG7" s="69"/>
      <c r="BH7" s="65"/>
      <c r="BI7" s="66"/>
      <c r="BJ7" s="71"/>
      <c r="BK7" s="72"/>
      <c r="BL7" s="74"/>
      <c r="BN7" s="5" t="str">
        <f t="shared" si="4"/>
        <v>-1</v>
      </c>
      <c r="BP7" s="75" t="s">
        <v>90</v>
      </c>
      <c r="BQ7" s="13">
        <f t="shared" si="5"/>
        <v>1</v>
      </c>
      <c r="BR7" s="11">
        <f t="shared" si="6"/>
        <v>1</v>
      </c>
      <c r="BS7" s="11">
        <f t="shared" si="7"/>
        <v>1</v>
      </c>
      <c r="BT7" s="12">
        <f t="shared" si="8"/>
        <v>1.5</v>
      </c>
      <c r="BU7" s="11" t="str">
        <f t="shared" si="9"/>
        <v>Reporte con Sobre Ejecución</v>
      </c>
      <c r="BV7" s="76">
        <f t="shared" ref="BV7:BY7" si="13">COUNTIFS($D:$D,$BP7,$BN:$BN,BV$1)</f>
        <v>0</v>
      </c>
      <c r="BW7" s="76">
        <f t="shared" si="13"/>
        <v>0</v>
      </c>
      <c r="BX7" s="76">
        <f t="shared" si="13"/>
        <v>0</v>
      </c>
      <c r="BY7" s="76">
        <f t="shared" si="13"/>
        <v>1</v>
      </c>
    </row>
    <row r="8" ht="37.5" customHeight="1">
      <c r="A8" s="45"/>
      <c r="B8" s="46">
        <f>IFERROR(__xludf.DUMMYFUNCTION("""COMPUTED_VALUE"""),14.0)</f>
        <v>14</v>
      </c>
      <c r="C8" s="47" t="str">
        <f>IFERROR(__xludf.DUMMYFUNCTION("""COMPUTED_VALUE"""),"Atención al ciudadano")</f>
        <v>Atención al ciudadano</v>
      </c>
      <c r="D8" s="48" t="str">
        <f>IFERROR(__xludf.DUMMYFUNCTION("""COMPUTED_VALUE"""),"Atención al ciudadano")</f>
        <v>Atención al ciudadano</v>
      </c>
      <c r="E8" s="48" t="str">
        <f>IFERROR(__xludf.DUMMYFUNCTION("""COMPUTED_VALUE"""),"Fortalecimiento de la capacidad de gestión de la autoridad nacional de acuicultura y pesca - aunap nacional")</f>
        <v>Fortalecimiento de la capacidad de gestión de la autoridad nacional de acuicultura y pesca - aunap nacional</v>
      </c>
      <c r="F8" s="49">
        <f>IFERROR(__xludf.DUMMYFUNCTION("""COMPUTED_VALUE"""),2.018011000241E12)</f>
        <v>2018011000241</v>
      </c>
      <c r="G8" s="50" t="str">
        <f>IFERROR(__xludf.DUMMYFUNCTION("""COMPUTED_VALUE"""),"Fortalecimiento")</f>
        <v>Fortalecimiento</v>
      </c>
      <c r="H8" s="48" t="str">
        <f>IFERROR(__xludf.DUMMYFUNCTION("""COMPUTED_VALUE"""),"Fortalecer los sistemas de gestión de la Entidad")</f>
        <v>Fortalecer los sistemas de gestión de la Entidad</v>
      </c>
      <c r="I8" s="48" t="str">
        <f>IFERROR(__xludf.DUMMYFUNCTION("""COMPUTED_VALUE"""),"Servicio de Implementación Sistemas de Gestión")</f>
        <v>Servicio de Implementación Sistemas de Gestión</v>
      </c>
      <c r="J8"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8" s="51" t="str">
        <f>IFERROR(__xludf.DUMMYFUNCTION("""COMPUTED_VALUE"""),"Gestión del área")</f>
        <v>Gestión del área</v>
      </c>
      <c r="L8" s="51" t="str">
        <f>IFERROR(__xludf.DUMMYFUNCTION("""COMPUTED_VALUE"""),"Eficacia")</f>
        <v>Eficacia</v>
      </c>
      <c r="M8" s="51" t="str">
        <f>IFERROR(__xludf.DUMMYFUNCTION("""COMPUTED_VALUE"""),"Número")</f>
        <v>Número</v>
      </c>
      <c r="N8" s="52" t="str">
        <f>IFERROR(__xludf.DUMMYFUNCTION("""COMPUTED_VALUE"""),"Numero de actividades que realice la entidad donde se interactue con los ciudadanos apoyadas")</f>
        <v>Numero de actividades que realice la entidad donde se interactue con los ciudadanos apoyadas</v>
      </c>
      <c r="O8" s="53"/>
      <c r="P8" s="54">
        <f>IFERROR(__xludf.DUMMYFUNCTION("""COMPUTED_VALUE"""),2.0)</f>
        <v>2</v>
      </c>
      <c r="Q8" s="55" t="str">
        <f>IFERROR(__xludf.DUMMYFUNCTION("""COMPUTED_VALUE"""),"Apoyar en las diferentes actividades que haga la entidad donde se interactue conforme al plan de Participacion ciudadana")</f>
        <v>Apoyar en las diferentes actividades que haga la entidad donde se interactue conforme al plan de Participacion ciudadana</v>
      </c>
      <c r="R8" s="14" t="str">
        <f>IFERROR(__xludf.DUMMYFUNCTION("""COMPUTED_VALUE"""),"Trimestral")</f>
        <v>Trimestral</v>
      </c>
      <c r="S8" s="54">
        <f>IFERROR(__xludf.DUMMYFUNCTION("""COMPUTED_VALUE"""),0.0)</f>
        <v>0</v>
      </c>
      <c r="T8" s="54">
        <f>IFERROR(__xludf.DUMMYFUNCTION("""COMPUTED_VALUE"""),0.0)</f>
        <v>0</v>
      </c>
      <c r="U8" s="54">
        <f>IFERROR(__xludf.DUMMYFUNCTION("""COMPUTED_VALUE"""),1.0)</f>
        <v>1</v>
      </c>
      <c r="V8" s="54">
        <f>IFERROR(__xludf.DUMMYFUNCTION("""COMPUTED_VALUE"""),1.0)</f>
        <v>1</v>
      </c>
      <c r="W8" s="56" t="str">
        <f>IFERROR(__xludf.DUMMYFUNCTION("""COMPUTED_VALUE"""),"Administrativa")</f>
        <v>Administrativa</v>
      </c>
      <c r="X8" s="57" t="str">
        <f>IFERROR(__xludf.DUMMYFUNCTION("""COMPUTED_VALUE"""),"Gustavo Polo")</f>
        <v>Gustavo Polo</v>
      </c>
      <c r="Y8" s="47" t="str">
        <f>IFERROR(__xludf.DUMMYFUNCTION("""COMPUTED_VALUE"""),"Coordinador Administrativo")</f>
        <v>Coordinador Administrativo</v>
      </c>
      <c r="Z8" s="57" t="str">
        <f>IFERROR(__xludf.DUMMYFUNCTION("""COMPUTED_VALUE"""),"gustavo.polo@aunap.gov.co")</f>
        <v>gustavo.polo@aunap.gov.co</v>
      </c>
      <c r="AA8" s="47" t="str">
        <f>IFERROR(__xludf.DUMMYFUNCTION("""COMPUTED_VALUE"""),"Humanos, Físicos, Financieros, Tecnológicos")</f>
        <v>Humanos, Físicos, Financieros, Tecnológicos</v>
      </c>
      <c r="AB8" s="47" t="str">
        <f>IFERROR(__xludf.DUMMYFUNCTION("""COMPUTED_VALUE"""),"Plan de Participación Ciudadana")</f>
        <v>Plan de Participación Ciudadana</v>
      </c>
      <c r="AC8" s="47" t="str">
        <f>IFERROR(__xludf.DUMMYFUNCTION("""COMPUTED_VALUE"""),"Llegar con actividades de pesca y acuicultura a todas las regiones")</f>
        <v>Llegar con actividades de pesca y acuicultura a todas las regiones</v>
      </c>
      <c r="AD8" s="47" t="str">
        <f>IFERROR(__xludf.DUMMYFUNCTION("""COMPUTED_VALUE"""),"Gestión con valores para resultados")</f>
        <v>Gestión con valores para resultados</v>
      </c>
      <c r="AE8" s="47" t="str">
        <f>IFERROR(__xludf.DUMMYFUNCTION("""COMPUTED_VALUE"""),"Servicio al Ciudadano")</f>
        <v>Servicio al Ciudadano</v>
      </c>
      <c r="AF8" s="47" t="str">
        <f>IFERROR(__xludf.DUMMYFUNCTION("""COMPUTED_VALUE"""),"16. Paz, justicia e instituciones sólidas")</f>
        <v>16. Paz, justicia e instituciones sólidas</v>
      </c>
      <c r="AG8" s="58"/>
      <c r="AH8" s="59" t="str">
        <f>IFERROR(__xludf.DUMMYFUNCTION("""COMPUTED_VALUE"""),"Ya se cumplio a cabalidad con dicha actividad, para lo cual este trimestre no se debia reportar")</f>
        <v>Ya se cumplio a cabalidad con dicha actividad, para lo cual este trimestre no se debia reportar</v>
      </c>
      <c r="AI8" s="59"/>
      <c r="AJ8" s="59"/>
      <c r="AK8" s="59"/>
      <c r="AL8" s="59">
        <f>IFERROR(__xludf.DUMMYFUNCTION("""COMPUTED_VALUE"""),44582.0)</f>
        <v>44582</v>
      </c>
      <c r="AM8" s="60"/>
      <c r="AN8" s="61" t="str">
        <f>IFERROR(IF((AO8+1)&lt;2,Alertas!$B$2&amp;TEXT(AO8,"0%")&amp;Alertas!$D$2, IF((AO8+1)=2,Alertas!$B$3,IF((AO8+1)&gt;2,Alertas!$B$4&amp;TEXT(AO8,"0%")&amp;Alertas!$D$4,AO8+1))),"Sin meta para el segundo trimestre")</f>
        <v>Sin meta para el segundo trimestre</v>
      </c>
      <c r="AO8" s="62" t="str">
        <f t="shared" si="2"/>
        <v>-</v>
      </c>
      <c r="AP8" s="61" t="str">
        <f t="shared" si="3"/>
        <v>Sin meta para el segundo trimestre.</v>
      </c>
      <c r="AQ8" s="63"/>
      <c r="AR8" s="64"/>
      <c r="AS8" s="65"/>
      <c r="AT8" s="65"/>
      <c r="AU8" s="66"/>
      <c r="AV8" s="67"/>
      <c r="AW8" s="68"/>
      <c r="AX8" s="63"/>
      <c r="AY8" s="64"/>
      <c r="AZ8" s="69"/>
      <c r="BA8" s="65"/>
      <c r="BB8" s="70"/>
      <c r="BC8" s="71"/>
      <c r="BD8" s="72"/>
      <c r="BE8" s="73"/>
      <c r="BF8" s="64"/>
      <c r="BG8" s="69"/>
      <c r="BH8" s="65"/>
      <c r="BI8" s="66"/>
      <c r="BJ8" s="71"/>
      <c r="BK8" s="72"/>
      <c r="BL8" s="74"/>
      <c r="BN8" s="5" t="str">
        <f t="shared" si="4"/>
        <v>-</v>
      </c>
      <c r="BP8" s="75" t="s">
        <v>91</v>
      </c>
      <c r="BQ8" s="13">
        <f t="shared" si="5"/>
        <v>13</v>
      </c>
      <c r="BR8" s="11">
        <f t="shared" si="6"/>
        <v>5</v>
      </c>
      <c r="BS8" s="11">
        <f t="shared" si="7"/>
        <v>13</v>
      </c>
      <c r="BT8" s="12">
        <f t="shared" si="8"/>
        <v>3276.103286</v>
      </c>
      <c r="BU8" s="11" t="str">
        <f t="shared" si="9"/>
        <v>Reporte con Sobre Ejecución</v>
      </c>
      <c r="BV8" s="76">
        <f t="shared" ref="BV8:BY8" si="14">COUNTIFS($D:$D,$BP8,$BN:$BN,BV$1)</f>
        <v>0</v>
      </c>
      <c r="BW8" s="76">
        <f t="shared" si="14"/>
        <v>1</v>
      </c>
      <c r="BX8" s="76">
        <f t="shared" si="14"/>
        <v>0</v>
      </c>
      <c r="BY8" s="76">
        <f t="shared" si="14"/>
        <v>12</v>
      </c>
    </row>
    <row r="9" ht="37.5" customHeight="1">
      <c r="A9" s="45"/>
      <c r="B9" s="46">
        <f>IFERROR(__xludf.DUMMYFUNCTION("""COMPUTED_VALUE"""),4.0)</f>
        <v>4</v>
      </c>
      <c r="C9" s="47" t="str">
        <f>IFERROR(__xludf.DUMMYFUNCTION("""COMPUTED_VALUE"""),"Comunicación estratégica")</f>
        <v>Comunicación estratégica</v>
      </c>
      <c r="D9" s="48" t="str">
        <f>IFERROR(__xludf.DUMMYFUNCTION("""COMPUTED_VALUE"""),"Comunicaciones")</f>
        <v>Comunicaciones</v>
      </c>
      <c r="E9" s="48" t="str">
        <f>IFERROR(__xludf.DUMMYFUNCTION("""COMPUTED_VALUE"""),"Fortalecimiento de la capacidad de gestión de la autoridad nacional de acuicultura y pesca - aunap nacional")</f>
        <v>Fortalecimiento de la capacidad de gestión de la autoridad nacional de acuicultura y pesca - aunap nacional</v>
      </c>
      <c r="F9" s="49">
        <f>IFERROR(__xludf.DUMMYFUNCTION("""COMPUTED_VALUE"""),2.018011000241E12)</f>
        <v>2018011000241</v>
      </c>
      <c r="G9" s="50" t="str">
        <f>IFERROR(__xludf.DUMMYFUNCTION("""COMPUTED_VALUE"""),"Fortalecimiento")</f>
        <v>Fortalecimiento</v>
      </c>
      <c r="H9" s="48" t="str">
        <f>IFERROR(__xludf.DUMMYFUNCTION("""COMPUTED_VALUE"""),"Fortalecer los sistemas de gestión de la Entidad")</f>
        <v>Fortalecer los sistemas de gestión de la Entidad</v>
      </c>
      <c r="I9" s="48" t="str">
        <f>IFERROR(__xludf.DUMMYFUNCTION("""COMPUTED_VALUE"""),"Servicio de Implementación Sistemas de Gestión")</f>
        <v>Servicio de Implementación Sistemas de Gestión</v>
      </c>
      <c r="J9"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9" s="51" t="str">
        <f>IFERROR(__xludf.DUMMYFUNCTION("""COMPUTED_VALUE"""),"Gestión del área")</f>
        <v>Gestión del área</v>
      </c>
      <c r="L9" s="51" t="str">
        <f>IFERROR(__xludf.DUMMYFUNCTION("""COMPUTED_VALUE"""),"Eficacia")</f>
        <v>Eficacia</v>
      </c>
      <c r="M9" s="51" t="str">
        <f>IFERROR(__xludf.DUMMYFUNCTION("""COMPUTED_VALUE"""),"Número")</f>
        <v>Número</v>
      </c>
      <c r="N9" s="52" t="str">
        <f>IFERROR(__xludf.DUMMYFUNCTION("""COMPUTED_VALUE"""),"Publicaciones de contenido institucional divulgado en alguno de los canales dispuestos por la entidad")</f>
        <v>Publicaciones de contenido institucional divulgado en alguno de los canales dispuestos por la entidad</v>
      </c>
      <c r="O9" s="53"/>
      <c r="P9" s="54">
        <f>IFERROR(__xludf.DUMMYFUNCTION("""COMPUTED_VALUE"""),22.0)</f>
        <v>22</v>
      </c>
      <c r="Q9" s="55" t="str">
        <f>IFERROR(__xludf.DUMMYFUNCTION("""COMPUTED_VALUE"""),"Editar, adaptar y divulgar contenido institucional de la gestión realizada por la entidad para su posicionamiento externo ante los diferentes grupos de interés")</f>
        <v>Editar, adaptar y divulgar contenido institucional de la gestión realizada por la entidad para su posicionamiento externo ante los diferentes grupos de interés</v>
      </c>
      <c r="R9" s="14" t="str">
        <f>IFERROR(__xludf.DUMMYFUNCTION("""COMPUTED_VALUE"""),"Mensual")</f>
        <v>Mensual</v>
      </c>
      <c r="S9" s="54">
        <f>IFERROR(__xludf.DUMMYFUNCTION("""COMPUTED_VALUE"""),4.0)</f>
        <v>4</v>
      </c>
      <c r="T9" s="54">
        <f>IFERROR(__xludf.DUMMYFUNCTION("""COMPUTED_VALUE"""),6.0)</f>
        <v>6</v>
      </c>
      <c r="U9" s="54">
        <f>IFERROR(__xludf.DUMMYFUNCTION("""COMPUTED_VALUE"""),6.0)</f>
        <v>6</v>
      </c>
      <c r="V9" s="54">
        <f>IFERROR(__xludf.DUMMYFUNCTION("""COMPUTED_VALUE"""),6.0)</f>
        <v>6</v>
      </c>
      <c r="W9" s="56" t="str">
        <f>IFERROR(__xludf.DUMMYFUNCTION("""COMPUTED_VALUE"""),"Comunicaciones")</f>
        <v>Comunicaciones</v>
      </c>
      <c r="X9" s="57" t="str">
        <f>IFERROR(__xludf.DUMMYFUNCTION("""COMPUTED_VALUE"""),"Leidy Hidalgo")</f>
        <v>Leidy Hidalgo</v>
      </c>
      <c r="Y9" s="47" t="str">
        <f>IFERROR(__xludf.DUMMYFUNCTION("""COMPUTED_VALUE"""),"Profesional Especializado")</f>
        <v>Profesional Especializado</v>
      </c>
      <c r="Z9" s="57" t="str">
        <f>IFERROR(__xludf.DUMMYFUNCTION("""COMPUTED_VALUE"""),"leidy.hidalgo@aunap.gov.co")</f>
        <v>leidy.hidalgo@aunap.gov.co</v>
      </c>
      <c r="AA9" s="47" t="str">
        <f>IFERROR(__xludf.DUMMYFUNCTION("""COMPUTED_VALUE"""),"Humanos, Físicos, Financieros, Tecnológicos")</f>
        <v>Humanos, Físicos, Financieros, Tecnológicos</v>
      </c>
      <c r="AB9" s="47" t="str">
        <f>IFERROR(__xludf.DUMMYFUNCTION("""COMPUTED_VALUE"""),"No asociado")</f>
        <v>No asociado</v>
      </c>
      <c r="AC9" s="47" t="str">
        <f>IFERROR(__xludf.DUMMYFUNCTION("""COMPUTED_VALUE"""),"Llegar con actividades de pesca y acuicultura a todas las regiones")</f>
        <v>Llegar con actividades de pesca y acuicultura a todas las regiones</v>
      </c>
      <c r="AD9" s="47" t="str">
        <f>IFERROR(__xludf.DUMMYFUNCTION("""COMPUTED_VALUE"""),"Información y comunicación")</f>
        <v>Información y comunicación</v>
      </c>
      <c r="AE9" s="47" t="str">
        <f>IFERROR(__xludf.DUMMYFUNCTION("""COMPUTED_VALUE"""),"Transparencia, acceso a la información pública y lucha contra la corrupción")</f>
        <v>Transparencia, acceso a la información pública y lucha contra la corrupción</v>
      </c>
      <c r="AF9" s="47" t="str">
        <f>IFERROR(__xludf.DUMMYFUNCTION("""COMPUTED_VALUE"""),"12. Producción y consumo responsable")</f>
        <v>12. Producción y consumo responsable</v>
      </c>
      <c r="AG9" s="58">
        <f>IFERROR(__xludf.DUMMYFUNCTION("""COMPUTED_VALUE"""),6.0)</f>
        <v>6</v>
      </c>
      <c r="AH9" s="59" t="str">
        <f>IFERROR(__xludf.DUMMYFUNCTION("""COMPUTED_VALUE"""),"
Durante el IV trimestre se Editó, adaptó y divulgó (6) contenido institucional de la gestión realizada por la entidad para su posicionamiento externo ante los diferentes grupos de interés.
")</f>
        <v>
Durante el IV trimestre se Editó, adaptó y divulgó (6) contenido institucional de la gestión realizada por la entidad para su posicionamiento externo ante los diferentes grupos de interés.
</v>
      </c>
      <c r="AI9" s="77" t="str">
        <f>IFERROR(__xludf.DUMMYFUNCTION("""COMPUTED_VALUE"""),"https://docs.google.com/document/d/1tDp6Pi_wZabxQUC3WokBzbbtKyQC_SrD/edit?usp=sharing&amp;ouid=116882571820126477784&amp;rtpof=true&amp;sd=true")</f>
        <v>https://docs.google.com/document/d/1tDp6Pi_wZabxQUC3WokBzbbtKyQC_SrD/edit?usp=sharing&amp;ouid=116882571820126477784&amp;rtpof=true&amp;sd=true</v>
      </c>
      <c r="AJ9" s="59">
        <f>IFERROR(__xludf.DUMMYFUNCTION("""COMPUTED_VALUE"""),22.0)</f>
        <v>22</v>
      </c>
      <c r="AK9" s="59" t="str">
        <f>IFERROR(__xludf.DUMMYFUNCTION("""COMPUTED_VALUE"""),"Durante el 2021 se dio cumplimiento a la meta, editando adaptando y divulgando contenidos con base a los insumos enviados por las áreas.")</f>
        <v>Durante el 2021 se dio cumplimiento a la meta, editando adaptando y divulgando contenidos con base a los insumos enviados por las áreas.</v>
      </c>
      <c r="AL9" s="59">
        <f>IFERROR(__xludf.DUMMYFUNCTION("""COMPUTED_VALUE"""),44582.0)</f>
        <v>44582</v>
      </c>
      <c r="AM9" s="60"/>
      <c r="AN9" s="61" t="str">
        <f>IFERROR(IF((AO9+1)&lt;2,Alertas!$B$2&amp;TEXT(AO9,"0%")&amp;Alertas!$D$2, IF((AO9+1)=2,Alertas!$B$3,IF((AO9+1)&gt;2,Alertas!$B$4&amp;TEXT(AO9,"0%")&amp;Alertas!$D$4,AO9+1))),"Sin meta para el segundo trimestre")</f>
        <v>La ejecución de la meta registrada se encuentra acorde a la meta programada en la formulación del plan de acción para el segundo trimestre</v>
      </c>
      <c r="AO9" s="62">
        <f t="shared" si="2"/>
        <v>1</v>
      </c>
      <c r="AP9" s="61" t="str">
        <f t="shared" si="3"/>
        <v>La ejecución de la meta registrada se encuentra acorde a la meta programada en la formulación del plan de acción para el segundo trimestre.</v>
      </c>
      <c r="AQ9" s="63"/>
      <c r="AR9" s="64"/>
      <c r="AS9" s="65"/>
      <c r="AT9" s="65"/>
      <c r="AU9" s="66"/>
      <c r="AV9" s="67"/>
      <c r="AW9" s="68"/>
      <c r="AX9" s="63"/>
      <c r="AY9" s="64"/>
      <c r="AZ9" s="69"/>
      <c r="BA9" s="65"/>
      <c r="BB9" s="70"/>
      <c r="BC9" s="71"/>
      <c r="BD9" s="72"/>
      <c r="BE9" s="73"/>
      <c r="BF9" s="64"/>
      <c r="BG9" s="69"/>
      <c r="BH9" s="65"/>
      <c r="BI9" s="66"/>
      <c r="BJ9" s="71"/>
      <c r="BK9" s="72"/>
      <c r="BL9" s="74"/>
      <c r="BN9" s="5" t="str">
        <f t="shared" si="4"/>
        <v>0</v>
      </c>
      <c r="BP9" s="75" t="s">
        <v>92</v>
      </c>
      <c r="BQ9" s="13">
        <f t="shared" si="5"/>
        <v>3</v>
      </c>
      <c r="BR9" s="11">
        <f t="shared" si="6"/>
        <v>2</v>
      </c>
      <c r="BS9" s="11">
        <f t="shared" si="7"/>
        <v>3</v>
      </c>
      <c r="BT9" s="12">
        <f t="shared" si="8"/>
        <v>1.333333333</v>
      </c>
      <c r="BU9" s="11" t="str">
        <f t="shared" si="9"/>
        <v>Reporte con Sobre Ejecución</v>
      </c>
      <c r="BV9" s="76">
        <f t="shared" ref="BV9:BY9" si="15">COUNTIFS($D:$D,$BP9,$BN:$BN,BV$1)</f>
        <v>0</v>
      </c>
      <c r="BW9" s="76">
        <f t="shared" si="15"/>
        <v>0</v>
      </c>
      <c r="BX9" s="76">
        <f t="shared" si="15"/>
        <v>2</v>
      </c>
      <c r="BY9" s="76">
        <f t="shared" si="15"/>
        <v>1</v>
      </c>
    </row>
    <row r="10" ht="37.5" customHeight="1">
      <c r="A10" s="45"/>
      <c r="B10" s="46">
        <f>IFERROR(__xludf.DUMMYFUNCTION("""COMPUTED_VALUE"""),5.0)</f>
        <v>5</v>
      </c>
      <c r="C10" s="47" t="str">
        <f>IFERROR(__xludf.DUMMYFUNCTION("""COMPUTED_VALUE"""),"Comunicación estratégica")</f>
        <v>Comunicación estratégica</v>
      </c>
      <c r="D10" s="48" t="str">
        <f>IFERROR(__xludf.DUMMYFUNCTION("""COMPUTED_VALUE"""),"Comunicaciones")</f>
        <v>Comunicaciones</v>
      </c>
      <c r="E10" s="48" t="str">
        <f>IFERROR(__xludf.DUMMYFUNCTION("""COMPUTED_VALUE"""),"Fortalecimiento de la capacidad de gestión de la autoridad nacional de acuicultura y pesca - aunap nacional")</f>
        <v>Fortalecimiento de la capacidad de gestión de la autoridad nacional de acuicultura y pesca - aunap nacional</v>
      </c>
      <c r="F10" s="49">
        <f>IFERROR(__xludf.DUMMYFUNCTION("""COMPUTED_VALUE"""),2.018011000241E12)</f>
        <v>2018011000241</v>
      </c>
      <c r="G10" s="50" t="str">
        <f>IFERROR(__xludf.DUMMYFUNCTION("""COMPUTED_VALUE"""),"Fortalecimiento")</f>
        <v>Fortalecimiento</v>
      </c>
      <c r="H10" s="48" t="str">
        <f>IFERROR(__xludf.DUMMYFUNCTION("""COMPUTED_VALUE"""),"Fortalecer los sistemas de gestión de la Entidad")</f>
        <v>Fortalecer los sistemas de gestión de la Entidad</v>
      </c>
      <c r="I10" s="48" t="str">
        <f>IFERROR(__xludf.DUMMYFUNCTION("""COMPUTED_VALUE"""),"Servicio de Implementación Sistemas de Gestión")</f>
        <v>Servicio de Implementación Sistemas de Gestión</v>
      </c>
      <c r="J10"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10" s="51" t="str">
        <f>IFERROR(__xludf.DUMMYFUNCTION("""COMPUTED_VALUE"""),"Gestión del área")</f>
        <v>Gestión del área</v>
      </c>
      <c r="L10" s="51" t="str">
        <f>IFERROR(__xludf.DUMMYFUNCTION("""COMPUTED_VALUE"""),"Eficacia")</f>
        <v>Eficacia</v>
      </c>
      <c r="M10" s="51" t="str">
        <f>IFERROR(__xludf.DUMMYFUNCTION("""COMPUTED_VALUE"""),"Porcentaje")</f>
        <v>Porcentaje</v>
      </c>
      <c r="N10" s="52" t="str">
        <f>IFERROR(__xludf.DUMMYFUNCTION("""COMPUTED_VALUE"""),"Número de piezas de comunicación interna diseñadas y divulgadas/Número de piezas de comunicación interna solicitadas")</f>
        <v>Número de piezas de comunicación interna diseñadas y divulgadas/Número de piezas de comunicación interna solicitadas</v>
      </c>
      <c r="O10" s="53"/>
      <c r="P10" s="54">
        <f>IFERROR(__xludf.DUMMYFUNCTION("""COMPUTED_VALUE"""),1.0)</f>
        <v>1</v>
      </c>
      <c r="Q10" s="55" t="str">
        <f>IFERROR(__xludf.DUMMYFUNCTION("""COMPUTED_VALUE"""),"Diseñar y divulgar piezas de comunicación internas con base a la información allegada por las diferentes dependencias de la entidad")</f>
        <v>Diseñar y divulgar piezas de comunicación internas con base a la información allegada por las diferentes dependencias de la entidad</v>
      </c>
      <c r="R10" s="14" t="str">
        <f>IFERROR(__xludf.DUMMYFUNCTION("""COMPUTED_VALUE"""),"Mensual")</f>
        <v>Mensual</v>
      </c>
      <c r="S10" s="54">
        <f>IFERROR(__xludf.DUMMYFUNCTION("""COMPUTED_VALUE"""),1.0)</f>
        <v>1</v>
      </c>
      <c r="T10" s="54">
        <f>IFERROR(__xludf.DUMMYFUNCTION("""COMPUTED_VALUE"""),1.0)</f>
        <v>1</v>
      </c>
      <c r="U10" s="54">
        <f>IFERROR(__xludf.DUMMYFUNCTION("""COMPUTED_VALUE"""),1.0)</f>
        <v>1</v>
      </c>
      <c r="V10" s="54">
        <f>IFERROR(__xludf.DUMMYFUNCTION("""COMPUTED_VALUE"""),1.0)</f>
        <v>1</v>
      </c>
      <c r="W10" s="56" t="str">
        <f>IFERROR(__xludf.DUMMYFUNCTION("""COMPUTED_VALUE"""),"Comunicaciones")</f>
        <v>Comunicaciones</v>
      </c>
      <c r="X10" s="57" t="str">
        <f>IFERROR(__xludf.DUMMYFUNCTION("""COMPUTED_VALUE"""),"Leidy Hidalgo")</f>
        <v>Leidy Hidalgo</v>
      </c>
      <c r="Y10" s="47" t="str">
        <f>IFERROR(__xludf.DUMMYFUNCTION("""COMPUTED_VALUE"""),"Profesional Especializado")</f>
        <v>Profesional Especializado</v>
      </c>
      <c r="Z10" s="57" t="str">
        <f>IFERROR(__xludf.DUMMYFUNCTION("""COMPUTED_VALUE"""),"leidy.hidalgo@aunap.gov.co")</f>
        <v>leidy.hidalgo@aunap.gov.co</v>
      </c>
      <c r="AA10" s="47" t="str">
        <f>IFERROR(__xludf.DUMMYFUNCTION("""COMPUTED_VALUE"""),"Humanos, Físicos, Financieros, Tecnológicos")</f>
        <v>Humanos, Físicos, Financieros, Tecnológicos</v>
      </c>
      <c r="AB10" s="47" t="str">
        <f>IFERROR(__xludf.DUMMYFUNCTION("""COMPUTED_VALUE"""),"No asociado")</f>
        <v>No asociado</v>
      </c>
      <c r="AC10" s="47" t="str">
        <f>IFERROR(__xludf.DUMMYFUNCTION("""COMPUTED_VALUE"""),"Llegar con actividades de pesca y acuicultura a todas las regiones")</f>
        <v>Llegar con actividades de pesca y acuicultura a todas las regiones</v>
      </c>
      <c r="AD10" s="47" t="str">
        <f>IFERROR(__xludf.DUMMYFUNCTION("""COMPUTED_VALUE"""),"Información y comunicación")</f>
        <v>Información y comunicación</v>
      </c>
      <c r="AE10" s="47" t="str">
        <f>IFERROR(__xludf.DUMMYFUNCTION("""COMPUTED_VALUE"""),"Transparencia, acceso a la información pública y lucha contra la corrupción")</f>
        <v>Transparencia, acceso a la información pública y lucha contra la corrupción</v>
      </c>
      <c r="AF10" s="47" t="str">
        <f>IFERROR(__xludf.DUMMYFUNCTION("""COMPUTED_VALUE"""),"12. Producción y consumo responsable")</f>
        <v>12. Producción y consumo responsable</v>
      </c>
      <c r="AG10" s="80">
        <f>IFERROR(__xludf.DUMMYFUNCTION("""COMPUTED_VALUE"""),1.0)</f>
        <v>1</v>
      </c>
      <c r="AH10" s="59" t="str">
        <f>IFERROR(__xludf.DUMMYFUNCTION("""COMPUTED_VALUE"""),"Durante este periodo se diseñaron y divulgaron piezas de comunicación internas con base a la información allegada por las diferentes dependencias de la entidad., a traves del aplicativo dispuesto por el equipo de comunicaciones se allegaron las solicitude"&amp;"s, las cuales se respondieron en un 100%. ")</f>
        <v>Durante este periodo se diseñaron y divulgaron piezas de comunicación internas con base a la información allegada por las diferentes dependencias de la entidad., a traves del aplicativo dispuesto por el equipo de comunicaciones se allegaron las solicitudes, las cuales se respondieron en un 100%. </v>
      </c>
      <c r="AI10" s="81" t="str">
        <f>IFERROR(__xludf.DUMMYFUNCTION("""COMPUTED_VALUE"""),"https://drive.google.com/drive/u/0/folders/10aWV64qMA5fJwSdEBPREtH-AvRche6xV")</f>
        <v>https://drive.google.com/drive/u/0/folders/10aWV64qMA5fJwSdEBPREtH-AvRche6xV</v>
      </c>
      <c r="AJ10" s="59">
        <f>IFERROR(__xludf.DUMMYFUNCTION("""COMPUTED_VALUE"""),1.0)</f>
        <v>1</v>
      </c>
      <c r="AK10" s="59" t="str">
        <f>IFERROR(__xludf.DUMMYFUNCTION("""COMPUTED_VALUE"""),"Durante este año se diseñaron y divulgaron piezas de comunicación internas con base a la información allegada por las diferentes dependencias de la entidad., a traves del aplicativo dispuesto por el equipo de comunicaciones se allegaron las solicitudes, l"&amp;"as cuales se respondieron en un 100%. ")</f>
        <v>Durante este año se diseñaron y divulgaron piezas de comunicación internas con base a la información allegada por las diferentes dependencias de la entidad., a traves del aplicativo dispuesto por el equipo de comunicaciones se allegaron las solicitudes, las cuales se respondieron en un 100%. </v>
      </c>
      <c r="AL10" s="59">
        <f>IFERROR(__xludf.DUMMYFUNCTION("""COMPUTED_VALUE"""),44582.0)</f>
        <v>44582</v>
      </c>
      <c r="AM10" s="60"/>
      <c r="AN10" s="61" t="str">
        <f>IFERROR(IF((AO10+1)&lt;2,Alertas!$B$2&amp;TEXT(AO10,"0%")&amp;Alertas!$D$2, IF((AO10+1)=2,Alertas!$B$3,IF((AO10+1)&gt;2,Alertas!$B$4&amp;TEXT(AO10,"0%")&amp;Alertas!$D$4,AO10+1))),"Sin meta para el segundo trimestre")</f>
        <v>La ejecución de la meta registrada se encuentra acorde a la meta programada en la formulación del plan de acción para el segundo trimestre</v>
      </c>
      <c r="AO10" s="62">
        <f t="shared" si="2"/>
        <v>1</v>
      </c>
      <c r="AP10" s="61" t="str">
        <f t="shared" si="3"/>
        <v>La ejecución de la meta registrada se encuentra acorde a la meta programada en la formulación del plan de acción para el segundo trimestre.</v>
      </c>
      <c r="AQ10" s="63"/>
      <c r="AR10" s="64"/>
      <c r="AS10" s="65"/>
      <c r="AT10" s="65"/>
      <c r="AU10" s="66"/>
      <c r="AV10" s="67"/>
      <c r="AW10" s="68"/>
      <c r="AX10" s="63"/>
      <c r="AY10" s="64"/>
      <c r="AZ10" s="69"/>
      <c r="BA10" s="65"/>
      <c r="BB10" s="70"/>
      <c r="BC10" s="71"/>
      <c r="BD10" s="72"/>
      <c r="BE10" s="73"/>
      <c r="BF10" s="64"/>
      <c r="BG10" s="69"/>
      <c r="BH10" s="65"/>
      <c r="BI10" s="66"/>
      <c r="BJ10" s="71"/>
      <c r="BK10" s="72"/>
      <c r="BL10" s="74"/>
      <c r="BN10" s="5" t="str">
        <f t="shared" si="4"/>
        <v>0</v>
      </c>
      <c r="BP10" s="75" t="s">
        <v>93</v>
      </c>
      <c r="BQ10" s="13">
        <f t="shared" si="5"/>
        <v>7</v>
      </c>
      <c r="BR10" s="11">
        <f t="shared" si="6"/>
        <v>5</v>
      </c>
      <c r="BS10" s="11">
        <f t="shared" si="7"/>
        <v>6</v>
      </c>
      <c r="BT10" s="12">
        <f t="shared" si="8"/>
        <v>1.508036338</v>
      </c>
      <c r="BU10" s="11" t="str">
        <f t="shared" si="9"/>
        <v>Reporte con Sobre Ejecución</v>
      </c>
      <c r="BV10" s="76">
        <f t="shared" ref="BV10:BY10" si="16">COUNTIFS($D:$D,$BP10,$BN:$BN,BV$1)</f>
        <v>1</v>
      </c>
      <c r="BW10" s="76">
        <f t="shared" si="16"/>
        <v>1</v>
      </c>
      <c r="BX10" s="76">
        <f t="shared" si="16"/>
        <v>3</v>
      </c>
      <c r="BY10" s="76">
        <f t="shared" si="16"/>
        <v>2</v>
      </c>
    </row>
    <row r="11" ht="37.5" customHeight="1">
      <c r="A11" s="45"/>
      <c r="B11" s="46">
        <f>IFERROR(__xludf.DUMMYFUNCTION("""COMPUTED_VALUE"""),6.0)</f>
        <v>6</v>
      </c>
      <c r="C11" s="47" t="str">
        <f>IFERROR(__xludf.DUMMYFUNCTION("""COMPUTED_VALUE"""),"Comunicación estratégica")</f>
        <v>Comunicación estratégica</v>
      </c>
      <c r="D11" s="48" t="str">
        <f>IFERROR(__xludf.DUMMYFUNCTION("""COMPUTED_VALUE"""),"Comunicaciones")</f>
        <v>Comunicaciones</v>
      </c>
      <c r="E11" s="48" t="str">
        <f>IFERROR(__xludf.DUMMYFUNCTION("""COMPUTED_VALUE"""),"Fortalecimiento de la capacidad de gestión de la autoridad nacional de acuicultura y pesca - aunap nacional")</f>
        <v>Fortalecimiento de la capacidad de gestión de la autoridad nacional de acuicultura y pesca - aunap nacional</v>
      </c>
      <c r="F11" s="49">
        <f>IFERROR(__xludf.DUMMYFUNCTION("""COMPUTED_VALUE"""),2.018011000241E12)</f>
        <v>2018011000241</v>
      </c>
      <c r="G11" s="50" t="str">
        <f>IFERROR(__xludf.DUMMYFUNCTION("""COMPUTED_VALUE"""),"Fortalecimiento")</f>
        <v>Fortalecimiento</v>
      </c>
      <c r="H11" s="48" t="str">
        <f>IFERROR(__xludf.DUMMYFUNCTION("""COMPUTED_VALUE"""),"Fortalecer los sistemas de gestión de la Entidad")</f>
        <v>Fortalecer los sistemas de gestión de la Entidad</v>
      </c>
      <c r="I11" s="48" t="str">
        <f>IFERROR(__xludf.DUMMYFUNCTION("""COMPUTED_VALUE"""),"Servicio de Implementación Sistemas de Gestión")</f>
        <v>Servicio de Implementación Sistemas de Gestión</v>
      </c>
      <c r="J11"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11" s="51" t="str">
        <f>IFERROR(__xludf.DUMMYFUNCTION("""COMPUTED_VALUE"""),"Gestión del área")</f>
        <v>Gestión del área</v>
      </c>
      <c r="L11" s="51" t="str">
        <f>IFERROR(__xludf.DUMMYFUNCTION("""COMPUTED_VALUE"""),"eficacia")</f>
        <v>eficacia</v>
      </c>
      <c r="M11" s="51" t="str">
        <f>IFERROR(__xludf.DUMMYFUNCTION("""COMPUTED_VALUE"""),"Número")</f>
        <v>Número</v>
      </c>
      <c r="N11" s="52" t="str">
        <f>IFERROR(__xludf.DUMMYFUNCTION("""COMPUTED_VALUE"""),"Productos comunicativos (revistas, newletter, infografias, etc)")</f>
        <v>Productos comunicativos (revistas, newletter, infografias, etc)</v>
      </c>
      <c r="O11" s="53"/>
      <c r="P11" s="78">
        <f>IFERROR(__xludf.DUMMYFUNCTION("""COMPUTED_VALUE"""),20.0)</f>
        <v>20</v>
      </c>
      <c r="Q11" s="79" t="str">
        <f>IFERROR(__xludf.DUMMYFUNCTION("""COMPUTED_VALUE"""),"Crear y divulgar productos comunicativos internos y externos que permitan ampliar la difusión de la informacion institucional a través de los diferentes canales de comunicación.")</f>
        <v>Crear y divulgar productos comunicativos internos y externos que permitan ampliar la difusión de la informacion institucional a través de los diferentes canales de comunicación.</v>
      </c>
      <c r="R11" s="79" t="str">
        <f>IFERROR(__xludf.DUMMYFUNCTION("""COMPUTED_VALUE"""),"Mensual")</f>
        <v>Mensual</v>
      </c>
      <c r="S11" s="78">
        <f>IFERROR(__xludf.DUMMYFUNCTION("""COMPUTED_VALUE"""),3.0)</f>
        <v>3</v>
      </c>
      <c r="T11" s="78">
        <f>IFERROR(__xludf.DUMMYFUNCTION("""COMPUTED_VALUE"""),6.0)</f>
        <v>6</v>
      </c>
      <c r="U11" s="78">
        <f>IFERROR(__xludf.DUMMYFUNCTION("""COMPUTED_VALUE"""),6.0)</f>
        <v>6</v>
      </c>
      <c r="V11" s="78">
        <f>IFERROR(__xludf.DUMMYFUNCTION("""COMPUTED_VALUE"""),5.0)</f>
        <v>5</v>
      </c>
      <c r="W11" s="56" t="str">
        <f>IFERROR(__xludf.DUMMYFUNCTION("""COMPUTED_VALUE"""),"Comunicaciones")</f>
        <v>Comunicaciones</v>
      </c>
      <c r="X11" s="57" t="str">
        <f>IFERROR(__xludf.DUMMYFUNCTION("""COMPUTED_VALUE"""),"Leidy Hidalgo")</f>
        <v>Leidy Hidalgo</v>
      </c>
      <c r="Y11" s="47" t="str">
        <f>IFERROR(__xludf.DUMMYFUNCTION("""COMPUTED_VALUE"""),"Profesional Especializado")</f>
        <v>Profesional Especializado</v>
      </c>
      <c r="Z11" s="57" t="str">
        <f>IFERROR(__xludf.DUMMYFUNCTION("""COMPUTED_VALUE"""),"leidy.hidalgo@aunap.gov.co")</f>
        <v>leidy.hidalgo@aunap.gov.co</v>
      </c>
      <c r="AA11" s="47" t="str">
        <f>IFERROR(__xludf.DUMMYFUNCTION("""COMPUTED_VALUE"""),"Humanos, Físicos, Financieros, Tecnológicos")</f>
        <v>Humanos, Físicos, Financieros, Tecnológicos</v>
      </c>
      <c r="AB11" s="47" t="str">
        <f>IFERROR(__xludf.DUMMYFUNCTION("""COMPUTED_VALUE"""),"No asociado")</f>
        <v>No asociado</v>
      </c>
      <c r="AC11" s="47" t="str">
        <f>IFERROR(__xludf.DUMMYFUNCTION("""COMPUTED_VALUE"""),"Llegar con actividades de pesca y acuicultura a todas las regiones")</f>
        <v>Llegar con actividades de pesca y acuicultura a todas las regiones</v>
      </c>
      <c r="AD11" s="47" t="str">
        <f>IFERROR(__xludf.DUMMYFUNCTION("""COMPUTED_VALUE"""),"Información y comunicación")</f>
        <v>Información y comunicación</v>
      </c>
      <c r="AE11" s="47" t="str">
        <f>IFERROR(__xludf.DUMMYFUNCTION("""COMPUTED_VALUE"""),"Transparencia, acceso a la información pública y lucha contra la corrupción")</f>
        <v>Transparencia, acceso a la información pública y lucha contra la corrupción</v>
      </c>
      <c r="AF11" s="47" t="str">
        <f>IFERROR(__xludf.DUMMYFUNCTION("""COMPUTED_VALUE"""),"12. Producción y consumo responsable")</f>
        <v>12. Producción y consumo responsable</v>
      </c>
      <c r="AG11" s="80">
        <f>IFERROR(__xludf.DUMMYFUNCTION("""COMPUTED_VALUE"""),5.0)</f>
        <v>5</v>
      </c>
      <c r="AH11" s="59" t="str">
        <f>IFERROR(__xludf.DUMMYFUNCTION("""COMPUTED_VALUE"""),"Durante el IV trimestre el proceso de comunicaciones creó y divulgó productos comunicativos internos y externos que permitan ampliar la difusión de la información institucional a través de los diferentes canales de comunicación.")</f>
        <v>Durante el IV trimestre el proceso de comunicaciones creó y divulgó productos comunicativos internos y externos que permitan ampliar la difusión de la información institucional a través de los diferentes canales de comunicación.</v>
      </c>
      <c r="AI11" s="77" t="str">
        <f>IFERROR(__xludf.DUMMYFUNCTION("""COMPUTED_VALUE"""),"https://docs.google.com/document/d/1H8lz5t6Ul4Eu4a4j3V-6ZDjJJ9wQUfFI/edit?usp=sharing&amp;ouid=116882571820126477784&amp;rtpof=true&amp;sd=true")</f>
        <v>https://docs.google.com/document/d/1H8lz5t6Ul4Eu4a4j3V-6ZDjJJ9wQUfFI/edit?usp=sharing&amp;ouid=116882571820126477784&amp;rtpof=true&amp;sd=true</v>
      </c>
      <c r="AJ11" s="59">
        <f>IFERROR(__xludf.DUMMYFUNCTION("""COMPUTED_VALUE"""),20.0)</f>
        <v>20</v>
      </c>
      <c r="AK11" s="59" t="str">
        <f>IFERROR(__xludf.DUMMYFUNCTION("""COMPUTED_VALUE"""),"Durante el 2021 el proceso de comunicaciones creó y divulgó productos comunicativos internos y externos que permitan ampliar la difusión de la información institucional a través de los diferentes canales de comunicación.")</f>
        <v>Durante el 2021 el proceso de comunicaciones creó y divulgó productos comunicativos internos y externos que permitan ampliar la difusión de la información institucional a través de los diferentes canales de comunicación.</v>
      </c>
      <c r="AL11" s="59">
        <f>IFERROR(__xludf.DUMMYFUNCTION("""COMPUTED_VALUE"""),44582.0)</f>
        <v>44582</v>
      </c>
      <c r="AM11" s="60"/>
      <c r="AN11" s="61" t="str">
        <f>IFERROR(IF((AO11+1)&lt;2,Alertas!$B$2&amp;TEXT(AO11,"0%")&amp;Alertas!$D$2, IF((AO11+1)=2,Alertas!$B$3,IF((AO11+1)&gt;2,Alertas!$B$4&amp;TEXT(AO11,"0%")&amp;Alertas!$D$4,AO11+1))),"Sin meta para el segundo trimestre")</f>
        <v>La ejecución de la meta registrada se encuentra por debajo de la meta programada en la formulación del plan de acción para el segundo trimestre, su porcentaje de cumplimiento es 83%, lo cual indica un incumplimiento que puede ser entendido por los entes de control como falencias en el proceso de planeación y gestión de la dependencia. se recomienda realizar acciones para garantizar el cumplimiento de la meta durante lo que resta de vigencia</v>
      </c>
      <c r="AO11" s="62">
        <f t="shared" si="2"/>
        <v>0.8333333333</v>
      </c>
      <c r="AP11" s="61" t="str">
        <f t="shared" si="3"/>
        <v>La ejecución de la meta registrada se encuentra por debajo de la meta programada en la formulación del plan de acción para el segundo trimestre, su porcentaje de cumplimiento es 83%, lo cual indica un incumplimiento que puede ser entendido por los entes de control como falencias en el proceso de planeación y gestión de la dependencia. se recomienda realizar acciones para garantizar el cumplimiento de la meta durante lo que resta de vigencia.</v>
      </c>
      <c r="AQ11" s="63"/>
      <c r="AR11" s="64"/>
      <c r="AS11" s="65"/>
      <c r="AT11" s="65"/>
      <c r="AU11" s="66"/>
      <c r="AV11" s="67"/>
      <c r="AW11" s="68"/>
      <c r="AX11" s="63"/>
      <c r="AY11" s="64"/>
      <c r="AZ11" s="69"/>
      <c r="BA11" s="65"/>
      <c r="BB11" s="70"/>
      <c r="BC11" s="71"/>
      <c r="BD11" s="72"/>
      <c r="BE11" s="73"/>
      <c r="BF11" s="64"/>
      <c r="BG11" s="69"/>
      <c r="BH11" s="65"/>
      <c r="BI11" s="66"/>
      <c r="BJ11" s="71"/>
      <c r="BK11" s="72"/>
      <c r="BL11" s="74"/>
      <c r="BN11" s="5" t="str">
        <f t="shared" si="4"/>
        <v>-1</v>
      </c>
      <c r="BP11" s="75" t="s">
        <v>94</v>
      </c>
      <c r="BQ11" s="13">
        <f t="shared" si="5"/>
        <v>3</v>
      </c>
      <c r="BR11" s="11">
        <f t="shared" si="6"/>
        <v>3</v>
      </c>
      <c r="BS11" s="11">
        <f t="shared" si="7"/>
        <v>3</v>
      </c>
      <c r="BT11" s="12">
        <f t="shared" si="8"/>
        <v>1</v>
      </c>
      <c r="BU11" s="11" t="str">
        <f t="shared" si="9"/>
        <v>Reporte Completo</v>
      </c>
      <c r="BV11" s="76">
        <f t="shared" ref="BV11:BY11" si="17">COUNTIFS($D:$D,$BP11,$BN:$BN,BV$1)</f>
        <v>0</v>
      </c>
      <c r="BW11" s="76">
        <f t="shared" si="17"/>
        <v>0</v>
      </c>
      <c r="BX11" s="76">
        <f t="shared" si="17"/>
        <v>3</v>
      </c>
      <c r="BY11" s="76">
        <f t="shared" si="17"/>
        <v>0</v>
      </c>
    </row>
    <row r="12" ht="37.5" customHeight="1">
      <c r="A12" s="45"/>
      <c r="B12" s="46">
        <f>IFERROR(__xludf.DUMMYFUNCTION("""COMPUTED_VALUE"""),7.0)</f>
        <v>7</v>
      </c>
      <c r="C12" s="47" t="str">
        <f>IFERROR(__xludf.DUMMYFUNCTION("""COMPUTED_VALUE"""),"Comunicación estratégica")</f>
        <v>Comunicación estratégica</v>
      </c>
      <c r="D12" s="48" t="str">
        <f>IFERROR(__xludf.DUMMYFUNCTION("""COMPUTED_VALUE"""),"Comunicaciones")</f>
        <v>Comunicaciones</v>
      </c>
      <c r="E12" s="48" t="str">
        <f>IFERROR(__xludf.DUMMYFUNCTION("""COMPUTED_VALUE"""),"Fortalecimiento de la capacidad de gestión de la autoridad nacional de acuicultura y pesca - aunap nacional")</f>
        <v>Fortalecimiento de la capacidad de gestión de la autoridad nacional de acuicultura y pesca - aunap nacional</v>
      </c>
      <c r="F12" s="49">
        <f>IFERROR(__xludf.DUMMYFUNCTION("""COMPUTED_VALUE"""),2.018011000241E12)</f>
        <v>2018011000241</v>
      </c>
      <c r="G12" s="50" t="str">
        <f>IFERROR(__xludf.DUMMYFUNCTION("""COMPUTED_VALUE"""),"Fortalecimiento")</f>
        <v>Fortalecimiento</v>
      </c>
      <c r="H12" s="48" t="str">
        <f>IFERROR(__xludf.DUMMYFUNCTION("""COMPUTED_VALUE"""),"Fortalecer los sistemas de gestión de la Entidad")</f>
        <v>Fortalecer los sistemas de gestión de la Entidad</v>
      </c>
      <c r="I12" s="48" t="str">
        <f>IFERROR(__xludf.DUMMYFUNCTION("""COMPUTED_VALUE"""),"Servicio de Implementación Sistemas de Gestión")</f>
        <v>Servicio de Implementación Sistemas de Gestión</v>
      </c>
      <c r="J12"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12" s="51" t="str">
        <f>IFERROR(__xludf.DUMMYFUNCTION("""COMPUTED_VALUE"""),"Gestión del área")</f>
        <v>Gestión del área</v>
      </c>
      <c r="L12" s="51" t="str">
        <f>IFERROR(__xludf.DUMMYFUNCTION("""COMPUTED_VALUE"""),"Eficacia")</f>
        <v>Eficacia</v>
      </c>
      <c r="M12" s="51" t="str">
        <f>IFERROR(__xludf.DUMMYFUNCTION("""COMPUTED_VALUE"""),"Número")</f>
        <v>Número</v>
      </c>
      <c r="N12" s="52" t="str">
        <f>IFERROR(__xludf.DUMMYFUNCTION("""COMPUTED_VALUE"""),"Publicaciones en medios Free Press información de gestión institucional para los diferentes grupos de interés")</f>
        <v>Publicaciones en medios Free Press información de gestión institucional para los diferentes grupos de interés</v>
      </c>
      <c r="O12" s="53"/>
      <c r="P12" s="54">
        <f>IFERROR(__xludf.DUMMYFUNCTION("""COMPUTED_VALUE"""),70.0)</f>
        <v>70</v>
      </c>
      <c r="Q12" s="55" t="str">
        <f>IFERROR(__xludf.DUMMYFUNCTION("""COMPUTED_VALUE"""),"Publicar en medios Free Press información de gestión institucional para los diferentes grupos de interés")</f>
        <v>Publicar en medios Free Press información de gestión institucional para los diferentes grupos de interés</v>
      </c>
      <c r="R12" s="14" t="str">
        <f>IFERROR(__xludf.DUMMYFUNCTION("""COMPUTED_VALUE"""),"Trimestral")</f>
        <v>Trimestral</v>
      </c>
      <c r="S12" s="54">
        <f>IFERROR(__xludf.DUMMYFUNCTION("""COMPUTED_VALUE"""),0.0)</f>
        <v>0</v>
      </c>
      <c r="T12" s="54">
        <f>IFERROR(__xludf.DUMMYFUNCTION("""COMPUTED_VALUE"""),20.0)</f>
        <v>20</v>
      </c>
      <c r="U12" s="54">
        <f>IFERROR(__xludf.DUMMYFUNCTION("""COMPUTED_VALUE"""),30.0)</f>
        <v>30</v>
      </c>
      <c r="V12" s="54">
        <f>IFERROR(__xludf.DUMMYFUNCTION("""COMPUTED_VALUE"""),20.0)</f>
        <v>20</v>
      </c>
      <c r="W12" s="56" t="str">
        <f>IFERROR(__xludf.DUMMYFUNCTION("""COMPUTED_VALUE"""),"Comunicaciones")</f>
        <v>Comunicaciones</v>
      </c>
      <c r="X12" s="57" t="str">
        <f>IFERROR(__xludf.DUMMYFUNCTION("""COMPUTED_VALUE"""),"Leidy Hidalgo")</f>
        <v>Leidy Hidalgo</v>
      </c>
      <c r="Y12" s="47" t="str">
        <f>IFERROR(__xludf.DUMMYFUNCTION("""COMPUTED_VALUE"""),"Profesional Especializado")</f>
        <v>Profesional Especializado</v>
      </c>
      <c r="Z12" s="57" t="str">
        <f>IFERROR(__xludf.DUMMYFUNCTION("""COMPUTED_VALUE"""),"leidy.hidalgo@aunap.gov.co")</f>
        <v>leidy.hidalgo@aunap.gov.co</v>
      </c>
      <c r="AA12" s="47" t="str">
        <f>IFERROR(__xludf.DUMMYFUNCTION("""COMPUTED_VALUE"""),"Humanos, Físicos, Financieros, Tecnológicos")</f>
        <v>Humanos, Físicos, Financieros, Tecnológicos</v>
      </c>
      <c r="AB12" s="47" t="str">
        <f>IFERROR(__xludf.DUMMYFUNCTION("""COMPUTED_VALUE"""),"No asociado")</f>
        <v>No asociado</v>
      </c>
      <c r="AC12" s="47" t="str">
        <f>IFERROR(__xludf.DUMMYFUNCTION("""COMPUTED_VALUE"""),"Llegar con actividades de pesca y acuicultura a todas las regiones")</f>
        <v>Llegar con actividades de pesca y acuicultura a todas las regiones</v>
      </c>
      <c r="AD12" s="47" t="str">
        <f>IFERROR(__xludf.DUMMYFUNCTION("""COMPUTED_VALUE"""),"Información y comunicación")</f>
        <v>Información y comunicación</v>
      </c>
      <c r="AE12" s="47" t="str">
        <f>IFERROR(__xludf.DUMMYFUNCTION("""COMPUTED_VALUE"""),"Transparencia, acceso a la información pública y lucha contra la corrupción")</f>
        <v>Transparencia, acceso a la información pública y lucha contra la corrupción</v>
      </c>
      <c r="AF12" s="47" t="str">
        <f>IFERROR(__xludf.DUMMYFUNCTION("""COMPUTED_VALUE"""),"12. Producción y consumo responsable")</f>
        <v>12. Producción y consumo responsable</v>
      </c>
      <c r="AG12" s="80">
        <f>IFERROR(__xludf.DUMMYFUNCTION("""COMPUTED_VALUE"""),20.0)</f>
        <v>20</v>
      </c>
      <c r="AH12" s="59" t="str">
        <f>IFERROR(__xludf.DUMMYFUNCTION("""COMPUTED_VALUE"""),"Durante el IV trimestre el proceso de comunicaciones publicó en medios Free Press información de gestión institucional para los diferentes grupos de interés")</f>
        <v>Durante el IV trimestre el proceso de comunicaciones publicó en medios Free Press información de gestión institucional para los diferentes grupos de interés</v>
      </c>
      <c r="AI12" s="77" t="str">
        <f>IFERROR(__xludf.DUMMYFUNCTION("""COMPUTED_VALUE"""),"https://docs.google.com/document/d/1XaC0eGGZjsseBtyHEAK-zt1rRjAY645S/edit?usp=sharing&amp;ouid=116882571820126477784&amp;rtpof=true&amp;sd=true")</f>
        <v>https://docs.google.com/document/d/1XaC0eGGZjsseBtyHEAK-zt1rRjAY645S/edit?usp=sharing&amp;ouid=116882571820126477784&amp;rtpof=true&amp;sd=true</v>
      </c>
      <c r="AJ12" s="59">
        <f>IFERROR(__xludf.DUMMYFUNCTION("""COMPUTED_VALUE"""),70.0)</f>
        <v>70</v>
      </c>
      <c r="AK12" s="59" t="str">
        <f>IFERROR(__xludf.DUMMYFUNCTION("""COMPUTED_VALUE"""),"Durante el 2021  el proceso de comunicaciones publicó 70 notas  en medios Free Press información de gestión institucional para los diferentes grupos de interés")</f>
        <v>Durante el 2021  el proceso de comunicaciones publicó 70 notas  en medios Free Press información de gestión institucional para los diferentes grupos de interés</v>
      </c>
      <c r="AL12" s="59"/>
      <c r="AM12" s="60"/>
      <c r="AN12" s="61" t="str">
        <f>IFERROR(IF((AO12+1)&lt;2,Alertas!$B$2&amp;TEXT(AO12,"0%")&amp;Alertas!$D$2, IF((AO12+1)=2,Alertas!$B$3,IF((AO12+1)&gt;2,Alertas!$B$4&amp;TEXT(AO12,"0%")&amp;Alertas!$D$4,AO12+1))),"Sin meta para el segundo trimestre")</f>
        <v>La ejecución de la meta registrada se encuentra acorde a la meta programada en la formulación del plan de acción para el segundo trimestre</v>
      </c>
      <c r="AO12" s="62">
        <f t="shared" si="2"/>
        <v>1</v>
      </c>
      <c r="AP12" s="61" t="str">
        <f t="shared" si="3"/>
        <v>No reporto evidencia.
La ejecución de la meta registrada se encuentra acorde a la meta programada en la formulación del plan de acción para el segundo trimestre.</v>
      </c>
      <c r="AQ12" s="63"/>
      <c r="AR12" s="64"/>
      <c r="AS12" s="65"/>
      <c r="AT12" s="65"/>
      <c r="AU12" s="66"/>
      <c r="AV12" s="67"/>
      <c r="AW12" s="68"/>
      <c r="AX12" s="63"/>
      <c r="AY12" s="64"/>
      <c r="AZ12" s="69"/>
      <c r="BA12" s="65"/>
      <c r="BB12" s="70"/>
      <c r="BC12" s="71"/>
      <c r="BD12" s="72"/>
      <c r="BE12" s="73"/>
      <c r="BF12" s="64"/>
      <c r="BG12" s="69"/>
      <c r="BH12" s="65"/>
      <c r="BI12" s="66"/>
      <c r="BJ12" s="71"/>
      <c r="BK12" s="72"/>
      <c r="BL12" s="74"/>
      <c r="BN12" s="5" t="str">
        <f t="shared" si="4"/>
        <v>0</v>
      </c>
      <c r="BP12" s="75" t="s">
        <v>95</v>
      </c>
      <c r="BQ12" s="13">
        <f t="shared" si="5"/>
        <v>3</v>
      </c>
      <c r="BR12" s="11">
        <f t="shared" si="6"/>
        <v>3</v>
      </c>
      <c r="BS12" s="11">
        <f t="shared" si="7"/>
        <v>3</v>
      </c>
      <c r="BT12" s="12">
        <f t="shared" si="8"/>
        <v>0.3833333333</v>
      </c>
      <c r="BU12" s="11" t="str">
        <f t="shared" si="9"/>
        <v>Reporte con Baja Ejecución</v>
      </c>
      <c r="BV12" s="76">
        <f t="shared" ref="BV12:BY12" si="18">COUNTIFS($D:$D,$BP12,$BN:$BN,BV$1)</f>
        <v>0</v>
      </c>
      <c r="BW12" s="76">
        <f t="shared" si="18"/>
        <v>3</v>
      </c>
      <c r="BX12" s="76">
        <f t="shared" si="18"/>
        <v>0</v>
      </c>
      <c r="BY12" s="76">
        <f t="shared" si="18"/>
        <v>0</v>
      </c>
    </row>
    <row r="13" ht="37.5" customHeight="1">
      <c r="A13" s="45"/>
      <c r="B13" s="46">
        <f>IFERROR(__xludf.DUMMYFUNCTION("""COMPUTED_VALUE"""),8.0)</f>
        <v>8</v>
      </c>
      <c r="C13" s="47" t="str">
        <f>IFERROR(__xludf.DUMMYFUNCTION("""COMPUTED_VALUE"""),"Comunicación estratégica")</f>
        <v>Comunicación estratégica</v>
      </c>
      <c r="D13" s="48" t="str">
        <f>IFERROR(__xludf.DUMMYFUNCTION("""COMPUTED_VALUE"""),"Comunicaciones")</f>
        <v>Comunicaciones</v>
      </c>
      <c r="E13" s="48" t="str">
        <f>IFERROR(__xludf.DUMMYFUNCTION("""COMPUTED_VALUE"""),"Fortalecimiento de la capacidad de gestión de la autoridad nacional de acuicultura y pesca - aunap nacional")</f>
        <v>Fortalecimiento de la capacidad de gestión de la autoridad nacional de acuicultura y pesca - aunap nacional</v>
      </c>
      <c r="F13" s="49">
        <f>IFERROR(__xludf.DUMMYFUNCTION("""COMPUTED_VALUE"""),2.018011000241E12)</f>
        <v>2018011000241</v>
      </c>
      <c r="G13" s="50" t="str">
        <f>IFERROR(__xludf.DUMMYFUNCTION("""COMPUTED_VALUE"""),"Fortalecimiento")</f>
        <v>Fortalecimiento</v>
      </c>
      <c r="H13" s="48" t="str">
        <f>IFERROR(__xludf.DUMMYFUNCTION("""COMPUTED_VALUE"""),"Fortalecer los sistemas de gestión de la Entidad")</f>
        <v>Fortalecer los sistemas de gestión de la Entidad</v>
      </c>
      <c r="I13" s="48" t="str">
        <f>IFERROR(__xludf.DUMMYFUNCTION("""COMPUTED_VALUE"""),"Servicio de Implementación Sistemas de Gestión")</f>
        <v>Servicio de Implementación Sistemas de Gestión</v>
      </c>
      <c r="J13"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13" s="51" t="str">
        <f>IFERROR(__xludf.DUMMYFUNCTION("""COMPUTED_VALUE"""),"Gestión del área")</f>
        <v>Gestión del área</v>
      </c>
      <c r="L13" s="51" t="str">
        <f>IFERROR(__xludf.DUMMYFUNCTION("""COMPUTED_VALUE"""),"Eficacia")</f>
        <v>Eficacia</v>
      </c>
      <c r="M13" s="51" t="str">
        <f>IFERROR(__xludf.DUMMYFUNCTION("""COMPUTED_VALUE"""),"Número")</f>
        <v>Número</v>
      </c>
      <c r="N13" s="52" t="str">
        <f>IFERROR(__xludf.DUMMYFUNCTION("""COMPUTED_VALUE"""),"Acciones de comunicaciones en alianza con cooperantes, aliados y entiades adscritas")</f>
        <v>Acciones de comunicaciones en alianza con cooperantes, aliados y entiades adscritas</v>
      </c>
      <c r="O13" s="53"/>
      <c r="P13" s="78">
        <f>IFERROR(__xludf.DUMMYFUNCTION("""COMPUTED_VALUE"""),15.0)</f>
        <v>15</v>
      </c>
      <c r="Q13" s="79" t="str">
        <f>IFERROR(__xludf.DUMMYFUNCTION("""COMPUTED_VALUE"""),"Desarrolar acciones de comunicacion en alianza con cooperantes, aliados, entidades del sector para dar un mayor alcance de la gestion institucional")</f>
        <v>Desarrolar acciones de comunicacion en alianza con cooperantes, aliados, entidades del sector para dar un mayor alcance de la gestion institucional</v>
      </c>
      <c r="R13" s="79" t="str">
        <f>IFERROR(__xludf.DUMMYFUNCTION("""COMPUTED_VALUE"""),"Semestral")</f>
        <v>Semestral</v>
      </c>
      <c r="S13" s="78">
        <f>IFERROR(__xludf.DUMMYFUNCTION("""COMPUTED_VALUE"""),0.0)</f>
        <v>0</v>
      </c>
      <c r="T13" s="78">
        <f>IFERROR(__xludf.DUMMYFUNCTION("""COMPUTED_VALUE"""),3.0)</f>
        <v>3</v>
      </c>
      <c r="U13" s="78">
        <f>IFERROR(__xludf.DUMMYFUNCTION("""COMPUTED_VALUE"""),6.0)</f>
        <v>6</v>
      </c>
      <c r="V13" s="78">
        <f>IFERROR(__xludf.DUMMYFUNCTION("""COMPUTED_VALUE"""),6.0)</f>
        <v>6</v>
      </c>
      <c r="W13" s="56" t="str">
        <f>IFERROR(__xludf.DUMMYFUNCTION("""COMPUTED_VALUE"""),"Comunicaciones")</f>
        <v>Comunicaciones</v>
      </c>
      <c r="X13" s="57" t="str">
        <f>IFERROR(__xludf.DUMMYFUNCTION("""COMPUTED_VALUE"""),"Leidy Hidalgo")</f>
        <v>Leidy Hidalgo</v>
      </c>
      <c r="Y13" s="47" t="str">
        <f>IFERROR(__xludf.DUMMYFUNCTION("""COMPUTED_VALUE"""),"Profesional Especializado")</f>
        <v>Profesional Especializado</v>
      </c>
      <c r="Z13" s="57" t="str">
        <f>IFERROR(__xludf.DUMMYFUNCTION("""COMPUTED_VALUE"""),"leidy.hidalgo@aunap.gov.co")</f>
        <v>leidy.hidalgo@aunap.gov.co</v>
      </c>
      <c r="AA13" s="47" t="str">
        <f>IFERROR(__xludf.DUMMYFUNCTION("""COMPUTED_VALUE"""),"Humanos, Físicos, Financieros, Tecnológicos")</f>
        <v>Humanos, Físicos, Financieros, Tecnológicos</v>
      </c>
      <c r="AB13" s="47" t="str">
        <f>IFERROR(__xludf.DUMMYFUNCTION("""COMPUTED_VALUE"""),"No asociado")</f>
        <v>No asociado</v>
      </c>
      <c r="AC13" s="47" t="str">
        <f>IFERROR(__xludf.DUMMYFUNCTION("""COMPUTED_VALUE"""),"Llegar con actividades de pesca y acuicultura a todas las regiones")</f>
        <v>Llegar con actividades de pesca y acuicultura a todas las regiones</v>
      </c>
      <c r="AD13" s="47" t="str">
        <f>IFERROR(__xludf.DUMMYFUNCTION("""COMPUTED_VALUE"""),"Información y comunicación")</f>
        <v>Información y comunicación</v>
      </c>
      <c r="AE13" s="47" t="str">
        <f>IFERROR(__xludf.DUMMYFUNCTION("""COMPUTED_VALUE"""),"Planeación Institucional")</f>
        <v>Planeación Institucional</v>
      </c>
      <c r="AF13" s="47" t="str">
        <f>IFERROR(__xludf.DUMMYFUNCTION("""COMPUTED_VALUE"""),"12. Producción y consumo responsable")</f>
        <v>12. Producción y consumo responsable</v>
      </c>
      <c r="AG13" s="80">
        <f>IFERROR(__xludf.DUMMYFUNCTION("""COMPUTED_VALUE"""),6.0)</f>
        <v>6</v>
      </c>
      <c r="AH13" s="59" t="str">
        <f>IFERROR(__xludf.DUMMYFUNCTION("""COMPUTED_VALUE"""),"Durante el IV trimestre el proceso de comunicaciones desarrolló (6) acciones de comunicación en alianza con cooperantes, aliados, entidades del sector para dar un mayor alcance de la gestión institucional:")</f>
        <v>Durante el IV trimestre el proceso de comunicaciones desarrolló (6) acciones de comunicación en alianza con cooperantes, aliados, entidades del sector para dar un mayor alcance de la gestión institucional:</v>
      </c>
      <c r="AI13" s="77" t="str">
        <f>IFERROR(__xludf.DUMMYFUNCTION("""COMPUTED_VALUE"""),"https://docs.google.com/document/d/1Ry_DcvtnyiqM3Ls9d9H_KyVs19yld0rW/edit?usp=sharing&amp;ouid=116882571820126477784&amp;rtpof=true&amp;sd=true")</f>
        <v>https://docs.google.com/document/d/1Ry_DcvtnyiqM3Ls9d9H_KyVs19yld0rW/edit?usp=sharing&amp;ouid=116882571820126477784&amp;rtpof=true&amp;sd=true</v>
      </c>
      <c r="AJ13" s="59">
        <f>IFERROR(__xludf.DUMMYFUNCTION("""COMPUTED_VALUE"""),15.0)</f>
        <v>15</v>
      </c>
      <c r="AK13" s="59" t="str">
        <f>IFERROR(__xludf.DUMMYFUNCTION("""COMPUTED_VALUE"""),"Durante 2021 el proceso de comunicaciones desarrolló 15 acciones de comunicación en alianza con cooperantes, aliados, entidades del sector para dar un mayor alcance de la gestión institucional:")</f>
        <v>Durante 2021 el proceso de comunicaciones desarrolló 15 acciones de comunicación en alianza con cooperantes, aliados, entidades del sector para dar un mayor alcance de la gestión institucional:</v>
      </c>
      <c r="AL13" s="59"/>
      <c r="AM13" s="60"/>
      <c r="AN13" s="61" t="str">
        <f>IFERROR(IF((AO13+1)&lt;2,Alertas!$B$2&amp;TEXT(AO13,"0%")&amp;Alertas!$D$2, IF((AO13+1)=2,Alertas!$B$3,IF((AO13+1)&gt;2,Alertas!$B$4&amp;TEXT(AO13,"0%")&amp;Alertas!$D$4,AO13+1))),"Sin meta para el segundo trimestre")</f>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3" s="62">
        <f t="shared" si="2"/>
        <v>2</v>
      </c>
      <c r="AP13" s="61" t="str">
        <f t="shared" si="3"/>
        <v>No reporto evidencia.
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3" s="63"/>
      <c r="AR13" s="64"/>
      <c r="AS13" s="65"/>
      <c r="AT13" s="65"/>
      <c r="AU13" s="66"/>
      <c r="AV13" s="67"/>
      <c r="AW13" s="68"/>
      <c r="AX13" s="63"/>
      <c r="AY13" s="64"/>
      <c r="AZ13" s="69"/>
      <c r="BA13" s="65"/>
      <c r="BB13" s="70"/>
      <c r="BC13" s="71"/>
      <c r="BD13" s="72"/>
      <c r="BE13" s="73"/>
      <c r="BF13" s="64"/>
      <c r="BG13" s="69"/>
      <c r="BH13" s="65"/>
      <c r="BI13" s="66"/>
      <c r="BJ13" s="71"/>
      <c r="BK13" s="72"/>
      <c r="BL13" s="74"/>
      <c r="BN13" s="5" t="str">
        <f t="shared" si="4"/>
        <v>1</v>
      </c>
      <c r="BP13" s="75" t="s">
        <v>96</v>
      </c>
      <c r="BQ13" s="13">
        <f t="shared" si="5"/>
        <v>5</v>
      </c>
      <c r="BR13" s="11">
        <f t="shared" si="6"/>
        <v>5</v>
      </c>
      <c r="BS13" s="11">
        <f t="shared" si="7"/>
        <v>5</v>
      </c>
      <c r="BT13" s="12">
        <f t="shared" si="8"/>
        <v>1</v>
      </c>
      <c r="BU13" s="11" t="str">
        <f t="shared" si="9"/>
        <v>Reporte Completo</v>
      </c>
      <c r="BV13" s="76">
        <f t="shared" ref="BV13:BY13" si="19">COUNTIFS($D:$D,$BP13,$BN:$BN,BV$1)</f>
        <v>0</v>
      </c>
      <c r="BW13" s="76">
        <f t="shared" si="19"/>
        <v>0</v>
      </c>
      <c r="BX13" s="76">
        <f t="shared" si="19"/>
        <v>5</v>
      </c>
      <c r="BY13" s="76">
        <f t="shared" si="19"/>
        <v>0</v>
      </c>
    </row>
    <row r="14" ht="37.5" customHeight="1">
      <c r="A14" s="45"/>
      <c r="B14" s="46">
        <f>IFERROR(__xludf.DUMMYFUNCTION("""COMPUTED_VALUE"""),9.0)</f>
        <v>9</v>
      </c>
      <c r="C14" s="47" t="str">
        <f>IFERROR(__xludf.DUMMYFUNCTION("""COMPUTED_VALUE"""),"Comunicación estratégica")</f>
        <v>Comunicación estratégica</v>
      </c>
      <c r="D14" s="48" t="str">
        <f>IFERROR(__xludf.DUMMYFUNCTION("""COMPUTED_VALUE"""),"Comunicaciones")</f>
        <v>Comunicaciones</v>
      </c>
      <c r="E14" s="48" t="str">
        <f>IFERROR(__xludf.DUMMYFUNCTION("""COMPUTED_VALUE"""),"Fortalecimiento de la capacidad de gestión de la autoridad nacional de acuicultura y pesca - aunap nacional")</f>
        <v>Fortalecimiento de la capacidad de gestión de la autoridad nacional de acuicultura y pesca - aunap nacional</v>
      </c>
      <c r="F14" s="49">
        <f>IFERROR(__xludf.DUMMYFUNCTION("""COMPUTED_VALUE"""),2.018011000241E12)</f>
        <v>2018011000241</v>
      </c>
      <c r="G14" s="50" t="str">
        <f>IFERROR(__xludf.DUMMYFUNCTION("""COMPUTED_VALUE"""),"Fortalecimiento")</f>
        <v>Fortalecimiento</v>
      </c>
      <c r="H14" s="48" t="str">
        <f>IFERROR(__xludf.DUMMYFUNCTION("""COMPUTED_VALUE"""),"Fortalecer los sistemas de gestión de la Entidad")</f>
        <v>Fortalecer los sistemas de gestión de la Entidad</v>
      </c>
      <c r="I14" s="48" t="str">
        <f>IFERROR(__xludf.DUMMYFUNCTION("""COMPUTED_VALUE"""),"Servicio de Implementación Sistemas de Gestión")</f>
        <v>Servicio de Implementación Sistemas de Gestión</v>
      </c>
      <c r="J14"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14" s="51" t="str">
        <f>IFERROR(__xludf.DUMMYFUNCTION("""COMPUTED_VALUE"""),"Gestión del área")</f>
        <v>Gestión del área</v>
      </c>
      <c r="L14" s="51" t="str">
        <f>IFERROR(__xludf.DUMMYFUNCTION("""COMPUTED_VALUE"""),"Eficacia")</f>
        <v>Eficacia</v>
      </c>
      <c r="M14" s="51" t="str">
        <f>IFERROR(__xludf.DUMMYFUNCTION("""COMPUTED_VALUE"""),"Número")</f>
        <v>Número</v>
      </c>
      <c r="N14" s="52" t="str">
        <f>IFERROR(__xludf.DUMMYFUNCTION("""COMPUTED_VALUE"""),"Espacios de comunicaciòn desarrollados")</f>
        <v>Espacios de comunicaciòn desarrollados</v>
      </c>
      <c r="O14" s="53"/>
      <c r="P14" s="78">
        <f>IFERROR(__xludf.DUMMYFUNCTION("""COMPUTED_VALUE"""),15.0)</f>
        <v>15</v>
      </c>
      <c r="Q14" s="79" t="str">
        <f>IFERROR(__xludf.DUMMYFUNCTION("""COMPUTED_VALUE"""),"Realizar espacios de comunicacion que faciliten la interlocucion de la entidad con los diferentes usuarios para mejorar la gestión pública")</f>
        <v>Realizar espacios de comunicacion que faciliten la interlocucion de la entidad con los diferentes usuarios para mejorar la gestión pública</v>
      </c>
      <c r="R14" s="79" t="str">
        <f>IFERROR(__xludf.DUMMYFUNCTION("""COMPUTED_VALUE"""),"Trimestral")</f>
        <v>Trimestral</v>
      </c>
      <c r="S14" s="78">
        <f>IFERROR(__xludf.DUMMYFUNCTION("""COMPUTED_VALUE"""),0.0)</f>
        <v>0</v>
      </c>
      <c r="T14" s="78">
        <f>IFERROR(__xludf.DUMMYFUNCTION("""COMPUTED_VALUE"""),4.0)</f>
        <v>4</v>
      </c>
      <c r="U14" s="78">
        <f>IFERROR(__xludf.DUMMYFUNCTION("""COMPUTED_VALUE"""),7.0)</f>
        <v>7</v>
      </c>
      <c r="V14" s="78">
        <f>IFERROR(__xludf.DUMMYFUNCTION("""COMPUTED_VALUE"""),4.0)</f>
        <v>4</v>
      </c>
      <c r="W14" s="56" t="str">
        <f>IFERROR(__xludf.DUMMYFUNCTION("""COMPUTED_VALUE"""),"Comunicaciones")</f>
        <v>Comunicaciones</v>
      </c>
      <c r="X14" s="57" t="str">
        <f>IFERROR(__xludf.DUMMYFUNCTION("""COMPUTED_VALUE"""),"Leidy Hidalgo")</f>
        <v>Leidy Hidalgo</v>
      </c>
      <c r="Y14" s="47" t="str">
        <f>IFERROR(__xludf.DUMMYFUNCTION("""COMPUTED_VALUE"""),"Profesional Especializado")</f>
        <v>Profesional Especializado</v>
      </c>
      <c r="Z14" s="57" t="str">
        <f>IFERROR(__xludf.DUMMYFUNCTION("""COMPUTED_VALUE"""),"leidy.hidalgo@aunap.gov.co")</f>
        <v>leidy.hidalgo@aunap.gov.co</v>
      </c>
      <c r="AA14" s="47" t="str">
        <f>IFERROR(__xludf.DUMMYFUNCTION("""COMPUTED_VALUE"""),"Humanos, Físicos, Financieros, Tecnológicos")</f>
        <v>Humanos, Físicos, Financieros, Tecnológicos</v>
      </c>
      <c r="AB14" s="47" t="str">
        <f>IFERROR(__xludf.DUMMYFUNCTION("""COMPUTED_VALUE"""),"No asociado")</f>
        <v>No asociado</v>
      </c>
      <c r="AC14" s="47" t="str">
        <f>IFERROR(__xludf.DUMMYFUNCTION("""COMPUTED_VALUE"""),"Llegar con actividades de pesca y acuicultura a todas las regiones")</f>
        <v>Llegar con actividades de pesca y acuicultura a todas las regiones</v>
      </c>
      <c r="AD14" s="47" t="str">
        <f>IFERROR(__xludf.DUMMYFUNCTION("""COMPUTED_VALUE"""),"Información y comunicación")</f>
        <v>Información y comunicación</v>
      </c>
      <c r="AE14" s="47" t="str">
        <f>IFERROR(__xludf.DUMMYFUNCTION("""COMPUTED_VALUE"""),"Transparencia, acceso a la información pública y lucha contra la corrupción")</f>
        <v>Transparencia, acceso a la información pública y lucha contra la corrupción</v>
      </c>
      <c r="AF14" s="47" t="str">
        <f>IFERROR(__xludf.DUMMYFUNCTION("""COMPUTED_VALUE"""),"12. Producción y consumo responsable")</f>
        <v>12. Producción y consumo responsable</v>
      </c>
      <c r="AG14" s="80">
        <f>IFERROR(__xludf.DUMMYFUNCTION("""COMPUTED_VALUE"""),4.0)</f>
        <v>4</v>
      </c>
      <c r="AH14" s="59" t="str">
        <f>IFERROR(__xludf.DUMMYFUNCTION("""COMPUTED_VALUE"""),"Durante el IV trimestre se realizaron 4 espacios de comunicacion que faciliten la interlocucion de la entidad con los diferentes usuarios para mejorar la gestión pública")</f>
        <v>Durante el IV trimestre se realizaron 4 espacios de comunicacion que faciliten la interlocucion de la entidad con los diferentes usuarios para mejorar la gestión pública</v>
      </c>
      <c r="AI14" s="59" t="str">
        <f>IFERROR(__xludf.DUMMYFUNCTION("""COMPUTED_VALUE"""),"Espacio tramites en linea (refuerzo al tema): https://www.instagram.com/tv/CU-eTWzpfZ4/?utm_medium=copy_link
Maricultura , con la conferencia:El estado de la maricultura en Colombia: avances y retos.
https://www.youtube.com/watch?v=RiDgSc8VK-Q
Panel  La"&amp;" pesca como actividad socioeconómica sostenible: (foro)
https://docs.google.com/document/d/1WDXSz5KnLIfI0qDA1-QgX5RcepF1NaHa/edit?usp=sharing&amp;ouid=116882571820126477784&amp;rtpof=true&amp;sd=true
#ElCampoInnova - Innovación para la producción piscícola de alt"&amp;"o rendimiento
https://www.youtube.com/watch?v=AbPkVhaEcqg")</f>
        <v>Espacio tramites en linea (refuerzo al tema): https://www.instagram.com/tv/CU-eTWzpfZ4/?utm_medium=copy_link
Maricultura , con la conferencia:El estado de la maricultura en Colombia: avances y retos.
https://www.youtube.com/watch?v=RiDgSc8VK-Q
Panel  La pesca como actividad socioeconómica sostenible: (foro)
https://docs.google.com/document/d/1WDXSz5KnLIfI0qDA1-QgX5RcepF1NaHa/edit?usp=sharing&amp;ouid=116882571820126477784&amp;rtpof=true&amp;sd=true
#ElCampoInnova - Innovación para la producción piscícola de alto rendimiento
https://www.youtube.com/watch?v=AbPkVhaEcqg</v>
      </c>
      <c r="AJ14" s="59">
        <f>IFERROR(__xludf.DUMMYFUNCTION("""COMPUTED_VALUE"""),15.0)</f>
        <v>15</v>
      </c>
      <c r="AK14" s="59" t="str">
        <f>IFERROR(__xludf.DUMMYFUNCTION("""COMPUTED_VALUE"""),"Durante el 2021 se realizaron 15 espacios de comunicacion que facilitaron la interlocucion de la entidad con los diferentes usuarios para mejorar la gestión pública")</f>
        <v>Durante el 2021 se realizaron 15 espacios de comunicacion que facilitaron la interlocucion de la entidad con los diferentes usuarios para mejorar la gestión pública</v>
      </c>
      <c r="AL14" s="59"/>
      <c r="AM14" s="60"/>
      <c r="AN14" s="61" t="str">
        <f>IFERROR(IF((AO14+1)&lt;2,Alertas!$B$2&amp;TEXT(AO14,"0%")&amp;Alertas!$D$2, IF((AO14+1)=2,Alertas!$B$3,IF((AO14+1)&gt;2,Alertas!$B$4&amp;TEXT(AO14,"0%")&amp;Alertas!$D$4,AO14+1))),"Sin meta para el segundo trimestre")</f>
        <v>La ejecución de la meta registrada se encuentra acorde a la meta programada en la formulación del plan de acción para el segundo trimestre</v>
      </c>
      <c r="AO14" s="62">
        <f t="shared" si="2"/>
        <v>1</v>
      </c>
      <c r="AP14" s="61" t="str">
        <f t="shared" si="3"/>
        <v>No reporto evidencia.
La ejecución de la meta registrada se encuentra acorde a la meta programada en la formulación del plan de acción para el segundo trimestre.</v>
      </c>
      <c r="AQ14" s="63"/>
      <c r="AR14" s="64"/>
      <c r="AS14" s="65"/>
      <c r="AT14" s="65"/>
      <c r="AU14" s="66"/>
      <c r="AV14" s="67"/>
      <c r="AW14" s="68"/>
      <c r="AX14" s="63"/>
      <c r="AY14" s="64"/>
      <c r="AZ14" s="69"/>
      <c r="BA14" s="65"/>
      <c r="BB14" s="70"/>
      <c r="BC14" s="71"/>
      <c r="BD14" s="72"/>
      <c r="BE14" s="73"/>
      <c r="BF14" s="64"/>
      <c r="BG14" s="69"/>
      <c r="BH14" s="65"/>
      <c r="BI14" s="66"/>
      <c r="BJ14" s="71"/>
      <c r="BK14" s="72"/>
      <c r="BL14" s="74"/>
      <c r="BN14" s="5" t="str">
        <f t="shared" si="4"/>
        <v>0</v>
      </c>
      <c r="BP14" s="75" t="s">
        <v>97</v>
      </c>
      <c r="BQ14" s="13">
        <f t="shared" si="5"/>
        <v>12</v>
      </c>
      <c r="BR14" s="11">
        <f t="shared" si="6"/>
        <v>4</v>
      </c>
      <c r="BS14" s="11">
        <f t="shared" si="7"/>
        <v>12</v>
      </c>
      <c r="BT14" s="12">
        <f t="shared" si="8"/>
        <v>2.75</v>
      </c>
      <c r="BU14" s="11" t="str">
        <f t="shared" si="9"/>
        <v>Reporte con Sobre Ejecución</v>
      </c>
      <c r="BV14" s="76">
        <f t="shared" ref="BV14:BY14" si="20">COUNTIFS($D:$D,$BP14,$BN:$BN,BV$1)</f>
        <v>0</v>
      </c>
      <c r="BW14" s="76">
        <f t="shared" si="20"/>
        <v>0</v>
      </c>
      <c r="BX14" s="76">
        <f t="shared" si="20"/>
        <v>4</v>
      </c>
      <c r="BY14" s="76">
        <f t="shared" si="20"/>
        <v>8</v>
      </c>
    </row>
    <row r="15" ht="37.5" customHeight="1">
      <c r="A15" s="45"/>
      <c r="B15" s="46">
        <f>IFERROR(__xludf.DUMMYFUNCTION("""COMPUTED_VALUE"""),10.0)</f>
        <v>10</v>
      </c>
      <c r="C15" s="47" t="str">
        <f>IFERROR(__xludf.DUMMYFUNCTION("""COMPUTED_VALUE"""),"Comunicación estratégica")</f>
        <v>Comunicación estratégica</v>
      </c>
      <c r="D15" s="48" t="str">
        <f>IFERROR(__xludf.DUMMYFUNCTION("""COMPUTED_VALUE"""),"Comunicaciones")</f>
        <v>Comunicaciones</v>
      </c>
      <c r="E15" s="48" t="str">
        <f>IFERROR(__xludf.DUMMYFUNCTION("""COMPUTED_VALUE"""),"Fortalecimiento de la capacidad de gestión de la autoridad nacional de acuicultura y pesca - aunap nacional")</f>
        <v>Fortalecimiento de la capacidad de gestión de la autoridad nacional de acuicultura y pesca - aunap nacional</v>
      </c>
      <c r="F15" s="49">
        <f>IFERROR(__xludf.DUMMYFUNCTION("""COMPUTED_VALUE"""),2.018011000241E12)</f>
        <v>2018011000241</v>
      </c>
      <c r="G15" s="50" t="str">
        <f>IFERROR(__xludf.DUMMYFUNCTION("""COMPUTED_VALUE"""),"Fortalecimiento")</f>
        <v>Fortalecimiento</v>
      </c>
      <c r="H15" s="48" t="str">
        <f>IFERROR(__xludf.DUMMYFUNCTION("""COMPUTED_VALUE"""),"Fortalecer los sistemas de gestión de la Entidad")</f>
        <v>Fortalecer los sistemas de gestión de la Entidad</v>
      </c>
      <c r="I15" s="48" t="str">
        <f>IFERROR(__xludf.DUMMYFUNCTION("""COMPUTED_VALUE"""),"Servicio de Implementación Sistemas de Gestión")</f>
        <v>Servicio de Implementación Sistemas de Gestión</v>
      </c>
      <c r="J15"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15" s="51" t="str">
        <f>IFERROR(__xludf.DUMMYFUNCTION("""COMPUTED_VALUE"""),"Gestión del área")</f>
        <v>Gestión del área</v>
      </c>
      <c r="L15" s="51" t="str">
        <f>IFERROR(__xludf.DUMMYFUNCTION("""COMPUTED_VALUE"""),"Eficacia")</f>
        <v>Eficacia</v>
      </c>
      <c r="M15" s="51" t="str">
        <f>IFERROR(__xludf.DUMMYFUNCTION("""COMPUTED_VALUE"""),"Número")</f>
        <v>Número</v>
      </c>
      <c r="N15" s="52" t="str">
        <f>IFERROR(__xludf.DUMMYFUNCTION("""COMPUTED_VALUE"""),"Documento con el componente de comunicaciones para la estrategia de rendición de cuentas.")</f>
        <v>Documento con el componente de comunicaciones para la estrategia de rendición de cuentas.</v>
      </c>
      <c r="O15" s="53"/>
      <c r="P15" s="54">
        <f>IFERROR(__xludf.DUMMYFUNCTION("""COMPUTED_VALUE"""),1.0)</f>
        <v>1</v>
      </c>
      <c r="Q15" s="55" t="str">
        <f>IFERROR(__xludf.DUMMYFUNCTION("""COMPUTED_VALUE"""),"Elaborar el componente de comunicaciones para la estrategia de rendición de cuentas adoptada por la entidad.")</f>
        <v>Elaborar el componente de comunicaciones para la estrategia de rendición de cuentas adoptada por la entidad.</v>
      </c>
      <c r="R15" s="14" t="str">
        <f>IFERROR(__xludf.DUMMYFUNCTION("""COMPUTED_VALUE"""),"Semestral")</f>
        <v>Semestral</v>
      </c>
      <c r="S15" s="54">
        <f>IFERROR(__xludf.DUMMYFUNCTION("""COMPUTED_VALUE"""),0.0)</f>
        <v>0</v>
      </c>
      <c r="T15" s="54">
        <f>IFERROR(__xludf.DUMMYFUNCTION("""COMPUTED_VALUE"""),1.0)</f>
        <v>1</v>
      </c>
      <c r="U15" s="54">
        <f>IFERROR(__xludf.DUMMYFUNCTION("""COMPUTED_VALUE"""),0.0)</f>
        <v>0</v>
      </c>
      <c r="V15" s="54">
        <f>IFERROR(__xludf.DUMMYFUNCTION("""COMPUTED_VALUE"""),0.0)</f>
        <v>0</v>
      </c>
      <c r="W15" s="56" t="str">
        <f>IFERROR(__xludf.DUMMYFUNCTION("""COMPUTED_VALUE"""),"Comunicaciones")</f>
        <v>Comunicaciones</v>
      </c>
      <c r="X15" s="57" t="str">
        <f>IFERROR(__xludf.DUMMYFUNCTION("""COMPUTED_VALUE"""),"Leidy Hidalgo")</f>
        <v>Leidy Hidalgo</v>
      </c>
      <c r="Y15" s="47" t="str">
        <f>IFERROR(__xludf.DUMMYFUNCTION("""COMPUTED_VALUE"""),"Profesional Especializado")</f>
        <v>Profesional Especializado</v>
      </c>
      <c r="Z15" s="57" t="str">
        <f>IFERROR(__xludf.DUMMYFUNCTION("""COMPUTED_VALUE"""),"leidy.hidalgo@aunap.gov.co")</f>
        <v>leidy.hidalgo@aunap.gov.co</v>
      </c>
      <c r="AA15" s="47" t="str">
        <f>IFERROR(__xludf.DUMMYFUNCTION("""COMPUTED_VALUE"""),"Humanos, Físicos, Financieros, Tecnológicos")</f>
        <v>Humanos, Físicos, Financieros, Tecnológicos</v>
      </c>
      <c r="AB15" s="47" t="str">
        <f>IFERROR(__xludf.DUMMYFUNCTION("""COMPUTED_VALUE"""),"Plan Anticorrupción y de Atención al Ciudadano - PAAC")</f>
        <v>Plan Anticorrupción y de Atención al Ciudadano - PAAC</v>
      </c>
      <c r="AC15" s="47" t="str">
        <f>IFERROR(__xludf.DUMMYFUNCTION("""COMPUTED_VALUE"""),"Llegar con actividades de pesca y acuicultura a todas las regiones")</f>
        <v>Llegar con actividades de pesca y acuicultura a todas las regiones</v>
      </c>
      <c r="AD15" s="47" t="str">
        <f>IFERROR(__xludf.DUMMYFUNCTION("""COMPUTED_VALUE"""),"Información y comunicación")</f>
        <v>Información y comunicación</v>
      </c>
      <c r="AE15" s="47" t="str">
        <f>IFERROR(__xludf.DUMMYFUNCTION("""COMPUTED_VALUE"""),"Transparencia, acceso a la información pública y lucha contra la corrupción")</f>
        <v>Transparencia, acceso a la información pública y lucha contra la corrupción</v>
      </c>
      <c r="AF15" s="47" t="str">
        <f>IFERROR(__xludf.DUMMYFUNCTION("""COMPUTED_VALUE"""),"12. Producción y consumo responsable")</f>
        <v>12. Producción y consumo responsable</v>
      </c>
      <c r="AG15" s="58">
        <f>IFERROR(__xludf.DUMMYFUNCTION("""COMPUTED_VALUE"""),0.0)</f>
        <v>0</v>
      </c>
      <c r="AH15" s="59"/>
      <c r="AI15" s="59"/>
      <c r="AJ15" s="59"/>
      <c r="AK15" s="59"/>
      <c r="AL15" s="59"/>
      <c r="AM15" s="60"/>
      <c r="AN15" s="61" t="str">
        <f>IFERROR(IF((AO15+1)&lt;2,Alertas!$B$2&amp;TEXT(AO15,"0%")&amp;Alertas!$D$2, IF((AO15+1)=2,Alertas!$B$3,IF((AO15+1)&gt;2,Alertas!$B$4&amp;TEXT(AO15,"0%")&amp;Alertas!$D$4,AO15+1))),"Sin meta para el segundo trimestre")</f>
        <v>La ejecución de la meta registrada se encuentra por debajo de la meta programada en la formulación del plan de acción para el segundo trimestre, su porcentaje de cumplimiento es 0%, lo cual indica un incumplimiento que puede ser entendido por los entes de control como falencias en el proceso de planeación y gestión de la dependencia. se recomienda realizar acciones para garantizar el cumplimiento de la meta durante lo que resta de vigencia</v>
      </c>
      <c r="AO15" s="62">
        <f t="shared" si="2"/>
        <v>0</v>
      </c>
      <c r="AP15" s="61" t="str">
        <f t="shared" si="3"/>
        <v>No reporto justificación de avance. 
No reporto evidencia.
La ejecución de la meta registrada se encuentra por debajo de la meta programada en la formulación del plan de acción para el segundo trimestre, su porcentaje de cumplimiento es 0%, lo cual indica un incumplimiento que puede ser entendido por los entes de control como falencias en el proceso de planeación y gestión de la dependencia. se recomienda realizar acciones para garantizar el cumplimiento de la meta durante lo que resta de vigencia.</v>
      </c>
      <c r="AQ15" s="63"/>
      <c r="AR15" s="64"/>
      <c r="AS15" s="65"/>
      <c r="AT15" s="65"/>
      <c r="AU15" s="66"/>
      <c r="AV15" s="67"/>
      <c r="AW15" s="68"/>
      <c r="AX15" s="63"/>
      <c r="AY15" s="64"/>
      <c r="AZ15" s="69"/>
      <c r="BA15" s="65"/>
      <c r="BB15" s="70"/>
      <c r="BC15" s="71"/>
      <c r="BD15" s="72"/>
      <c r="BE15" s="73"/>
      <c r="BF15" s="64"/>
      <c r="BG15" s="69"/>
      <c r="BH15" s="65"/>
      <c r="BI15" s="66"/>
      <c r="BJ15" s="71"/>
      <c r="BK15" s="72"/>
      <c r="BL15" s="74"/>
      <c r="BN15" s="5" t="str">
        <f t="shared" si="4"/>
        <v>-1</v>
      </c>
      <c r="BP15" s="75" t="s">
        <v>98</v>
      </c>
      <c r="BQ15" s="13">
        <f t="shared" si="5"/>
        <v>8</v>
      </c>
      <c r="BR15" s="11">
        <f t="shared" si="6"/>
        <v>1</v>
      </c>
      <c r="BS15" s="11">
        <f t="shared" si="7"/>
        <v>6</v>
      </c>
      <c r="BT15" s="12">
        <f t="shared" si="8"/>
        <v>2.653333333</v>
      </c>
      <c r="BU15" s="11" t="str">
        <f t="shared" si="9"/>
        <v>Reporte con Sobre Ejecución</v>
      </c>
      <c r="BV15" s="76">
        <f t="shared" ref="BV15:BY15" si="21">COUNTIFS($D:$D,$BP15,$BN:$BN,BV$1)</f>
        <v>2</v>
      </c>
      <c r="BW15" s="76">
        <f t="shared" si="21"/>
        <v>0</v>
      </c>
      <c r="BX15" s="76">
        <f t="shared" si="21"/>
        <v>1</v>
      </c>
      <c r="BY15" s="76">
        <f t="shared" si="21"/>
        <v>5</v>
      </c>
    </row>
    <row r="16" ht="37.5" customHeight="1">
      <c r="A16" s="45"/>
      <c r="B16" s="46">
        <f>IFERROR(__xludf.DUMMYFUNCTION("""COMPUTED_VALUE"""),11.0)</f>
        <v>11</v>
      </c>
      <c r="C16" s="47" t="str">
        <f>IFERROR(__xludf.DUMMYFUNCTION("""COMPUTED_VALUE"""),"Comunicación estratégica")</f>
        <v>Comunicación estratégica</v>
      </c>
      <c r="D16" s="48" t="str">
        <f>IFERROR(__xludf.DUMMYFUNCTION("""COMPUTED_VALUE"""),"Comunicaciones")</f>
        <v>Comunicaciones</v>
      </c>
      <c r="E16" s="48" t="str">
        <f>IFERROR(__xludf.DUMMYFUNCTION("""COMPUTED_VALUE"""),"Fortalecimiento de la capacidad de gestión de la autoridad nacional de acuicultura y pesca - aunap nacional")</f>
        <v>Fortalecimiento de la capacidad de gestión de la autoridad nacional de acuicultura y pesca - aunap nacional</v>
      </c>
      <c r="F16" s="49">
        <f>IFERROR(__xludf.DUMMYFUNCTION("""COMPUTED_VALUE"""),2.018011000241E12)</f>
        <v>2018011000241</v>
      </c>
      <c r="G16" s="50" t="str">
        <f>IFERROR(__xludf.DUMMYFUNCTION("""COMPUTED_VALUE"""),"Fortalecimiento")</f>
        <v>Fortalecimiento</v>
      </c>
      <c r="H16" s="48" t="str">
        <f>IFERROR(__xludf.DUMMYFUNCTION("""COMPUTED_VALUE"""),"Fortalecer los sistemas de gestión de la Entidad")</f>
        <v>Fortalecer los sistemas de gestión de la Entidad</v>
      </c>
      <c r="I16" s="48" t="str">
        <f>IFERROR(__xludf.DUMMYFUNCTION("""COMPUTED_VALUE"""),"Servicio de Implementación Sistemas de Gestión")</f>
        <v>Servicio de Implementación Sistemas de Gestión</v>
      </c>
      <c r="J16"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16" s="51" t="str">
        <f>IFERROR(__xludf.DUMMYFUNCTION("""COMPUTED_VALUE"""),"Gestión del área")</f>
        <v>Gestión del área</v>
      </c>
      <c r="L16" s="51" t="str">
        <f>IFERROR(__xludf.DUMMYFUNCTION("""COMPUTED_VALUE"""),"Eficacia")</f>
        <v>Eficacia</v>
      </c>
      <c r="M16" s="51" t="str">
        <f>IFERROR(__xludf.DUMMYFUNCTION("""COMPUTED_VALUE"""),"Porcentaje")</f>
        <v>Porcentaje</v>
      </c>
      <c r="N16" s="52" t="str">
        <f>IFERROR(__xludf.DUMMYFUNCTION("""COMPUTED_VALUE"""),"Porcentaje de ejecuciòn del Desarrollo de las activividades contempladas en el componente de comunicaciones para la estrategia de rendición de cuentas.")</f>
        <v>Porcentaje de ejecuciòn del Desarrollo de las activividades contempladas en el componente de comunicaciones para la estrategia de rendición de cuentas.</v>
      </c>
      <c r="O16" s="53"/>
      <c r="P16" s="78">
        <f>IFERROR(__xludf.DUMMYFUNCTION("""COMPUTED_VALUE"""),1.0)</f>
        <v>1</v>
      </c>
      <c r="Q16" s="79" t="str">
        <f>IFERROR(__xludf.DUMMYFUNCTION("""COMPUTED_VALUE"""),"Implementar el componente de comunicaciones para la estrategia de rendición de cuentas adoptada por la entidad.")</f>
        <v>Implementar el componente de comunicaciones para la estrategia de rendición de cuentas adoptada por la entidad.</v>
      </c>
      <c r="R16" s="79" t="str">
        <f>IFERROR(__xludf.DUMMYFUNCTION("""COMPUTED_VALUE"""),"Semestral")</f>
        <v>Semestral</v>
      </c>
      <c r="S16" s="78">
        <f>IFERROR(__xludf.DUMMYFUNCTION("""COMPUTED_VALUE"""),0.0)</f>
        <v>0</v>
      </c>
      <c r="T16" s="78">
        <f>IFERROR(__xludf.DUMMYFUNCTION("""COMPUTED_VALUE"""),0.0)</f>
        <v>0</v>
      </c>
      <c r="U16" s="78">
        <f>IFERROR(__xludf.DUMMYFUNCTION("""COMPUTED_VALUE"""),0.5)</f>
        <v>0.5</v>
      </c>
      <c r="V16" s="78">
        <f>IFERROR(__xludf.DUMMYFUNCTION("""COMPUTED_VALUE"""),0.5)</f>
        <v>0.5</v>
      </c>
      <c r="W16" s="56" t="str">
        <f>IFERROR(__xludf.DUMMYFUNCTION("""COMPUTED_VALUE"""),"Comunicaciones")</f>
        <v>Comunicaciones</v>
      </c>
      <c r="X16" s="57" t="str">
        <f>IFERROR(__xludf.DUMMYFUNCTION("""COMPUTED_VALUE"""),"Leidy Hidalgo")</f>
        <v>Leidy Hidalgo</v>
      </c>
      <c r="Y16" s="47" t="str">
        <f>IFERROR(__xludf.DUMMYFUNCTION("""COMPUTED_VALUE"""),"Profesional Especializado")</f>
        <v>Profesional Especializado</v>
      </c>
      <c r="Z16" s="57" t="str">
        <f>IFERROR(__xludf.DUMMYFUNCTION("""COMPUTED_VALUE"""),"leidy.hidalgo@aunap.gov.co")</f>
        <v>leidy.hidalgo@aunap.gov.co</v>
      </c>
      <c r="AA16" s="47" t="str">
        <f>IFERROR(__xludf.DUMMYFUNCTION("""COMPUTED_VALUE"""),"Humanos, Físicos, Financieros, Tecnológicos")</f>
        <v>Humanos, Físicos, Financieros, Tecnológicos</v>
      </c>
      <c r="AB16" s="47" t="str">
        <f>IFERROR(__xludf.DUMMYFUNCTION("""COMPUTED_VALUE"""),"Plan Anticorrupción y de Atención al Ciudadano - PAAC")</f>
        <v>Plan Anticorrupción y de Atención al Ciudadano - PAAC</v>
      </c>
      <c r="AC16" s="47" t="str">
        <f>IFERROR(__xludf.DUMMYFUNCTION("""COMPUTED_VALUE"""),"Llegar con actividades de pesca y acuicultura a todas las regiones")</f>
        <v>Llegar con actividades de pesca y acuicultura a todas las regiones</v>
      </c>
      <c r="AD16" s="47" t="str">
        <f>IFERROR(__xludf.DUMMYFUNCTION("""COMPUTED_VALUE"""),"Información y comunicación")</f>
        <v>Información y comunicación</v>
      </c>
      <c r="AE16" s="47" t="str">
        <f>IFERROR(__xludf.DUMMYFUNCTION("""COMPUTED_VALUE"""),"Transparencia, acceso a la información pública y lucha contra la corrupción")</f>
        <v>Transparencia, acceso a la información pública y lucha contra la corrupción</v>
      </c>
      <c r="AF16" s="47" t="str">
        <f>IFERROR(__xludf.DUMMYFUNCTION("""COMPUTED_VALUE"""),"12. Producción y consumo responsable")</f>
        <v>12. Producción y consumo responsable</v>
      </c>
      <c r="AG16" s="80">
        <f>IFERROR(__xludf.DUMMYFUNCTION("""COMPUTED_VALUE"""),0.5)</f>
        <v>0.5</v>
      </c>
      <c r="AH16" s="59" t="str">
        <f>IFERROR(__xludf.DUMMYFUNCTION("""COMPUTED_VALUE"""),"Durante el presente periodo de dio cumplimiento al total 50% para completar la totalidad de las acividades programadas dentro del componente de Comunicaciones de la Estrategia de Rendicion de Cuentas 2021.  Lo relacionado con la convocatoria, la divulgaci"&amp;"on de los resultados, de los detalles del desarrollo, del informe de memorias y demas relacionadas con la fase final del proceso. ")</f>
        <v>Durante el presente periodo de dio cumplimiento al total 50% para completar la totalidad de las acividades programadas dentro del componente de Comunicaciones de la Estrategia de Rendicion de Cuentas 2021.  Lo relacionado con la convocatoria, la divulgacion de los resultados, de los detalles del desarrollo, del informe de memorias y demas relacionadas con la fase final del proceso. </v>
      </c>
      <c r="AI16" s="81" t="str">
        <f>IFERROR(__xludf.DUMMYFUNCTION("""COMPUTED_VALUE"""),"https://www.aunap.gov.co/documentos/informes/RendicionCuentas/informe-de-memorias-rendicion-de-cuentas-2021.pdf")</f>
        <v>https://www.aunap.gov.co/documentos/informes/RendicionCuentas/informe-de-memorias-rendicion-de-cuentas-2021.pdf</v>
      </c>
      <c r="AJ16" s="59">
        <f>IFERROR(__xludf.DUMMYFUNCTION("""COMPUTED_VALUE"""),1.0)</f>
        <v>1</v>
      </c>
      <c r="AK16" s="59" t="str">
        <f>IFERROR(__xludf.DUMMYFUNCTION("""COMPUTED_VALUE"""),"Durante el 2021 se dio cumplimiento al 100% de las actividades planteadas dentro de la estrategia de rendicion de cuentas, lo anterior se evidencia en el informe de memorias aportado como evidencia. ")</f>
        <v>Durante el 2021 se dio cumplimiento al 100% de las actividades planteadas dentro de la estrategia de rendicion de cuentas, lo anterior se evidencia en el informe de memorias aportado como evidencia. </v>
      </c>
      <c r="AL16" s="59"/>
      <c r="AM16" s="60"/>
      <c r="AN16" s="61" t="str">
        <f>IFERROR(IF((AO16+1)&lt;2,Alertas!$B$2&amp;TEXT(AO16,"0%")&amp;Alertas!$D$2, IF((AO16+1)=2,Alertas!$B$3,IF((AO16+1)&gt;2,Alertas!$B$4&amp;TEXT(AO16,"0%")&amp;Alertas!$D$4,AO16+1))),"Sin meta para el segundo trimestre")</f>
        <v>La ejecución de la meta registrada se encuentra por encima de la meta programada en la formulación del plan de acción para el segundo trimestre, su porcentaje de cumplimiento es 150%,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6" s="62">
        <f t="shared" si="2"/>
        <v>1.5</v>
      </c>
      <c r="AP16" s="61" t="str">
        <f t="shared" si="3"/>
        <v>La ejecución de la meta registrada se encuentra por encima de la meta programada en la formulación del plan de acción para el segundo trimestre, su porcentaje de cumplimiento es 150%,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6" s="63"/>
      <c r="AR16" s="64"/>
      <c r="AS16" s="65"/>
      <c r="AT16" s="65"/>
      <c r="AU16" s="66"/>
      <c r="AV16" s="67"/>
      <c r="AW16" s="68"/>
      <c r="AX16" s="63"/>
      <c r="AY16" s="64"/>
      <c r="AZ16" s="69"/>
      <c r="BA16" s="65"/>
      <c r="BB16" s="70"/>
      <c r="BC16" s="71"/>
      <c r="BD16" s="72"/>
      <c r="BE16" s="73"/>
      <c r="BF16" s="64"/>
      <c r="BG16" s="69"/>
      <c r="BH16" s="65"/>
      <c r="BI16" s="66"/>
      <c r="BJ16" s="71"/>
      <c r="BK16" s="72"/>
      <c r="BL16" s="74"/>
      <c r="BP16" s="75" t="s">
        <v>99</v>
      </c>
      <c r="BQ16" s="13">
        <f t="shared" si="5"/>
        <v>5</v>
      </c>
      <c r="BR16" s="11">
        <f t="shared" si="6"/>
        <v>1</v>
      </c>
      <c r="BS16" s="11">
        <f t="shared" si="7"/>
        <v>3</v>
      </c>
      <c r="BT16" s="12" t="str">
        <f t="shared" si="8"/>
        <v>-</v>
      </c>
      <c r="BU16" s="11" t="str">
        <f t="shared" si="9"/>
        <v>-</v>
      </c>
      <c r="BV16" s="76"/>
      <c r="BW16" s="76"/>
      <c r="BX16" s="76"/>
      <c r="BY16" s="76"/>
    </row>
    <row r="17" ht="37.5" customHeight="1">
      <c r="A17" s="45"/>
      <c r="B17" s="46">
        <f>IFERROR(__xludf.DUMMYFUNCTION("""COMPUTED_VALUE"""),15.0)</f>
        <v>15</v>
      </c>
      <c r="C17" s="47" t="str">
        <f>IFERROR(__xludf.DUMMYFUNCTION("""COMPUTED_VALUE"""),"Gestión de contratación")</f>
        <v>Gestión de contratación</v>
      </c>
      <c r="D17" s="48" t="str">
        <f>IFERROR(__xludf.DUMMYFUNCTION("""COMPUTED_VALUE"""),"Contratos")</f>
        <v>Contratos</v>
      </c>
      <c r="E17" s="48" t="str">
        <f>IFERROR(__xludf.DUMMYFUNCTION("""COMPUTED_VALUE"""),"Fortalecimiento de la capacidad de gestión de la autoridad nacional de acuicultura y pesca - aunap nacional")</f>
        <v>Fortalecimiento de la capacidad de gestión de la autoridad nacional de acuicultura y pesca - aunap nacional</v>
      </c>
      <c r="F17" s="49">
        <f>IFERROR(__xludf.DUMMYFUNCTION("""COMPUTED_VALUE"""),2.018011000241E12)</f>
        <v>2018011000241</v>
      </c>
      <c r="G17" s="50" t="str">
        <f>IFERROR(__xludf.DUMMYFUNCTION("""COMPUTED_VALUE"""),"Fortalecimiento")</f>
        <v>Fortalecimiento</v>
      </c>
      <c r="H17" s="48" t="str">
        <f>IFERROR(__xludf.DUMMYFUNCTION("""COMPUTED_VALUE"""),"Fortalecer los sistemas de gestión de la Entidad")</f>
        <v>Fortalecer los sistemas de gestión de la Entidad</v>
      </c>
      <c r="I17" s="48" t="str">
        <f>IFERROR(__xludf.DUMMYFUNCTION("""COMPUTED_VALUE"""),"Servicio de Implementación Sistemas de Gestión")</f>
        <v>Servicio de Implementación Sistemas de Gestión</v>
      </c>
      <c r="J17"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17" s="51" t="str">
        <f>IFERROR(__xludf.DUMMYFUNCTION("""COMPUTED_VALUE"""),"Gestión del área")</f>
        <v>Gestión del área</v>
      </c>
      <c r="L17" s="51" t="str">
        <f>IFERROR(__xludf.DUMMYFUNCTION("""COMPUTED_VALUE"""),"Eficiencia")</f>
        <v>Eficiencia</v>
      </c>
      <c r="M17" s="51" t="str">
        <f>IFERROR(__xludf.DUMMYFUNCTION("""COMPUTED_VALUE"""),"Porcentaje")</f>
        <v>Porcentaje</v>
      </c>
      <c r="N17" s="52" t="str">
        <f>IFERROR(__xludf.DUMMYFUNCTION("""COMPUTED_VALUE"""),"N° documentos revisados/N° documentos recibidos que cumplan con la totalidad los requisitos")</f>
        <v>N° documentos revisados/N° documentos recibidos que cumplan con la totalidad los requisitos</v>
      </c>
      <c r="O17" s="53"/>
      <c r="P17" s="78">
        <f>IFERROR(__xludf.DUMMYFUNCTION("""COMPUTED_VALUE"""),1.0)</f>
        <v>1</v>
      </c>
      <c r="Q17" s="79" t="str">
        <f>IFERROR(__xludf.DUMMYFUNCTION("""COMPUTED_VALUE"""),"Revisar los estudios y documentos previos que elaboran las áreas ejecutoras, de tal forma que se ajusten a la normativa vigente")</f>
        <v>Revisar los estudios y documentos previos que elaboran las áreas ejecutoras, de tal forma que se ajusten a la normativa vigente</v>
      </c>
      <c r="R17" s="79" t="str">
        <f>IFERROR(__xludf.DUMMYFUNCTION("""COMPUTED_VALUE"""),"Trimestral")</f>
        <v>Trimestral</v>
      </c>
      <c r="S17" s="78">
        <f>IFERROR(__xludf.DUMMYFUNCTION("""COMPUTED_VALUE"""),1.0)</f>
        <v>1</v>
      </c>
      <c r="T17" s="78">
        <f>IFERROR(__xludf.DUMMYFUNCTION("""COMPUTED_VALUE"""),1.0)</f>
        <v>1</v>
      </c>
      <c r="U17" s="78">
        <f>IFERROR(__xludf.DUMMYFUNCTION("""COMPUTED_VALUE"""),1.0)</f>
        <v>1</v>
      </c>
      <c r="V17" s="78">
        <f>IFERROR(__xludf.DUMMYFUNCTION("""COMPUTED_VALUE"""),1.0)</f>
        <v>1</v>
      </c>
      <c r="W17" s="56" t="str">
        <f>IFERROR(__xludf.DUMMYFUNCTION("""COMPUTED_VALUE"""),"Contratos")</f>
        <v>Contratos</v>
      </c>
      <c r="X17" s="57" t="str">
        <f>IFERROR(__xludf.DUMMYFUNCTION("""COMPUTED_VALUE"""),"Milton Cuervo")</f>
        <v>Milton Cuervo</v>
      </c>
      <c r="Y17" s="47" t="str">
        <f>IFERROR(__xludf.DUMMYFUNCTION("""COMPUTED_VALUE"""),"Asesor")</f>
        <v>Asesor</v>
      </c>
      <c r="Z17" s="57" t="str">
        <f>IFERROR(__xludf.DUMMYFUNCTION("""COMPUTED_VALUE"""),"milton.cuervo@aunap.gov.co")</f>
        <v>milton.cuervo@aunap.gov.co</v>
      </c>
      <c r="AA17" s="47" t="str">
        <f>IFERROR(__xludf.DUMMYFUNCTION("""COMPUTED_VALUE"""),"Humanos, Físicos, Financieros, Tecnológicos")</f>
        <v>Humanos, Físicos, Financieros, Tecnológicos</v>
      </c>
      <c r="AB17" s="47" t="str">
        <f>IFERROR(__xludf.DUMMYFUNCTION("""COMPUTED_VALUE"""),"No asociado")</f>
        <v>No asociado</v>
      </c>
      <c r="AC17" s="47" t="str">
        <f>IFERROR(__xludf.DUMMYFUNCTION("""COMPUTED_VALUE"""),"Llegar con actividades de pesca y acuicultura a todas las regiones")</f>
        <v>Llegar con actividades de pesca y acuicultura a todas las regiones</v>
      </c>
      <c r="AD17" s="47" t="str">
        <f>IFERROR(__xludf.DUMMYFUNCTION("""COMPUTED_VALUE"""),"Talento Humano")</f>
        <v>Talento Humano</v>
      </c>
      <c r="AE17" s="47" t="str">
        <f>IFERROR(__xludf.DUMMYFUNCTION("""COMPUTED_VALUE"""),"Talento Humano")</f>
        <v>Talento Humano</v>
      </c>
      <c r="AF17" s="47" t="str">
        <f>IFERROR(__xludf.DUMMYFUNCTION("""COMPUTED_VALUE"""),"16. Paz, justicia e instituciones sólidas")</f>
        <v>16. Paz, justicia e instituciones sólidas</v>
      </c>
      <c r="AG17" s="80">
        <f>IFERROR(__xludf.DUMMYFUNCTION("""COMPUTED_VALUE"""),1.0)</f>
        <v>1</v>
      </c>
      <c r="AH17" s="59" t="str">
        <f>IFERROR(__xludf.DUMMYFUNCTION("""COMPUTED_VALUE"""),"De 49 documentos de estudios previos radicados y revisados, 49 documentos cumplían con la totalidad de requisitos para iniciar el trámite.")</f>
        <v>De 49 documentos de estudios previos radicados y revisados, 49 documentos cumplían con la totalidad de requisitos para iniciar el trámite.</v>
      </c>
      <c r="AI17" s="81" t="str">
        <f>IFERROR(__xludf.DUMMYFUNCTION("""COMPUTED_VALUE"""),"https://drive.google.com/drive/folders/1nE89tuiq54uygP4vd6BKiShcSbk3CaXh?usp=sharing")</f>
        <v>https://drive.google.com/drive/folders/1nE89tuiq54uygP4vd6BKiShcSbk3CaXh?usp=sharing</v>
      </c>
      <c r="AJ17" s="59">
        <f>IFERROR(__xludf.DUMMYFUNCTION("""COMPUTED_VALUE"""),1.0)</f>
        <v>1</v>
      </c>
      <c r="AK17" s="59" t="str">
        <f>IFERROR(__xludf.DUMMYFUNCTION("""COMPUTED_VALUE"""),"De acuerdo a lo reportado en los respectivos trimestre https://drive.google.com/drive/folders/1kHuiQaQQm1dJnLVAe4TtxStWpJrxjVi-?usp=sharing")</f>
        <v>De acuerdo a lo reportado en los respectivos trimestre https://drive.google.com/drive/folders/1kHuiQaQQm1dJnLVAe4TtxStWpJrxjVi-?usp=sharing</v>
      </c>
      <c r="AL17" s="59">
        <f>IFERROR(__xludf.DUMMYFUNCTION("""COMPUTED_VALUE"""),44582.0)</f>
        <v>44582</v>
      </c>
      <c r="AM17" s="60"/>
      <c r="AN17" s="61" t="str">
        <f>IFERROR(IF((AO17+1)&lt;2,Alertas!$B$2&amp;TEXT(AO17,"0%")&amp;Alertas!$D$2, IF((AO17+1)=2,Alertas!$B$3,IF((AO17+1)&gt;2,Alertas!$B$4&amp;TEXT(AO17,"0%")&amp;Alertas!$D$4,AO17+1))),"Sin meta para el segundo trimestre")</f>
        <v>La ejecución de la meta registrada se encuentra acorde a la meta programada en la formulación del plan de acción para el segundo trimestre</v>
      </c>
      <c r="AO17" s="62">
        <f t="shared" si="2"/>
        <v>1</v>
      </c>
      <c r="AP17" s="61" t="str">
        <f t="shared" si="3"/>
        <v>La ejecución de la meta registrada se encuentra acorde a la meta programada en la formulación del plan de acción para el segundo trimestre.</v>
      </c>
      <c r="AQ17" s="63"/>
      <c r="AR17" s="64"/>
      <c r="AS17" s="65"/>
      <c r="AT17" s="65"/>
      <c r="AU17" s="66"/>
      <c r="AV17" s="67"/>
      <c r="AW17" s="68"/>
      <c r="AX17" s="63"/>
      <c r="AY17" s="64"/>
      <c r="AZ17" s="69"/>
      <c r="BA17" s="65"/>
      <c r="BB17" s="70"/>
      <c r="BC17" s="71"/>
      <c r="BD17" s="72"/>
      <c r="BE17" s="73"/>
      <c r="BF17" s="64"/>
      <c r="BG17" s="69"/>
      <c r="BH17" s="65"/>
      <c r="BI17" s="66"/>
      <c r="BJ17" s="71"/>
      <c r="BK17" s="72"/>
      <c r="BL17" s="74"/>
      <c r="BP17" s="75" t="s">
        <v>100</v>
      </c>
      <c r="BQ17" s="13">
        <f t="shared" si="5"/>
        <v>4</v>
      </c>
      <c r="BR17" s="11">
        <f t="shared" si="6"/>
        <v>2</v>
      </c>
      <c r="BS17" s="11">
        <f t="shared" si="7"/>
        <v>4</v>
      </c>
      <c r="BT17" s="12">
        <f t="shared" si="8"/>
        <v>1.5</v>
      </c>
      <c r="BU17" s="11" t="str">
        <f t="shared" si="9"/>
        <v>Reporte con Sobre Ejecución</v>
      </c>
      <c r="BV17" s="76"/>
      <c r="BW17" s="76"/>
      <c r="BX17" s="76"/>
      <c r="BY17" s="76"/>
    </row>
    <row r="18" ht="37.5" customHeight="1">
      <c r="A18" s="45"/>
      <c r="B18" s="46">
        <f>IFERROR(__xludf.DUMMYFUNCTION("""COMPUTED_VALUE"""),16.0)</f>
        <v>16</v>
      </c>
      <c r="C18" s="47" t="str">
        <f>IFERROR(__xludf.DUMMYFUNCTION("""COMPUTED_VALUE"""),"Gestión de contratación")</f>
        <v>Gestión de contratación</v>
      </c>
      <c r="D18" s="48" t="str">
        <f>IFERROR(__xludf.DUMMYFUNCTION("""COMPUTED_VALUE"""),"Contratos")</f>
        <v>Contratos</v>
      </c>
      <c r="E18" s="48" t="str">
        <f>IFERROR(__xludf.DUMMYFUNCTION("""COMPUTED_VALUE"""),"Fortalecimiento de la capacidad de gestión de la autoridad nacional de acuicultura y pesca - aunap nacional")</f>
        <v>Fortalecimiento de la capacidad de gestión de la autoridad nacional de acuicultura y pesca - aunap nacional</v>
      </c>
      <c r="F18" s="49">
        <f>IFERROR(__xludf.DUMMYFUNCTION("""COMPUTED_VALUE"""),2.018011000241E12)</f>
        <v>2018011000241</v>
      </c>
      <c r="G18" s="50" t="str">
        <f>IFERROR(__xludf.DUMMYFUNCTION("""COMPUTED_VALUE"""),"Fortalecimiento")</f>
        <v>Fortalecimiento</v>
      </c>
      <c r="H18" s="48" t="str">
        <f>IFERROR(__xludf.DUMMYFUNCTION("""COMPUTED_VALUE"""),"Fortalecer los sistemas de gestión de la Entidad")</f>
        <v>Fortalecer los sistemas de gestión de la Entidad</v>
      </c>
      <c r="I18" s="48" t="str">
        <f>IFERROR(__xludf.DUMMYFUNCTION("""COMPUTED_VALUE"""),"Servicio de Implementación Sistemas de Gestión")</f>
        <v>Servicio de Implementación Sistemas de Gestión</v>
      </c>
      <c r="J18"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18" s="51" t="str">
        <f>IFERROR(__xludf.DUMMYFUNCTION("""COMPUTED_VALUE"""),"Gestión del área")</f>
        <v>Gestión del área</v>
      </c>
      <c r="L18" s="51" t="str">
        <f>IFERROR(__xludf.DUMMYFUNCTION("""COMPUTED_VALUE"""),"Eficiencia")</f>
        <v>Eficiencia</v>
      </c>
      <c r="M18" s="51" t="str">
        <f>IFERROR(__xludf.DUMMYFUNCTION("""COMPUTED_VALUE"""),"Porcentaje")</f>
        <v>Porcentaje</v>
      </c>
      <c r="N18" s="52" t="str">
        <f>IFERROR(__xludf.DUMMYFUNCTION("""COMPUTED_VALUE"""),"N° de procesos publicados / N° de procesos radicados que cumplan con la totalidad los requisitos.")</f>
        <v>N° de procesos publicados / N° de procesos radicados que cumplan con la totalidad los requisitos.</v>
      </c>
      <c r="O18" s="53"/>
      <c r="P18" s="78">
        <f>IFERROR(__xludf.DUMMYFUNCTION("""COMPUTED_VALUE"""),1.0)</f>
        <v>1</v>
      </c>
      <c r="Q18" s="79" t="str">
        <f>IFERROR(__xludf.DUMMYFUNCTION("""COMPUTED_VALUE"""),"Desarrollar los procesos públicos de selección de acuerdo con las modalidades de selección establecidas en la ley.")</f>
        <v>Desarrollar los procesos públicos de selección de acuerdo con las modalidades de selección establecidas en la ley.</v>
      </c>
      <c r="R18" s="79" t="str">
        <f>IFERROR(__xludf.DUMMYFUNCTION("""COMPUTED_VALUE"""),"Trimestral")</f>
        <v>Trimestral</v>
      </c>
      <c r="S18" s="78">
        <f>IFERROR(__xludf.DUMMYFUNCTION("""COMPUTED_VALUE"""),1.0)</f>
        <v>1</v>
      </c>
      <c r="T18" s="78">
        <f>IFERROR(__xludf.DUMMYFUNCTION("""COMPUTED_VALUE"""),1.0)</f>
        <v>1</v>
      </c>
      <c r="U18" s="78">
        <f>IFERROR(__xludf.DUMMYFUNCTION("""COMPUTED_VALUE"""),1.0)</f>
        <v>1</v>
      </c>
      <c r="V18" s="78">
        <f>IFERROR(__xludf.DUMMYFUNCTION("""COMPUTED_VALUE"""),1.0)</f>
        <v>1</v>
      </c>
      <c r="W18" s="56" t="str">
        <f>IFERROR(__xludf.DUMMYFUNCTION("""COMPUTED_VALUE"""),"Contratos")</f>
        <v>Contratos</v>
      </c>
      <c r="X18" s="57" t="str">
        <f>IFERROR(__xludf.DUMMYFUNCTION("""COMPUTED_VALUE"""),"Milton Cuervo")</f>
        <v>Milton Cuervo</v>
      </c>
      <c r="Y18" s="47" t="str">
        <f>IFERROR(__xludf.DUMMYFUNCTION("""COMPUTED_VALUE"""),"Asesor")</f>
        <v>Asesor</v>
      </c>
      <c r="Z18" s="57" t="str">
        <f>IFERROR(__xludf.DUMMYFUNCTION("""COMPUTED_VALUE"""),"milton.cuervo@aunap.gov.co")</f>
        <v>milton.cuervo@aunap.gov.co</v>
      </c>
      <c r="AA18" s="47" t="str">
        <f>IFERROR(__xludf.DUMMYFUNCTION("""COMPUTED_VALUE"""),"Humanos, Físicos, Financieros, Tecnológicos")</f>
        <v>Humanos, Físicos, Financieros, Tecnológicos</v>
      </c>
      <c r="AB18" s="47" t="str">
        <f>IFERROR(__xludf.DUMMYFUNCTION("""COMPUTED_VALUE"""),"No asociado")</f>
        <v>No asociado</v>
      </c>
      <c r="AC18" s="47" t="str">
        <f>IFERROR(__xludf.DUMMYFUNCTION("""COMPUTED_VALUE"""),"Llegar con actividades de pesca y acuicultura a todas las regiones")</f>
        <v>Llegar con actividades de pesca y acuicultura a todas las regiones</v>
      </c>
      <c r="AD18" s="47" t="str">
        <f>IFERROR(__xludf.DUMMYFUNCTION("""COMPUTED_VALUE"""),"Talento Humano")</f>
        <v>Talento Humano</v>
      </c>
      <c r="AE18" s="47" t="str">
        <f>IFERROR(__xludf.DUMMYFUNCTION("""COMPUTED_VALUE"""),"Talento Humano")</f>
        <v>Talento Humano</v>
      </c>
      <c r="AF18" s="47" t="str">
        <f>IFERROR(__xludf.DUMMYFUNCTION("""COMPUTED_VALUE"""),"16. Paz, justicia e instituciones sólidas")</f>
        <v>16. Paz, justicia e instituciones sólidas</v>
      </c>
      <c r="AG18" s="80">
        <f>IFERROR(__xludf.DUMMYFUNCTION("""COMPUTED_VALUE"""),1.0)</f>
        <v>1</v>
      </c>
      <c r="AH18" s="59" t="str">
        <f>IFERROR(__xludf.DUMMYFUNCTION("""COMPUTED_VALUE"""),"De 9 solicitudes de procesos públicos de selección radicadas que cumplían con la totalidad de requisitos, se desarrollaron 9 procesos públicos de selección en SECOP.")</f>
        <v>De 9 solicitudes de procesos públicos de selección radicadas que cumplían con la totalidad de requisitos, se desarrollaron 9 procesos públicos de selección en SECOP.</v>
      </c>
      <c r="AI18" s="81" t="str">
        <f>IFERROR(__xludf.DUMMYFUNCTION("""COMPUTED_VALUE"""),"https://drive.google.com/drive/folders/1nE89tuiq54uygP4vd6BKiShcSbk3CaXh?usp=sharing")</f>
        <v>https://drive.google.com/drive/folders/1nE89tuiq54uygP4vd6BKiShcSbk3CaXh?usp=sharing</v>
      </c>
      <c r="AJ18" s="59">
        <f>IFERROR(__xludf.DUMMYFUNCTION("""COMPUTED_VALUE"""),1.0)</f>
        <v>1</v>
      </c>
      <c r="AK18" s="59" t="str">
        <f>IFERROR(__xludf.DUMMYFUNCTION("""COMPUTED_VALUE"""),"De acuerdo a lo reportado en los respectivos trimestre https://drive.google.com/drive/folders/1kHuiQaQQm1dJnLVAe4TtxStWpJrxjVi-?usp=sharing")</f>
        <v>De acuerdo a lo reportado en los respectivos trimestre https://drive.google.com/drive/folders/1kHuiQaQQm1dJnLVAe4TtxStWpJrxjVi-?usp=sharing</v>
      </c>
      <c r="AL18" s="59">
        <f>IFERROR(__xludf.DUMMYFUNCTION("""COMPUTED_VALUE"""),44582.0)</f>
        <v>44582</v>
      </c>
      <c r="AM18" s="60"/>
      <c r="AN18" s="61" t="str">
        <f>IFERROR(IF((AO18+1)&lt;2,Alertas!$B$2&amp;TEXT(AO18,"0%")&amp;Alertas!$D$2, IF((AO18+1)=2,Alertas!$B$3,IF((AO18+1)&gt;2,Alertas!$B$4&amp;TEXT(AO18,"0%")&amp;Alertas!$D$4,AO18+1))),"Sin meta para el segundo trimestre")</f>
        <v>La ejecución de la meta registrada se encuentra acorde a la meta programada en la formulación del plan de acción para el segundo trimestre</v>
      </c>
      <c r="AO18" s="62">
        <f t="shared" si="2"/>
        <v>1</v>
      </c>
      <c r="AP18" s="61" t="str">
        <f t="shared" si="3"/>
        <v>La ejecución de la meta registrada se encuentra acorde a la meta programada en la formulación del plan de acción para el segundo trimestre.</v>
      </c>
      <c r="AQ18" s="63"/>
      <c r="AR18" s="64"/>
      <c r="AS18" s="65"/>
      <c r="AT18" s="65"/>
      <c r="AU18" s="66"/>
      <c r="AV18" s="67"/>
      <c r="AW18" s="68"/>
      <c r="AX18" s="63"/>
      <c r="AY18" s="64"/>
      <c r="AZ18" s="69"/>
      <c r="BA18" s="65"/>
      <c r="BB18" s="70"/>
      <c r="BC18" s="71"/>
      <c r="BD18" s="72"/>
      <c r="BE18" s="73"/>
      <c r="BF18" s="64"/>
      <c r="BG18" s="69"/>
      <c r="BH18" s="65"/>
      <c r="BI18" s="66"/>
      <c r="BJ18" s="71"/>
      <c r="BK18" s="72"/>
      <c r="BL18" s="74"/>
      <c r="BN18" s="5" t="str">
        <f t="shared" ref="BN18:BN158" si="23">IFERROR(IF((AO18+1)&lt;2,"-1", IF((AO18+1)=2,"0",IF((AO18+1)&gt;2,"1",AO18+1))),"-")</f>
        <v>0</v>
      </c>
      <c r="BP18" s="75" t="s">
        <v>101</v>
      </c>
      <c r="BQ18" s="13">
        <f t="shared" si="5"/>
        <v>8</v>
      </c>
      <c r="BR18" s="11">
        <f t="shared" si="6"/>
        <v>7</v>
      </c>
      <c r="BS18" s="11">
        <f t="shared" si="7"/>
        <v>7</v>
      </c>
      <c r="BT18" s="12">
        <f t="shared" si="8"/>
        <v>1.354029338</v>
      </c>
      <c r="BU18" s="11" t="str">
        <f t="shared" si="9"/>
        <v>Reporte con Sobre Ejecución</v>
      </c>
      <c r="BV18" s="76">
        <f t="shared" ref="BV18:BY18" si="22">COUNTIFS($D:$D,$BP18,$BN:$BN,BV$1)</f>
        <v>0</v>
      </c>
      <c r="BW18" s="76">
        <f t="shared" si="22"/>
        <v>3</v>
      </c>
      <c r="BX18" s="76">
        <f t="shared" si="22"/>
        <v>0</v>
      </c>
      <c r="BY18" s="76">
        <f t="shared" si="22"/>
        <v>5</v>
      </c>
    </row>
    <row r="19" ht="37.5" customHeight="1">
      <c r="A19" s="45"/>
      <c r="B19" s="46">
        <f>IFERROR(__xludf.DUMMYFUNCTION("""COMPUTED_VALUE"""),17.0)</f>
        <v>17</v>
      </c>
      <c r="C19" s="47" t="str">
        <f>IFERROR(__xludf.DUMMYFUNCTION("""COMPUTED_VALUE"""),"Gestión de contratación")</f>
        <v>Gestión de contratación</v>
      </c>
      <c r="D19" s="48" t="str">
        <f>IFERROR(__xludf.DUMMYFUNCTION("""COMPUTED_VALUE"""),"Contratos")</f>
        <v>Contratos</v>
      </c>
      <c r="E19" s="48" t="str">
        <f>IFERROR(__xludf.DUMMYFUNCTION("""COMPUTED_VALUE"""),"Fortalecimiento de la capacidad de gestión de la autoridad nacional de acuicultura y pesca - aunap nacional")</f>
        <v>Fortalecimiento de la capacidad de gestión de la autoridad nacional de acuicultura y pesca - aunap nacional</v>
      </c>
      <c r="F19" s="49">
        <f>IFERROR(__xludf.DUMMYFUNCTION("""COMPUTED_VALUE"""),2.018011000241E12)</f>
        <v>2018011000241</v>
      </c>
      <c r="G19" s="50" t="str">
        <f>IFERROR(__xludf.DUMMYFUNCTION("""COMPUTED_VALUE"""),"Fortalecimiento")</f>
        <v>Fortalecimiento</v>
      </c>
      <c r="H19" s="48" t="str">
        <f>IFERROR(__xludf.DUMMYFUNCTION("""COMPUTED_VALUE"""),"Fortalecer los sistemas de gestión de la Entidad")</f>
        <v>Fortalecer los sistemas de gestión de la Entidad</v>
      </c>
      <c r="I19" s="48" t="str">
        <f>IFERROR(__xludf.DUMMYFUNCTION("""COMPUTED_VALUE"""),"Servicio de Implementación Sistemas de Gestión")</f>
        <v>Servicio de Implementación Sistemas de Gestión</v>
      </c>
      <c r="J19"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19" s="51" t="str">
        <f>IFERROR(__xludf.DUMMYFUNCTION("""COMPUTED_VALUE"""),"Gestión del área")</f>
        <v>Gestión del área</v>
      </c>
      <c r="L19" s="51" t="str">
        <f>IFERROR(__xludf.DUMMYFUNCTION("""COMPUTED_VALUE"""),"Eficiencia")</f>
        <v>Eficiencia</v>
      </c>
      <c r="M19" s="51" t="str">
        <f>IFERROR(__xludf.DUMMYFUNCTION("""COMPUTED_VALUE"""),"Porcentaje")</f>
        <v>Porcentaje</v>
      </c>
      <c r="N19" s="52" t="str">
        <f>IFERROR(__xludf.DUMMYFUNCTION("""COMPUTED_VALUE"""),"N° contratos suscritos/N° contratos adjudicados.")</f>
        <v>N° contratos suscritos/N° contratos adjudicados.</v>
      </c>
      <c r="O19" s="53"/>
      <c r="P19" s="78">
        <f>IFERROR(__xludf.DUMMYFUNCTION("""COMPUTED_VALUE"""),1.0)</f>
        <v>1</v>
      </c>
      <c r="Q19" s="79" t="str">
        <f>IFERROR(__xludf.DUMMYFUNCTION("""COMPUTED_VALUE"""),"Elaborar y/o estructurar los contratos con todas las condiciones para su formalización")</f>
        <v>Elaborar y/o estructurar los contratos con todas las condiciones para su formalización</v>
      </c>
      <c r="R19" s="79" t="str">
        <f>IFERROR(__xludf.DUMMYFUNCTION("""COMPUTED_VALUE"""),"Trimestral")</f>
        <v>Trimestral</v>
      </c>
      <c r="S19" s="78">
        <f>IFERROR(__xludf.DUMMYFUNCTION("""COMPUTED_VALUE"""),1.0)</f>
        <v>1</v>
      </c>
      <c r="T19" s="78">
        <f>IFERROR(__xludf.DUMMYFUNCTION("""COMPUTED_VALUE"""),1.0)</f>
        <v>1</v>
      </c>
      <c r="U19" s="78">
        <f>IFERROR(__xludf.DUMMYFUNCTION("""COMPUTED_VALUE"""),1.0)</f>
        <v>1</v>
      </c>
      <c r="V19" s="78">
        <f>IFERROR(__xludf.DUMMYFUNCTION("""COMPUTED_VALUE"""),1.0)</f>
        <v>1</v>
      </c>
      <c r="W19" s="56" t="str">
        <f>IFERROR(__xludf.DUMMYFUNCTION("""COMPUTED_VALUE"""),"Contratos")</f>
        <v>Contratos</v>
      </c>
      <c r="X19" s="57" t="str">
        <f>IFERROR(__xludf.DUMMYFUNCTION("""COMPUTED_VALUE"""),"Milton Cuervo")</f>
        <v>Milton Cuervo</v>
      </c>
      <c r="Y19" s="47" t="str">
        <f>IFERROR(__xludf.DUMMYFUNCTION("""COMPUTED_VALUE"""),"Asesor")</f>
        <v>Asesor</v>
      </c>
      <c r="Z19" s="57" t="str">
        <f>IFERROR(__xludf.DUMMYFUNCTION("""COMPUTED_VALUE"""),"milton.cuervo@aunap.gov.co")</f>
        <v>milton.cuervo@aunap.gov.co</v>
      </c>
      <c r="AA19" s="47" t="str">
        <f>IFERROR(__xludf.DUMMYFUNCTION("""COMPUTED_VALUE"""),"Humanos, Físicos, Financieros, Tecnológicos")</f>
        <v>Humanos, Físicos, Financieros, Tecnológicos</v>
      </c>
      <c r="AB19" s="47" t="str">
        <f>IFERROR(__xludf.DUMMYFUNCTION("""COMPUTED_VALUE"""),"No asociado")</f>
        <v>No asociado</v>
      </c>
      <c r="AC19" s="47" t="str">
        <f>IFERROR(__xludf.DUMMYFUNCTION("""COMPUTED_VALUE"""),"Llegar con actividades de pesca y acuicultura a todas las regiones")</f>
        <v>Llegar con actividades de pesca y acuicultura a todas las regiones</v>
      </c>
      <c r="AD19" s="47" t="str">
        <f>IFERROR(__xludf.DUMMYFUNCTION("""COMPUTED_VALUE"""),"Talento Humano")</f>
        <v>Talento Humano</v>
      </c>
      <c r="AE19" s="47" t="str">
        <f>IFERROR(__xludf.DUMMYFUNCTION("""COMPUTED_VALUE"""),"Talento Humano")</f>
        <v>Talento Humano</v>
      </c>
      <c r="AF19" s="47" t="str">
        <f>IFERROR(__xludf.DUMMYFUNCTION("""COMPUTED_VALUE"""),"16. Paz, justicia e instituciones sólidas")</f>
        <v>16. Paz, justicia e instituciones sólidas</v>
      </c>
      <c r="AG19" s="80">
        <f>IFERROR(__xludf.DUMMYFUNCTION("""COMPUTED_VALUE"""),1.0)</f>
        <v>1</v>
      </c>
      <c r="AH19" s="59" t="str">
        <f>IFERROR(__xludf.DUMMYFUNCTION("""COMPUTED_VALUE"""),"se suscribieron y estructuraron 48 contratos de 48 que cumplían con todas las condiciones para su formalización.")</f>
        <v>se suscribieron y estructuraron 48 contratos de 48 que cumplían con todas las condiciones para su formalización.</v>
      </c>
      <c r="AI19" s="81" t="str">
        <f>IFERROR(__xludf.DUMMYFUNCTION("""COMPUTED_VALUE"""),"https://drive.google.com/drive/folders/1nE89tuiq54uygP4vd6BKiShcSbk3CaXh?usp=sharing")</f>
        <v>https://drive.google.com/drive/folders/1nE89tuiq54uygP4vd6BKiShcSbk3CaXh?usp=sharing</v>
      </c>
      <c r="AJ19" s="59">
        <f>IFERROR(__xludf.DUMMYFUNCTION("""COMPUTED_VALUE"""),1.0)</f>
        <v>1</v>
      </c>
      <c r="AK19" s="59" t="str">
        <f>IFERROR(__xludf.DUMMYFUNCTION("""COMPUTED_VALUE"""),"De acuerdo a lo reportado en los respectivos trimestre https://drive.google.com/drive/folders/1kHuiQaQQm1dJnLVAe4TtxStWpJrxjVi-?usp=sharing")</f>
        <v>De acuerdo a lo reportado en los respectivos trimestre https://drive.google.com/drive/folders/1kHuiQaQQm1dJnLVAe4TtxStWpJrxjVi-?usp=sharing</v>
      </c>
      <c r="AL19" s="59">
        <f>IFERROR(__xludf.DUMMYFUNCTION("""COMPUTED_VALUE"""),44582.0)</f>
        <v>44582</v>
      </c>
      <c r="AM19" s="60"/>
      <c r="AN19" s="61" t="str">
        <f>IFERROR(IF((AO19+1)&lt;2,Alertas!$B$2&amp;TEXT(AO19,"0%")&amp;Alertas!$D$2, IF((AO19+1)=2,Alertas!$B$3,IF((AO19+1)&gt;2,Alertas!$B$4&amp;TEXT(AO19,"0%")&amp;Alertas!$D$4,AO19+1))),"Sin meta para el segundo trimestre")</f>
        <v>La ejecución de la meta registrada se encuentra acorde a la meta programada en la formulación del plan de acción para el segundo trimestre</v>
      </c>
      <c r="AO19" s="62">
        <f t="shared" si="2"/>
        <v>1</v>
      </c>
      <c r="AP19" s="61" t="str">
        <f t="shared" si="3"/>
        <v>La ejecución de la meta registrada se encuentra acorde a la meta programada en la formulación del plan de acción para el segundo trimestre.</v>
      </c>
      <c r="AQ19" s="63"/>
      <c r="AR19" s="64"/>
      <c r="AS19" s="65"/>
      <c r="AT19" s="65"/>
      <c r="AU19" s="66"/>
      <c r="AV19" s="67"/>
      <c r="AW19" s="68"/>
      <c r="AX19" s="63"/>
      <c r="AY19" s="64"/>
      <c r="AZ19" s="69"/>
      <c r="BA19" s="65"/>
      <c r="BB19" s="70"/>
      <c r="BC19" s="71"/>
      <c r="BD19" s="72"/>
      <c r="BE19" s="73"/>
      <c r="BF19" s="64"/>
      <c r="BG19" s="69"/>
      <c r="BH19" s="65"/>
      <c r="BI19" s="66"/>
      <c r="BJ19" s="71"/>
      <c r="BK19" s="72"/>
      <c r="BL19" s="74"/>
      <c r="BN19" s="5" t="str">
        <f t="shared" si="23"/>
        <v>0</v>
      </c>
      <c r="BP19" s="75" t="s">
        <v>102</v>
      </c>
      <c r="BQ19" s="13">
        <f t="shared" si="5"/>
        <v>17</v>
      </c>
      <c r="BR19" s="11">
        <f t="shared" si="6"/>
        <v>12</v>
      </c>
      <c r="BS19" s="11">
        <f t="shared" si="7"/>
        <v>15</v>
      </c>
      <c r="BT19" s="12">
        <f t="shared" si="8"/>
        <v>61.82417808</v>
      </c>
      <c r="BU19" s="11" t="str">
        <f t="shared" si="9"/>
        <v>Reporte con Sobre Ejecución</v>
      </c>
      <c r="BV19" s="76">
        <f t="shared" ref="BV19:BY19" si="24">COUNTIFS($D:$D,$BP19,$BN:$BN,BV$1)</f>
        <v>1</v>
      </c>
      <c r="BW19" s="76">
        <f t="shared" si="24"/>
        <v>3</v>
      </c>
      <c r="BX19" s="76">
        <f t="shared" si="24"/>
        <v>2</v>
      </c>
      <c r="BY19" s="76">
        <f t="shared" si="24"/>
        <v>11</v>
      </c>
    </row>
    <row r="20" ht="37.5" customHeight="1">
      <c r="A20" s="45"/>
      <c r="B20" s="46">
        <f>IFERROR(__xludf.DUMMYFUNCTION("""COMPUTED_VALUE"""),18.0)</f>
        <v>18</v>
      </c>
      <c r="C20" s="47" t="str">
        <f>IFERROR(__xludf.DUMMYFUNCTION("""COMPUTED_VALUE"""),"Gestión de contratación")</f>
        <v>Gestión de contratación</v>
      </c>
      <c r="D20" s="48" t="str">
        <f>IFERROR(__xludf.DUMMYFUNCTION("""COMPUTED_VALUE"""),"Contratos")</f>
        <v>Contratos</v>
      </c>
      <c r="E20" s="48" t="str">
        <f>IFERROR(__xludf.DUMMYFUNCTION("""COMPUTED_VALUE"""),"Fortalecimiento de la capacidad de gestión de la autoridad nacional de acuicultura y pesca - aunap nacional")</f>
        <v>Fortalecimiento de la capacidad de gestión de la autoridad nacional de acuicultura y pesca - aunap nacional</v>
      </c>
      <c r="F20" s="49">
        <f>IFERROR(__xludf.DUMMYFUNCTION("""COMPUTED_VALUE"""),2.018011000241E12)</f>
        <v>2018011000241</v>
      </c>
      <c r="G20" s="50" t="str">
        <f>IFERROR(__xludf.DUMMYFUNCTION("""COMPUTED_VALUE"""),"Fortalecimiento")</f>
        <v>Fortalecimiento</v>
      </c>
      <c r="H20" s="48" t="str">
        <f>IFERROR(__xludf.DUMMYFUNCTION("""COMPUTED_VALUE"""),"Fortalecer los sistemas de gestión de la Entidad")</f>
        <v>Fortalecer los sistemas de gestión de la Entidad</v>
      </c>
      <c r="I20" s="48" t="str">
        <f>IFERROR(__xludf.DUMMYFUNCTION("""COMPUTED_VALUE"""),"Servicio de Implementación Sistemas de Gestión")</f>
        <v>Servicio de Implementación Sistemas de Gestión</v>
      </c>
      <c r="J20"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20" s="51" t="str">
        <f>IFERROR(__xludf.DUMMYFUNCTION("""COMPUTED_VALUE"""),"Gestión del área")</f>
        <v>Gestión del área</v>
      </c>
      <c r="L20" s="51" t="str">
        <f>IFERROR(__xludf.DUMMYFUNCTION("""COMPUTED_VALUE"""),"Eficiencia")</f>
        <v>Eficiencia</v>
      </c>
      <c r="M20" s="51" t="str">
        <f>IFERROR(__xludf.DUMMYFUNCTION("""COMPUTED_VALUE"""),"Porcentaje")</f>
        <v>Porcentaje</v>
      </c>
      <c r="N20" s="52" t="str">
        <f>IFERROR(__xludf.DUMMYFUNCTION("""COMPUTED_VALUE"""),"N° de contratos y/o convenios liquidados/N°contratos y/o convenios con solicitud de liquidación con la totalidad los requisitos..")</f>
        <v>N° de contratos y/o convenios liquidados/N°contratos y/o convenios con solicitud de liquidación con la totalidad los requisitos..</v>
      </c>
      <c r="O20" s="53"/>
      <c r="P20" s="78">
        <f>IFERROR(__xludf.DUMMYFUNCTION("""COMPUTED_VALUE"""),1.0)</f>
        <v>1</v>
      </c>
      <c r="Q20" s="79" t="str">
        <f>IFERROR(__xludf.DUMMYFUNCTION("""COMPUTED_VALUE"""),"Revisar y aprobar actas de liquidación de contratos y convenios")</f>
        <v>Revisar y aprobar actas de liquidación de contratos y convenios</v>
      </c>
      <c r="R20" s="79" t="str">
        <f>IFERROR(__xludf.DUMMYFUNCTION("""COMPUTED_VALUE"""),"Trimestral")</f>
        <v>Trimestral</v>
      </c>
      <c r="S20" s="78">
        <f>IFERROR(__xludf.DUMMYFUNCTION("""COMPUTED_VALUE"""),1.0)</f>
        <v>1</v>
      </c>
      <c r="T20" s="78">
        <f>IFERROR(__xludf.DUMMYFUNCTION("""COMPUTED_VALUE"""),1.0)</f>
        <v>1</v>
      </c>
      <c r="U20" s="78">
        <f>IFERROR(__xludf.DUMMYFUNCTION("""COMPUTED_VALUE"""),1.0)</f>
        <v>1</v>
      </c>
      <c r="V20" s="78">
        <f>IFERROR(__xludf.DUMMYFUNCTION("""COMPUTED_VALUE"""),1.0)</f>
        <v>1</v>
      </c>
      <c r="W20" s="56" t="str">
        <f>IFERROR(__xludf.DUMMYFUNCTION("""COMPUTED_VALUE"""),"Contratos")</f>
        <v>Contratos</v>
      </c>
      <c r="X20" s="57" t="str">
        <f>IFERROR(__xludf.DUMMYFUNCTION("""COMPUTED_VALUE"""),"Milton Cuervo")</f>
        <v>Milton Cuervo</v>
      </c>
      <c r="Y20" s="47" t="str">
        <f>IFERROR(__xludf.DUMMYFUNCTION("""COMPUTED_VALUE"""),"Asesor")</f>
        <v>Asesor</v>
      </c>
      <c r="Z20" s="57" t="str">
        <f>IFERROR(__xludf.DUMMYFUNCTION("""COMPUTED_VALUE"""),"milton.cuervo@aunap.gov.co")</f>
        <v>milton.cuervo@aunap.gov.co</v>
      </c>
      <c r="AA20" s="47" t="str">
        <f>IFERROR(__xludf.DUMMYFUNCTION("""COMPUTED_VALUE"""),"Humanos, Físicos, Financieros, Tecnológicos")</f>
        <v>Humanos, Físicos, Financieros, Tecnológicos</v>
      </c>
      <c r="AB20" s="47" t="str">
        <f>IFERROR(__xludf.DUMMYFUNCTION("""COMPUTED_VALUE"""),"No asociado")</f>
        <v>No asociado</v>
      </c>
      <c r="AC20" s="47" t="str">
        <f>IFERROR(__xludf.DUMMYFUNCTION("""COMPUTED_VALUE"""),"Llegar con actividades de pesca y acuicultura a todas las regiones")</f>
        <v>Llegar con actividades de pesca y acuicultura a todas las regiones</v>
      </c>
      <c r="AD20" s="47" t="str">
        <f>IFERROR(__xludf.DUMMYFUNCTION("""COMPUTED_VALUE"""),"Talento Humano")</f>
        <v>Talento Humano</v>
      </c>
      <c r="AE20" s="47" t="str">
        <f>IFERROR(__xludf.DUMMYFUNCTION("""COMPUTED_VALUE"""),"Talento Humano")</f>
        <v>Talento Humano</v>
      </c>
      <c r="AF20" s="47" t="str">
        <f>IFERROR(__xludf.DUMMYFUNCTION("""COMPUTED_VALUE"""),"16. Paz, justicia e instituciones sólidas")</f>
        <v>16. Paz, justicia e instituciones sólidas</v>
      </c>
      <c r="AG20" s="80">
        <f>IFERROR(__xludf.DUMMYFUNCTION("""COMPUTED_VALUE"""),1.0)</f>
        <v>1</v>
      </c>
      <c r="AH20" s="59" t="str">
        <f>IFERROR(__xludf.DUMMYFUNCTION("""COMPUTED_VALUE"""),"En el cuarto trimestre 2021,se liquidaron 11 contratos y convenios, de los 11 solicitudes radicadas que cumplían con la totalidad de requisitos.")</f>
        <v>En el cuarto trimestre 2021,se liquidaron 11 contratos y convenios, de los 11 solicitudes radicadas que cumplían con la totalidad de requisitos.</v>
      </c>
      <c r="AI20" s="81" t="str">
        <f>IFERROR(__xludf.DUMMYFUNCTION("""COMPUTED_VALUE"""),"https://drive.google.com/drive/folders/1nE89tuiq54uygP4vd6BKiShcSbk3CaXh?usp=sharing")</f>
        <v>https://drive.google.com/drive/folders/1nE89tuiq54uygP4vd6BKiShcSbk3CaXh?usp=sharing</v>
      </c>
      <c r="AJ20" s="59">
        <f>IFERROR(__xludf.DUMMYFUNCTION("""COMPUTED_VALUE"""),1.0)</f>
        <v>1</v>
      </c>
      <c r="AK20" s="59" t="str">
        <f>IFERROR(__xludf.DUMMYFUNCTION("""COMPUTED_VALUE"""),"De acuerdo a lo reportado en los respectivos trimestre https://drive.google.com/drive/folders/1kHuiQaQQm1dJnLVAe4TtxStWpJrxjVi-?usp=sharing")</f>
        <v>De acuerdo a lo reportado en los respectivos trimestre https://drive.google.com/drive/folders/1kHuiQaQQm1dJnLVAe4TtxStWpJrxjVi-?usp=sharing</v>
      </c>
      <c r="AL20" s="59"/>
      <c r="AM20" s="60"/>
      <c r="AN20" s="61" t="str">
        <f>IFERROR(IF((AO20+1)&lt;2,Alertas!$B$2&amp;TEXT(AO20,"0%")&amp;Alertas!$D$2, IF((AO20+1)=2,Alertas!$B$3,IF((AO20+1)&gt;2,Alertas!$B$4&amp;TEXT(AO20,"0%")&amp;Alertas!$D$4,AO20+1))),"Sin meta para el segundo trimestre")</f>
        <v>La ejecución de la meta registrada se encuentra acorde a la meta programada en la formulación del plan de acción para el segundo trimestre</v>
      </c>
      <c r="AO20" s="62">
        <f t="shared" si="2"/>
        <v>1</v>
      </c>
      <c r="AP20" s="61" t="str">
        <f t="shared" si="3"/>
        <v>No reporto evidencia.
La ejecución de la meta registrada se encuentra acorde a la meta programada en la formulación del plan de acción para el segundo trimestre.</v>
      </c>
      <c r="AQ20" s="63"/>
      <c r="AR20" s="64"/>
      <c r="AS20" s="65"/>
      <c r="AT20" s="65"/>
      <c r="AU20" s="66"/>
      <c r="AV20" s="67"/>
      <c r="AW20" s="68"/>
      <c r="AX20" s="63"/>
      <c r="AY20" s="64"/>
      <c r="AZ20" s="69"/>
      <c r="BA20" s="65"/>
      <c r="BB20" s="70"/>
      <c r="BC20" s="71"/>
      <c r="BD20" s="72"/>
      <c r="BE20" s="73"/>
      <c r="BF20" s="64"/>
      <c r="BG20" s="69"/>
      <c r="BH20" s="65"/>
      <c r="BI20" s="66"/>
      <c r="BJ20" s="71"/>
      <c r="BK20" s="72"/>
      <c r="BL20" s="74"/>
      <c r="BN20" s="5" t="str">
        <f t="shared" si="23"/>
        <v>0</v>
      </c>
      <c r="BP20" s="75" t="s">
        <v>103</v>
      </c>
      <c r="BQ20" s="13">
        <f t="shared" si="5"/>
        <v>10</v>
      </c>
      <c r="BR20" s="11">
        <f t="shared" si="6"/>
        <v>9</v>
      </c>
      <c r="BS20" s="11">
        <f t="shared" si="7"/>
        <v>10</v>
      </c>
      <c r="BT20" s="12">
        <f t="shared" si="8"/>
        <v>4.355315738</v>
      </c>
      <c r="BU20" s="11" t="str">
        <f t="shared" si="9"/>
        <v>Reporte con Sobre Ejecución</v>
      </c>
      <c r="BV20" s="76">
        <f t="shared" ref="BV20:BY20" si="25">COUNTIFS($D:$D,$BP20,$BN:$BN,BV$1)</f>
        <v>0</v>
      </c>
      <c r="BW20" s="76">
        <f t="shared" si="25"/>
        <v>3</v>
      </c>
      <c r="BX20" s="76">
        <f t="shared" si="25"/>
        <v>0</v>
      </c>
      <c r="BY20" s="76">
        <f t="shared" si="25"/>
        <v>7</v>
      </c>
    </row>
    <row r="21" ht="37.5" customHeight="1">
      <c r="A21" s="45"/>
      <c r="B21" s="46">
        <f>IFERROR(__xludf.DUMMYFUNCTION("""COMPUTED_VALUE"""),19.0)</f>
        <v>19</v>
      </c>
      <c r="C21" s="47" t="str">
        <f>IFERROR(__xludf.DUMMYFUNCTION("""COMPUTED_VALUE"""),"Gestión de contratación")</f>
        <v>Gestión de contratación</v>
      </c>
      <c r="D21" s="48" t="str">
        <f>IFERROR(__xludf.DUMMYFUNCTION("""COMPUTED_VALUE"""),"Contratos")</f>
        <v>Contratos</v>
      </c>
      <c r="E21" s="48" t="str">
        <f>IFERROR(__xludf.DUMMYFUNCTION("""COMPUTED_VALUE"""),"Fortalecimiento de la capacidad de gestión de la autoridad nacional de acuicultura y pesca - aunap nacional")</f>
        <v>Fortalecimiento de la capacidad de gestión de la autoridad nacional de acuicultura y pesca - aunap nacional</v>
      </c>
      <c r="F21" s="49">
        <f>IFERROR(__xludf.DUMMYFUNCTION("""COMPUTED_VALUE"""),2.018011000241E12)</f>
        <v>2018011000241</v>
      </c>
      <c r="G21" s="50" t="str">
        <f>IFERROR(__xludf.DUMMYFUNCTION("""COMPUTED_VALUE"""),"Fortalecimiento")</f>
        <v>Fortalecimiento</v>
      </c>
      <c r="H21" s="48" t="str">
        <f>IFERROR(__xludf.DUMMYFUNCTION("""COMPUTED_VALUE"""),"Fortalecer los sistemas de gestión de la Entidad")</f>
        <v>Fortalecer los sistemas de gestión de la Entidad</v>
      </c>
      <c r="I21" s="48" t="str">
        <f>IFERROR(__xludf.DUMMYFUNCTION("""COMPUTED_VALUE"""),"Servicio de Implementación Sistemas de Gestión")</f>
        <v>Servicio de Implementación Sistemas de Gestión</v>
      </c>
      <c r="J21"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21" s="51" t="str">
        <f>IFERROR(__xludf.DUMMYFUNCTION("""COMPUTED_VALUE"""),"Gestión del área")</f>
        <v>Gestión del área</v>
      </c>
      <c r="L21" s="51" t="str">
        <f>IFERROR(__xludf.DUMMYFUNCTION("""COMPUTED_VALUE"""),"Eficiencia")</f>
        <v>Eficiencia</v>
      </c>
      <c r="M21" s="51" t="str">
        <f>IFERROR(__xludf.DUMMYFUNCTION("""COMPUTED_VALUE"""),"Porcentaje")</f>
        <v>Porcentaje</v>
      </c>
      <c r="N21" s="52" t="str">
        <f>IFERROR(__xludf.DUMMYFUNCTION("""COMPUTED_VALUE"""),"N° de procesos publicados / N° de procesos desarrollados")</f>
        <v>N° de procesos publicados / N° de procesos desarrollados</v>
      </c>
      <c r="O21" s="53"/>
      <c r="P21" s="78">
        <f>IFERROR(__xludf.DUMMYFUNCTION("""COMPUTED_VALUE"""),1.0)</f>
        <v>1</v>
      </c>
      <c r="Q21" s="79" t="str">
        <f>IFERROR(__xludf.DUMMYFUNCTION("""COMPUTED_VALUE"""),"Publicar los procesos de contratación con la documentación derivada del mismo en el sistema electrónico de contratación pública")</f>
        <v>Publicar los procesos de contratación con la documentación derivada del mismo en el sistema electrónico de contratación pública</v>
      </c>
      <c r="R21" s="79" t="str">
        <f>IFERROR(__xludf.DUMMYFUNCTION("""COMPUTED_VALUE"""),"Trimestral")</f>
        <v>Trimestral</v>
      </c>
      <c r="S21" s="78">
        <f>IFERROR(__xludf.DUMMYFUNCTION("""COMPUTED_VALUE"""),1.0)</f>
        <v>1</v>
      </c>
      <c r="T21" s="78">
        <f>IFERROR(__xludf.DUMMYFUNCTION("""COMPUTED_VALUE"""),1.0)</f>
        <v>1</v>
      </c>
      <c r="U21" s="78">
        <f>IFERROR(__xludf.DUMMYFUNCTION("""COMPUTED_VALUE"""),1.0)</f>
        <v>1</v>
      </c>
      <c r="V21" s="78">
        <f>IFERROR(__xludf.DUMMYFUNCTION("""COMPUTED_VALUE"""),1.0)</f>
        <v>1</v>
      </c>
      <c r="W21" s="56" t="str">
        <f>IFERROR(__xludf.DUMMYFUNCTION("""COMPUTED_VALUE"""),"Contratos")</f>
        <v>Contratos</v>
      </c>
      <c r="X21" s="57" t="str">
        <f>IFERROR(__xludf.DUMMYFUNCTION("""COMPUTED_VALUE"""),"Milton Cuervo")</f>
        <v>Milton Cuervo</v>
      </c>
      <c r="Y21" s="47" t="str">
        <f>IFERROR(__xludf.DUMMYFUNCTION("""COMPUTED_VALUE"""),"Asesor")</f>
        <v>Asesor</v>
      </c>
      <c r="Z21" s="57" t="str">
        <f>IFERROR(__xludf.DUMMYFUNCTION("""COMPUTED_VALUE"""),"milton.cuervo@aunap.gov.co")</f>
        <v>milton.cuervo@aunap.gov.co</v>
      </c>
      <c r="AA21" s="47" t="str">
        <f>IFERROR(__xludf.DUMMYFUNCTION("""COMPUTED_VALUE"""),"Humanos, Físicos, Financieros, Tecnológicos")</f>
        <v>Humanos, Físicos, Financieros, Tecnológicos</v>
      </c>
      <c r="AB21" s="47" t="str">
        <f>IFERROR(__xludf.DUMMYFUNCTION("""COMPUTED_VALUE"""),"No asociado")</f>
        <v>No asociado</v>
      </c>
      <c r="AC21" s="47" t="str">
        <f>IFERROR(__xludf.DUMMYFUNCTION("""COMPUTED_VALUE"""),"Llegar con actividades de pesca y acuicultura a todas las regiones")</f>
        <v>Llegar con actividades de pesca y acuicultura a todas las regiones</v>
      </c>
      <c r="AD21" s="47" t="str">
        <f>IFERROR(__xludf.DUMMYFUNCTION("""COMPUTED_VALUE"""),"Talento Humano")</f>
        <v>Talento Humano</v>
      </c>
      <c r="AE21" s="47" t="str">
        <f>IFERROR(__xludf.DUMMYFUNCTION("""COMPUTED_VALUE"""),"Talento Humano")</f>
        <v>Talento Humano</v>
      </c>
      <c r="AF21" s="47" t="str">
        <f>IFERROR(__xludf.DUMMYFUNCTION("""COMPUTED_VALUE"""),"16. Paz, justicia e instituciones sólidas")</f>
        <v>16. Paz, justicia e instituciones sólidas</v>
      </c>
      <c r="AG21" s="80">
        <f>IFERROR(__xludf.DUMMYFUNCTION("""COMPUTED_VALUE"""),1.0)</f>
        <v>1</v>
      </c>
      <c r="AH21" s="59" t="str">
        <f>IFERROR(__xludf.DUMMYFUNCTION("""COMPUTED_VALUE"""),"En el Cuarto trimestre 2021, se publicaron 49 procesos junto con la documentación derivada del mismo, de los 49 procesos que se estaban desarrollando, esto incluyendo los procesos públicos de selección y los de contratación directa.")</f>
        <v>En el Cuarto trimestre 2021, se publicaron 49 procesos junto con la documentación derivada del mismo, de los 49 procesos que se estaban desarrollando, esto incluyendo los procesos públicos de selección y los de contratación directa.</v>
      </c>
      <c r="AI21" s="81" t="str">
        <f>IFERROR(__xludf.DUMMYFUNCTION("""COMPUTED_VALUE"""),"https://drive.google.com/drive/folders/1nE89tuiq54uygP4vd6BKiShcSbk3CaXh?usp=sharing")</f>
        <v>https://drive.google.com/drive/folders/1nE89tuiq54uygP4vd6BKiShcSbk3CaXh?usp=sharing</v>
      </c>
      <c r="AJ21" s="59">
        <f>IFERROR(__xludf.DUMMYFUNCTION("""COMPUTED_VALUE"""),1.0)</f>
        <v>1</v>
      </c>
      <c r="AK21" s="59" t="str">
        <f>IFERROR(__xludf.DUMMYFUNCTION("""COMPUTED_VALUE"""),"De acuerdo a lo reportado en los respectivos trimestre https://drive.google.com/drive/folders/1kHuiQaQQm1dJnLVAe4TtxStWpJrxjVi-?usp=sharing")</f>
        <v>De acuerdo a lo reportado en los respectivos trimestre https://drive.google.com/drive/folders/1kHuiQaQQm1dJnLVAe4TtxStWpJrxjVi-?usp=sharing</v>
      </c>
      <c r="AL21" s="59"/>
      <c r="AM21" s="60"/>
      <c r="AN21" s="61" t="str">
        <f>IFERROR(IF((AO21+1)&lt;2,Alertas!$B$2&amp;TEXT(AO21,"0%")&amp;Alertas!$D$2, IF((AO21+1)=2,Alertas!$B$3,IF((AO21+1)&gt;2,Alertas!$B$4&amp;TEXT(AO21,"0%")&amp;Alertas!$D$4,AO21+1))),"Sin meta para el segundo trimestre")</f>
        <v>La ejecución de la meta registrada se encuentra acorde a la meta programada en la formulación del plan de acción para el segundo trimestre</v>
      </c>
      <c r="AO21" s="62">
        <f t="shared" si="2"/>
        <v>1</v>
      </c>
      <c r="AP21" s="61" t="str">
        <f t="shared" si="3"/>
        <v>No reporto evidencia.
La ejecución de la meta registrada se encuentra acorde a la meta programada en la formulación del plan de acción para el segundo trimestre.</v>
      </c>
      <c r="AQ21" s="63"/>
      <c r="AR21" s="64"/>
      <c r="AS21" s="65"/>
      <c r="AT21" s="65"/>
      <c r="AU21" s="66"/>
      <c r="AV21" s="67"/>
      <c r="AW21" s="68"/>
      <c r="AX21" s="63"/>
      <c r="AY21" s="64"/>
      <c r="AZ21" s="69"/>
      <c r="BA21" s="65"/>
      <c r="BB21" s="70"/>
      <c r="BC21" s="71"/>
      <c r="BD21" s="72"/>
      <c r="BE21" s="73"/>
      <c r="BF21" s="64"/>
      <c r="BG21" s="69"/>
      <c r="BH21" s="65"/>
      <c r="BI21" s="66"/>
      <c r="BJ21" s="71"/>
      <c r="BK21" s="72"/>
      <c r="BL21" s="74"/>
      <c r="BN21" s="5" t="str">
        <f t="shared" si="23"/>
        <v>0</v>
      </c>
      <c r="BP21" s="75" t="s">
        <v>104</v>
      </c>
      <c r="BQ21" s="13">
        <f t="shared" si="5"/>
        <v>12</v>
      </c>
      <c r="BR21" s="11">
        <f t="shared" si="6"/>
        <v>11</v>
      </c>
      <c r="BS21" s="11">
        <f t="shared" si="7"/>
        <v>12</v>
      </c>
      <c r="BT21" s="12">
        <f t="shared" si="8"/>
        <v>452.1051961</v>
      </c>
      <c r="BU21" s="11" t="str">
        <f t="shared" si="9"/>
        <v>Reporte con Sobre Ejecución</v>
      </c>
      <c r="BV21" s="76">
        <f t="shared" ref="BV21:BY21" si="26">COUNTIFS($D:$D,$BP21,$BN:$BN,BV$1)</f>
        <v>0</v>
      </c>
      <c r="BW21" s="76">
        <f t="shared" si="26"/>
        <v>1</v>
      </c>
      <c r="BX21" s="76">
        <f t="shared" si="26"/>
        <v>3</v>
      </c>
      <c r="BY21" s="76">
        <f t="shared" si="26"/>
        <v>8</v>
      </c>
    </row>
    <row r="22" ht="37.5" customHeight="1">
      <c r="A22" s="45"/>
      <c r="B22" s="46">
        <f>IFERROR(__xludf.DUMMYFUNCTION("""COMPUTED_VALUE"""),20.0)</f>
        <v>20</v>
      </c>
      <c r="C22" s="47" t="str">
        <f>IFERROR(__xludf.DUMMYFUNCTION("""COMPUTED_VALUE"""),"Gestión de contratación")</f>
        <v>Gestión de contratación</v>
      </c>
      <c r="D22" s="48" t="str">
        <f>IFERROR(__xludf.DUMMYFUNCTION("""COMPUTED_VALUE"""),"Contratos")</f>
        <v>Contratos</v>
      </c>
      <c r="E22" s="48" t="str">
        <f>IFERROR(__xludf.DUMMYFUNCTION("""COMPUTED_VALUE"""),"Fortalecimiento de la capacidad de gestión de la autoridad nacional de acuicultura y pesca - aunap nacional")</f>
        <v>Fortalecimiento de la capacidad de gestión de la autoridad nacional de acuicultura y pesca - aunap nacional</v>
      </c>
      <c r="F22" s="49">
        <f>IFERROR(__xludf.DUMMYFUNCTION("""COMPUTED_VALUE"""),2.018011000241E12)</f>
        <v>2018011000241</v>
      </c>
      <c r="G22" s="50" t="str">
        <f>IFERROR(__xludf.DUMMYFUNCTION("""COMPUTED_VALUE"""),"Fortalecimiento")</f>
        <v>Fortalecimiento</v>
      </c>
      <c r="H22" s="48" t="str">
        <f>IFERROR(__xludf.DUMMYFUNCTION("""COMPUTED_VALUE"""),"Fortalecer los sistemas de gestión de la Entidad")</f>
        <v>Fortalecer los sistemas de gestión de la Entidad</v>
      </c>
      <c r="I22" s="48" t="str">
        <f>IFERROR(__xludf.DUMMYFUNCTION("""COMPUTED_VALUE"""),"Servicio de Implementación Sistemas de Gestión")</f>
        <v>Servicio de Implementación Sistemas de Gestión</v>
      </c>
      <c r="J22"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22" s="51" t="str">
        <f>IFERROR(__xludf.DUMMYFUNCTION("""COMPUTED_VALUE"""),"Gestión del área")</f>
        <v>Gestión del área</v>
      </c>
      <c r="L22" s="51" t="str">
        <f>IFERROR(__xludf.DUMMYFUNCTION("""COMPUTED_VALUE"""),"Eficiencia")</f>
        <v>Eficiencia</v>
      </c>
      <c r="M22" s="51" t="str">
        <f>IFERROR(__xludf.DUMMYFUNCTION("""COMPUTED_VALUE"""),"Porcentaje")</f>
        <v>Porcentaje</v>
      </c>
      <c r="N22" s="52" t="str">
        <f>IFERROR(__xludf.DUMMYFUNCTION("""COMPUTED_VALUE"""),"N° de trámites adelantados /N° de solicitudes de incumplimiento")</f>
        <v>N° de trámites adelantados /N° de solicitudes de incumplimiento</v>
      </c>
      <c r="O22" s="53"/>
      <c r="P22" s="78">
        <f>IFERROR(__xludf.DUMMYFUNCTION("""COMPUTED_VALUE"""),1.0)</f>
        <v>1</v>
      </c>
      <c r="Q22" s="79" t="str">
        <f>IFERROR(__xludf.DUMMYFUNCTION("""COMPUTED_VALUE"""),"Adelantar los trámites de incumplimientos de acuerdo con la normatividad vigente")</f>
        <v>Adelantar los trámites de incumplimientos de acuerdo con la normatividad vigente</v>
      </c>
      <c r="R22" s="79" t="str">
        <f>IFERROR(__xludf.DUMMYFUNCTION("""COMPUTED_VALUE"""),"Trimestral")</f>
        <v>Trimestral</v>
      </c>
      <c r="S22" s="78">
        <f>IFERROR(__xludf.DUMMYFUNCTION("""COMPUTED_VALUE"""),1.0)</f>
        <v>1</v>
      </c>
      <c r="T22" s="78">
        <f>IFERROR(__xludf.DUMMYFUNCTION("""COMPUTED_VALUE"""),1.0)</f>
        <v>1</v>
      </c>
      <c r="U22" s="78">
        <f>IFERROR(__xludf.DUMMYFUNCTION("""COMPUTED_VALUE"""),1.0)</f>
        <v>1</v>
      </c>
      <c r="V22" s="78">
        <f>IFERROR(__xludf.DUMMYFUNCTION("""COMPUTED_VALUE"""),1.0)</f>
        <v>1</v>
      </c>
      <c r="W22" s="56" t="str">
        <f>IFERROR(__xludf.DUMMYFUNCTION("""COMPUTED_VALUE"""),"Contratos")</f>
        <v>Contratos</v>
      </c>
      <c r="X22" s="57" t="str">
        <f>IFERROR(__xludf.DUMMYFUNCTION("""COMPUTED_VALUE"""),"Milton Cuervo")</f>
        <v>Milton Cuervo</v>
      </c>
      <c r="Y22" s="47" t="str">
        <f>IFERROR(__xludf.DUMMYFUNCTION("""COMPUTED_VALUE"""),"Asesor")</f>
        <v>Asesor</v>
      </c>
      <c r="Z22" s="57" t="str">
        <f>IFERROR(__xludf.DUMMYFUNCTION("""COMPUTED_VALUE"""),"milton.cuervo@aunap.gov.co")</f>
        <v>milton.cuervo@aunap.gov.co</v>
      </c>
      <c r="AA22" s="47" t="str">
        <f>IFERROR(__xludf.DUMMYFUNCTION("""COMPUTED_VALUE"""),"Humanos, Físicos, Financieros, Tecnológicos")</f>
        <v>Humanos, Físicos, Financieros, Tecnológicos</v>
      </c>
      <c r="AB22" s="47" t="str">
        <f>IFERROR(__xludf.DUMMYFUNCTION("""COMPUTED_VALUE"""),"No asociado")</f>
        <v>No asociado</v>
      </c>
      <c r="AC22" s="47" t="str">
        <f>IFERROR(__xludf.DUMMYFUNCTION("""COMPUTED_VALUE"""),"Llegar con actividades de pesca y acuicultura a todas las regiones")</f>
        <v>Llegar con actividades de pesca y acuicultura a todas las regiones</v>
      </c>
      <c r="AD22" s="47" t="str">
        <f>IFERROR(__xludf.DUMMYFUNCTION("""COMPUTED_VALUE"""),"Talento Humano")</f>
        <v>Talento Humano</v>
      </c>
      <c r="AE22" s="47" t="str">
        <f>IFERROR(__xludf.DUMMYFUNCTION("""COMPUTED_VALUE"""),"Talento Humano")</f>
        <v>Talento Humano</v>
      </c>
      <c r="AF22" s="47" t="str">
        <f>IFERROR(__xludf.DUMMYFUNCTION("""COMPUTED_VALUE"""),"16. Paz, justicia e instituciones sólidas")</f>
        <v>16. Paz, justicia e instituciones sólidas</v>
      </c>
      <c r="AG22" s="80">
        <f>IFERROR(__xludf.DUMMYFUNCTION("""COMPUTED_VALUE"""),1.0)</f>
        <v>1</v>
      </c>
      <c r="AH22" s="59" t="str">
        <f>IFERROR(__xludf.DUMMYFUNCTION("""COMPUTED_VALUE"""),"Se adelantaron dos (2) trámites de incumplimiento de dos (2) solicitudes radicadas.")</f>
        <v>Se adelantaron dos (2) trámites de incumplimiento de dos (2) solicitudes radicadas.</v>
      </c>
      <c r="AI22" s="81" t="str">
        <f>IFERROR(__xludf.DUMMYFUNCTION("""COMPUTED_VALUE"""),"https://drive.google.com/drive/folders/1nE89tuiq54uygP4vd6BKiShcSbk3CaXh?usp=sharing")</f>
        <v>https://drive.google.com/drive/folders/1nE89tuiq54uygP4vd6BKiShcSbk3CaXh?usp=sharing</v>
      </c>
      <c r="AJ22" s="59">
        <f>IFERROR(__xludf.DUMMYFUNCTION("""COMPUTED_VALUE"""),1.0)</f>
        <v>1</v>
      </c>
      <c r="AK22" s="59" t="str">
        <f>IFERROR(__xludf.DUMMYFUNCTION("""COMPUTED_VALUE"""),"De acuerdo a lo reportado en los respectivos trimestre https://drive.google.com/drive/folders/1kHuiQaQQm1dJnLVAe4TtxStWpJrxjVi-?usp=sharing")</f>
        <v>De acuerdo a lo reportado en los respectivos trimestre https://drive.google.com/drive/folders/1kHuiQaQQm1dJnLVAe4TtxStWpJrxjVi-?usp=sharing</v>
      </c>
      <c r="AL22" s="59"/>
      <c r="AM22" s="60"/>
      <c r="AN22" s="61" t="str">
        <f>IFERROR(IF((AO22+1)&lt;2,Alertas!$B$2&amp;TEXT(AO22,"0%")&amp;Alertas!$D$2, IF((AO22+1)=2,Alertas!$B$3,IF((AO22+1)&gt;2,Alertas!$B$4&amp;TEXT(AO22,"0%")&amp;Alertas!$D$4,AO22+1))),"Sin meta para el segundo trimestre")</f>
        <v>La ejecución de la meta registrada se encuentra acorde a la meta programada en la formulación del plan de acción para el segundo trimestre</v>
      </c>
      <c r="AO22" s="62">
        <f t="shared" si="2"/>
        <v>1</v>
      </c>
      <c r="AP22" s="61" t="str">
        <f t="shared" si="3"/>
        <v>No reporto evidencia.
La ejecución de la meta registrada se encuentra acorde a la meta programada en la formulación del plan de acción para el segundo trimestre.</v>
      </c>
      <c r="AQ22" s="63"/>
      <c r="AR22" s="64"/>
      <c r="AS22" s="65"/>
      <c r="AT22" s="65"/>
      <c r="AU22" s="66"/>
      <c r="AV22" s="67"/>
      <c r="AW22" s="68"/>
      <c r="AX22" s="63"/>
      <c r="AY22" s="64"/>
      <c r="AZ22" s="69"/>
      <c r="BA22" s="65"/>
      <c r="BB22" s="70"/>
      <c r="BC22" s="71"/>
      <c r="BD22" s="72"/>
      <c r="BE22" s="73"/>
      <c r="BF22" s="64"/>
      <c r="BG22" s="69"/>
      <c r="BH22" s="65"/>
      <c r="BI22" s="66"/>
      <c r="BJ22" s="71"/>
      <c r="BK22" s="72"/>
      <c r="BL22" s="74"/>
      <c r="BN22" s="5" t="str">
        <f t="shared" si="23"/>
        <v>0</v>
      </c>
      <c r="BP22" s="75" t="s">
        <v>105</v>
      </c>
      <c r="BQ22" s="13">
        <f t="shared" si="5"/>
        <v>6</v>
      </c>
      <c r="BR22" s="11">
        <f t="shared" si="6"/>
        <v>6</v>
      </c>
      <c r="BS22" s="11">
        <f t="shared" si="7"/>
        <v>6</v>
      </c>
      <c r="BT22" s="12">
        <f t="shared" si="8"/>
        <v>0.7672142857</v>
      </c>
      <c r="BU22" s="11" t="str">
        <f t="shared" si="9"/>
        <v>Reporte con Baja Ejecución</v>
      </c>
      <c r="BV22" s="76">
        <f t="shared" ref="BV22:BY22" si="27">COUNTIFS($D:$D,$BP22,$BN:$BN,BV$1)</f>
        <v>0</v>
      </c>
      <c r="BW22" s="76">
        <f t="shared" si="27"/>
        <v>5</v>
      </c>
      <c r="BX22" s="76">
        <f t="shared" si="27"/>
        <v>0</v>
      </c>
      <c r="BY22" s="76">
        <f t="shared" si="27"/>
        <v>1</v>
      </c>
    </row>
    <row r="23" ht="37.5" customHeight="1">
      <c r="A23" s="45"/>
      <c r="B23" s="46">
        <f>IFERROR(__xludf.DUMMYFUNCTION("""COMPUTED_VALUE"""),21.0)</f>
        <v>21</v>
      </c>
      <c r="C23" s="47" t="str">
        <f>IFERROR(__xludf.DUMMYFUNCTION("""COMPUTED_VALUE"""),"Gestión de contratación")</f>
        <v>Gestión de contratación</v>
      </c>
      <c r="D23" s="48" t="str">
        <f>IFERROR(__xludf.DUMMYFUNCTION("""COMPUTED_VALUE"""),"Contratos")</f>
        <v>Contratos</v>
      </c>
      <c r="E23" s="48" t="str">
        <f>IFERROR(__xludf.DUMMYFUNCTION("""COMPUTED_VALUE"""),"Fortalecimiento de la capacidad de gestión de la autoridad nacional de acuicultura y pesca - aunap nacional")</f>
        <v>Fortalecimiento de la capacidad de gestión de la autoridad nacional de acuicultura y pesca - aunap nacional</v>
      </c>
      <c r="F23" s="49">
        <f>IFERROR(__xludf.DUMMYFUNCTION("""COMPUTED_VALUE"""),2.018011000241E12)</f>
        <v>2018011000241</v>
      </c>
      <c r="G23" s="50" t="str">
        <f>IFERROR(__xludf.DUMMYFUNCTION("""COMPUTED_VALUE"""),"Fortalecimiento")</f>
        <v>Fortalecimiento</v>
      </c>
      <c r="H23" s="48" t="str">
        <f>IFERROR(__xludf.DUMMYFUNCTION("""COMPUTED_VALUE"""),"Fortalecer los sistemas de gestión de la Entidad")</f>
        <v>Fortalecer los sistemas de gestión de la Entidad</v>
      </c>
      <c r="I23" s="48" t="str">
        <f>IFERROR(__xludf.DUMMYFUNCTION("""COMPUTED_VALUE"""),"Servicio de Implementación Sistemas de Gestión")</f>
        <v>Servicio de Implementación Sistemas de Gestión</v>
      </c>
      <c r="J23"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23" s="51" t="str">
        <f>IFERROR(__xludf.DUMMYFUNCTION("""COMPUTED_VALUE"""),"Gestión del área")</f>
        <v>Gestión del área</v>
      </c>
      <c r="L23" s="51" t="str">
        <f>IFERROR(__xludf.DUMMYFUNCTION("""COMPUTED_VALUE"""),"Eficiencia")</f>
        <v>Eficiencia</v>
      </c>
      <c r="M23" s="51" t="str">
        <f>IFERROR(__xludf.DUMMYFUNCTION("""COMPUTED_VALUE"""),"Porcentaje")</f>
        <v>Porcentaje</v>
      </c>
      <c r="N23" s="52" t="str">
        <f>IFERROR(__xludf.DUMMYFUNCTION("""COMPUTED_VALUE"""),"N° de certificaciones expedidas / N° de certificaciones solicitadas")</f>
        <v>N° de certificaciones expedidas / N° de certificaciones solicitadas</v>
      </c>
      <c r="O23" s="53"/>
      <c r="P23" s="78">
        <f>IFERROR(__xludf.DUMMYFUNCTION("""COMPUTED_VALUE"""),1.0)</f>
        <v>1</v>
      </c>
      <c r="Q23" s="79" t="str">
        <f>IFERROR(__xludf.DUMMYFUNCTION("""COMPUTED_VALUE"""),"Expedir certificaciones de los contratos")</f>
        <v>Expedir certificaciones de los contratos</v>
      </c>
      <c r="R23" s="79" t="str">
        <f>IFERROR(__xludf.DUMMYFUNCTION("""COMPUTED_VALUE"""),"Trimestral")</f>
        <v>Trimestral</v>
      </c>
      <c r="S23" s="78">
        <f>IFERROR(__xludf.DUMMYFUNCTION("""COMPUTED_VALUE"""),1.0)</f>
        <v>1</v>
      </c>
      <c r="T23" s="78">
        <f>IFERROR(__xludf.DUMMYFUNCTION("""COMPUTED_VALUE"""),1.0)</f>
        <v>1</v>
      </c>
      <c r="U23" s="78">
        <f>IFERROR(__xludf.DUMMYFUNCTION("""COMPUTED_VALUE"""),1.0)</f>
        <v>1</v>
      </c>
      <c r="V23" s="78">
        <f>IFERROR(__xludf.DUMMYFUNCTION("""COMPUTED_VALUE"""),1.0)</f>
        <v>1</v>
      </c>
      <c r="W23" s="56" t="str">
        <f>IFERROR(__xludf.DUMMYFUNCTION("""COMPUTED_VALUE"""),"Contratos")</f>
        <v>Contratos</v>
      </c>
      <c r="X23" s="57" t="str">
        <f>IFERROR(__xludf.DUMMYFUNCTION("""COMPUTED_VALUE"""),"Milton Cuervo")</f>
        <v>Milton Cuervo</v>
      </c>
      <c r="Y23" s="47" t="str">
        <f>IFERROR(__xludf.DUMMYFUNCTION("""COMPUTED_VALUE"""),"Asesor")</f>
        <v>Asesor</v>
      </c>
      <c r="Z23" s="57" t="str">
        <f>IFERROR(__xludf.DUMMYFUNCTION("""COMPUTED_VALUE"""),"milton.cuervo@aunap.gov.co")</f>
        <v>milton.cuervo@aunap.gov.co</v>
      </c>
      <c r="AA23" s="47" t="str">
        <f>IFERROR(__xludf.DUMMYFUNCTION("""COMPUTED_VALUE"""),"Humanos, Físicos, Financieros, Tecnológicos")</f>
        <v>Humanos, Físicos, Financieros, Tecnológicos</v>
      </c>
      <c r="AB23" s="47" t="str">
        <f>IFERROR(__xludf.DUMMYFUNCTION("""COMPUTED_VALUE"""),"No asociado")</f>
        <v>No asociado</v>
      </c>
      <c r="AC23" s="47" t="str">
        <f>IFERROR(__xludf.DUMMYFUNCTION("""COMPUTED_VALUE"""),"Llegar con actividades de pesca y acuicultura a todas las regiones")</f>
        <v>Llegar con actividades de pesca y acuicultura a todas las regiones</v>
      </c>
      <c r="AD23" s="47" t="str">
        <f>IFERROR(__xludf.DUMMYFUNCTION("""COMPUTED_VALUE"""),"Talento Humano")</f>
        <v>Talento Humano</v>
      </c>
      <c r="AE23" s="47" t="str">
        <f>IFERROR(__xludf.DUMMYFUNCTION("""COMPUTED_VALUE"""),"Talento Humano")</f>
        <v>Talento Humano</v>
      </c>
      <c r="AF23" s="47" t="str">
        <f>IFERROR(__xludf.DUMMYFUNCTION("""COMPUTED_VALUE"""),"16. Paz, justicia e instituciones sólidas")</f>
        <v>16. Paz, justicia e instituciones sólidas</v>
      </c>
      <c r="AG23" s="80">
        <f>IFERROR(__xludf.DUMMYFUNCTION("""COMPUTED_VALUE"""),0.41)</f>
        <v>0.41</v>
      </c>
      <c r="AH23" s="59" t="str">
        <f>IFERROR(__xludf.DUMMYFUNCTION("""COMPUTED_VALUE"""),"De 221 solicitudes recibidas al grupo de gestión contractual en el cuarto trimestre ( donde se requerían la expedición de 206 certificados contractuales) se dio respuesta a 77 solicitudes en las que se certificaban 86 contratos al 31 de diciembre de 2021
"&amp;" Nota 1: Hay peticiones donde a veces piden la certificación de más de 1 contrato. 
 Nota 2: Las peticiones restantes sin contestar al 31 de diciembre de 2021, se continuaron contestando excediendo la vigencia 2021, sin violar los términos de ley para res"&amp;"ponder una petición")</f>
        <v>De 221 solicitudes recibidas al grupo de gestión contractual en el cuarto trimestre ( donde se requerían la expedición de 206 certificados contractuales) se dio respuesta a 77 solicitudes en las que se certificaban 86 contratos al 31 de diciembre de 2021
 Nota 1: Hay peticiones donde a veces piden la certificación de más de 1 contrato. 
 Nota 2: Las peticiones restantes sin contestar al 31 de diciembre de 2021, se continuaron contestando excediendo la vigencia 2021, sin violar los términos de ley para responder una petición</v>
      </c>
      <c r="AI23" s="77" t="str">
        <f>IFERROR(__xludf.DUMMYFUNCTION("""COMPUTED_VALUE"""),"https://drive.google.com/drive/folders/1nE89tuiq54uygP4vd6BKiShcSbk3CaXh?usp=sharing")</f>
        <v>https://drive.google.com/drive/folders/1nE89tuiq54uygP4vd6BKiShcSbk3CaXh?usp=sharing</v>
      </c>
      <c r="AJ23" s="59">
        <f>IFERROR(__xludf.DUMMYFUNCTION("""COMPUTED_VALUE"""),0.82)</f>
        <v>0.82</v>
      </c>
      <c r="AK23" s="59" t="str">
        <f>IFERROR(__xludf.DUMMYFUNCTION("""COMPUTED_VALUE"""),"De acuerdo a lo reportado en los respectivos trimestre https://drive.google.com/drive/folders/1kHuiQaQQm1dJnLVAe4TtxStWpJrxjVi-?usp=sharing")</f>
        <v>De acuerdo a lo reportado en los respectivos trimestre https://drive.google.com/drive/folders/1kHuiQaQQm1dJnLVAe4TtxStWpJrxjVi-?usp=sharing</v>
      </c>
      <c r="AL23" s="59"/>
      <c r="AM23" s="60"/>
      <c r="AN23" s="61" t="str">
        <f>IFERROR(IF((AO23+1)&lt;2,Alertas!$B$2&amp;TEXT(AO23,"0%")&amp;Alertas!$D$2, IF((AO23+1)=2,Alertas!$B$3,IF((AO23+1)&gt;2,Alertas!$B$4&amp;TEXT(AO23,"0%")&amp;Alertas!$D$4,AO23+1))),"Sin meta para el segundo trimestre")</f>
        <v>La ejecución de la meta registrada se encuentra por debajo de la meta programada en la formulación del plan de acción para el segundo trimestre, su porcentaje de cumplimiento es 41%, lo cual indica un incumplimiento que puede ser entendido por los entes de control como falencias en el proceso de planeación y gestión de la dependencia. se recomienda realizar acciones para garantizar el cumplimiento de la meta durante lo que resta de vigencia</v>
      </c>
      <c r="AO23" s="62">
        <f t="shared" si="2"/>
        <v>0.41</v>
      </c>
      <c r="AP23" s="61" t="str">
        <f t="shared" si="3"/>
        <v>No reporto evidencia.
La ejecución de la meta registrada se encuentra por debajo de la meta programada en la formulación del plan de acción para el segundo trimestre, su porcentaje de cumplimiento es 41%, lo cual indica un incumplimiento que puede ser entendido por los entes de control como falencias en el proceso de planeación y gestión de la dependencia. se recomienda realizar acciones para garantizar el cumplimiento de la meta durante lo que resta de vigencia.</v>
      </c>
      <c r="AQ23" s="63"/>
      <c r="AR23" s="64"/>
      <c r="AS23" s="65"/>
      <c r="AT23" s="65"/>
      <c r="AU23" s="66"/>
      <c r="AV23" s="67"/>
      <c r="AW23" s="68"/>
      <c r="AX23" s="63"/>
      <c r="AY23" s="64"/>
      <c r="AZ23" s="69"/>
      <c r="BA23" s="65"/>
      <c r="BB23" s="70"/>
      <c r="BC23" s="71"/>
      <c r="BD23" s="72"/>
      <c r="BE23" s="73"/>
      <c r="BF23" s="64"/>
      <c r="BG23" s="69"/>
      <c r="BH23" s="65"/>
      <c r="BI23" s="66"/>
      <c r="BJ23" s="71"/>
      <c r="BK23" s="72"/>
      <c r="BL23" s="74"/>
      <c r="BN23" s="5" t="str">
        <f t="shared" si="23"/>
        <v>-1</v>
      </c>
      <c r="BP23" s="75" t="s">
        <v>106</v>
      </c>
      <c r="BQ23" s="13">
        <f t="shared" si="5"/>
        <v>10</v>
      </c>
      <c r="BR23" s="11">
        <f t="shared" si="6"/>
        <v>10</v>
      </c>
      <c r="BS23" s="11">
        <f t="shared" si="7"/>
        <v>10</v>
      </c>
      <c r="BT23" s="12">
        <f t="shared" si="8"/>
        <v>2.715468326</v>
      </c>
      <c r="BU23" s="11" t="str">
        <f t="shared" si="9"/>
        <v>Reporte con Sobre Ejecución</v>
      </c>
      <c r="BV23" s="76">
        <f t="shared" ref="BV23:BY23" si="28">COUNTIFS($D:$D,$BP23,$BN:$BN,BV$1)</f>
        <v>0</v>
      </c>
      <c r="BW23" s="76">
        <f t="shared" si="28"/>
        <v>1</v>
      </c>
      <c r="BX23" s="76">
        <f t="shared" si="28"/>
        <v>0</v>
      </c>
      <c r="BY23" s="76">
        <f t="shared" si="28"/>
        <v>9</v>
      </c>
    </row>
    <row r="24" ht="37.5" customHeight="1">
      <c r="A24" s="45"/>
      <c r="B24" s="46">
        <f>IFERROR(__xludf.DUMMYFUNCTION("""COMPUTED_VALUE"""),22.0)</f>
        <v>22</v>
      </c>
      <c r="C24" s="47" t="str">
        <f>IFERROR(__xludf.DUMMYFUNCTION("""COMPUTED_VALUE"""),"Evaluación Seguimiento y Control")</f>
        <v>Evaluación Seguimiento y Control</v>
      </c>
      <c r="D24" s="48" t="str">
        <f>IFERROR(__xludf.DUMMYFUNCTION("""COMPUTED_VALUE"""),"Control Interno")</f>
        <v>Control Interno</v>
      </c>
      <c r="E24" s="48" t="str">
        <f>IFERROR(__xludf.DUMMYFUNCTION("""COMPUTED_VALUE"""),"Fortalecimiento de la capacidad de gestión de la autoridad nacional de acuicultura y pesca - aunap nacional")</f>
        <v>Fortalecimiento de la capacidad de gestión de la autoridad nacional de acuicultura y pesca - aunap nacional</v>
      </c>
      <c r="F24" s="49">
        <f>IFERROR(__xludf.DUMMYFUNCTION("""COMPUTED_VALUE"""),2.018011000241E12)</f>
        <v>2018011000241</v>
      </c>
      <c r="G24" s="50" t="str">
        <f>IFERROR(__xludf.DUMMYFUNCTION("""COMPUTED_VALUE"""),"Fortalecimiento")</f>
        <v>Fortalecimiento</v>
      </c>
      <c r="H24" s="48" t="str">
        <f>IFERROR(__xludf.DUMMYFUNCTION("""COMPUTED_VALUE"""),"Fortalecer los sistemas de gestión de la Entidad")</f>
        <v>Fortalecer los sistemas de gestión de la Entidad</v>
      </c>
      <c r="I24" s="48" t="str">
        <f>IFERROR(__xludf.DUMMYFUNCTION("""COMPUTED_VALUE"""),"Servicio de Implementación Sistemas de Gestión")</f>
        <v>Servicio de Implementación Sistemas de Gestión</v>
      </c>
      <c r="J24" s="48" t="str">
        <f>IFERROR(__xludf.DUMMYFUNCTION("""COMPUTED_VALUE"""),"Implementar y mantener el Sistema de Gestión de la Calidad (SGC) y Modelo Estándar de Control Interno (MECI)")</f>
        <v>Implementar y mantener el Sistema de Gestión de la Calidad (SGC) y Modelo Estándar de Control Interno (MECI)</v>
      </c>
      <c r="K24" s="51" t="str">
        <f>IFERROR(__xludf.DUMMYFUNCTION("""COMPUTED_VALUE"""),"Gestión del área")</f>
        <v>Gestión del área</v>
      </c>
      <c r="L24" s="51" t="str">
        <f>IFERROR(__xludf.DUMMYFUNCTION("""COMPUTED_VALUE"""),"Eficiente")</f>
        <v>Eficiente</v>
      </c>
      <c r="M24" s="51" t="str">
        <f>IFERROR(__xludf.DUMMYFUNCTION("""COMPUTED_VALUE"""),"Porcentaje")</f>
        <v>Porcentaje</v>
      </c>
      <c r="N24" s="52" t="str">
        <f>IFERROR(__xludf.DUMMYFUNCTION("""COMPUTED_VALUE"""),"Número de Acciones del plan anual de auditorias ejecutadas/Número de Acciones del plan anual de auditorias programadas")</f>
        <v>Número de Acciones del plan anual de auditorias ejecutadas/Número de Acciones del plan anual de auditorias programadas</v>
      </c>
      <c r="O24" s="53"/>
      <c r="P24" s="78">
        <f>IFERROR(__xludf.DUMMYFUNCTION("""COMPUTED_VALUE"""),1.0)</f>
        <v>1</v>
      </c>
      <c r="Q24" s="79" t="str">
        <f>IFERROR(__xludf.DUMMYFUNCTION("""COMPUTED_VALUE"""),"Ejecución del plan Anual de Auditorias")</f>
        <v>Ejecución del plan Anual de Auditorias</v>
      </c>
      <c r="R24" s="79" t="str">
        <f>IFERROR(__xludf.DUMMYFUNCTION("""COMPUTED_VALUE"""),"Semestral")</f>
        <v>Semestral</v>
      </c>
      <c r="S24" s="78">
        <f>IFERROR(__xludf.DUMMYFUNCTION("""COMPUTED_VALUE"""),0.0)</f>
        <v>0</v>
      </c>
      <c r="T24" s="78">
        <f>IFERROR(__xludf.DUMMYFUNCTION("""COMPUTED_VALUE"""),0.4)</f>
        <v>0.4</v>
      </c>
      <c r="U24" s="78">
        <f>IFERROR(__xludf.DUMMYFUNCTION("""COMPUTED_VALUE"""),0.0)</f>
        <v>0</v>
      </c>
      <c r="V24" s="78">
        <f>IFERROR(__xludf.DUMMYFUNCTION("""COMPUTED_VALUE"""),0.6)</f>
        <v>0.6</v>
      </c>
      <c r="W24" s="56" t="str">
        <f>IFERROR(__xludf.DUMMYFUNCTION("""COMPUTED_VALUE"""),"Control interno")</f>
        <v>Control interno</v>
      </c>
      <c r="X24" s="57" t="str">
        <f>IFERROR(__xludf.DUMMYFUNCTION("""COMPUTED_VALUE"""),"Euripides Gonzalez")</f>
        <v>Euripides Gonzalez</v>
      </c>
      <c r="Y24" s="47" t="str">
        <f>IFERROR(__xludf.DUMMYFUNCTION("""COMPUTED_VALUE"""),"Asesor de control interno")</f>
        <v>Asesor de control interno</v>
      </c>
      <c r="Z24" s="57" t="str">
        <f>IFERROR(__xludf.DUMMYFUNCTION("""COMPUTED_VALUE"""),"Euripides.gonzalez@aunap.gov.co")</f>
        <v>Euripides.gonzalez@aunap.gov.co</v>
      </c>
      <c r="AA24" s="47" t="str">
        <f>IFERROR(__xludf.DUMMYFUNCTION("""COMPUTED_VALUE"""),"humanos, Físicos, Financieros, Tecnológicos")</f>
        <v>humanos, Físicos, Financieros, Tecnológicos</v>
      </c>
      <c r="AB24" s="47" t="str">
        <f>IFERROR(__xludf.DUMMYFUNCTION("""COMPUTED_VALUE"""),"Plan Anticorrupción y de Atención al Ciudadano - PAAC")</f>
        <v>Plan Anticorrupción y de Atención al Ciudadano - PAAC</v>
      </c>
      <c r="AC24" s="47" t="str">
        <f>IFERROR(__xludf.DUMMYFUNCTION("""COMPUTED_VALUE"""),"Llegar con actividades de pesca y acuicultura a todas las regiones")</f>
        <v>Llegar con actividades de pesca y acuicultura a todas las regiones</v>
      </c>
      <c r="AD24" s="47" t="str">
        <f>IFERROR(__xludf.DUMMYFUNCTION("""COMPUTED_VALUE"""),"Control Interno")</f>
        <v>Control Interno</v>
      </c>
      <c r="AE24" s="47" t="str">
        <f>IFERROR(__xludf.DUMMYFUNCTION("""COMPUTED_VALUE"""),"Control Interno")</f>
        <v>Control Interno</v>
      </c>
      <c r="AF24" s="47" t="str">
        <f>IFERROR(__xludf.DUMMYFUNCTION("""COMPUTED_VALUE"""),"16. Paz, justicia e instituciones sólidas")</f>
        <v>16. Paz, justicia e instituciones sólidas</v>
      </c>
      <c r="AG24" s="80">
        <f>IFERROR(__xludf.DUMMYFUNCTION("""COMPUTED_VALUE"""),0.6)</f>
        <v>0.6</v>
      </c>
      <c r="AH24" s="59" t="str">
        <f>IFERROR(__xludf.DUMMYFUNCTION("""COMPUTED_VALUE"""),"Se cumplió con el 100% de las actividades estipuladas en Plan Anual de Auditoria 2021")</f>
        <v>Se cumplió con el 100% de las actividades estipuladas en Plan Anual de Auditoria 2021</v>
      </c>
      <c r="AI24" s="77" t="str">
        <f>IFERROR(__xludf.DUMMYFUNCTION("""COMPUTED_VALUE"""),"https://drive.google.com/file/d/15dv-wwsI3PbZM9E_OMgC2H0bU__H6RMr/view?usp=sharing")</f>
        <v>https://drive.google.com/file/d/15dv-wwsI3PbZM9E_OMgC2H0bU__H6RMr/view?usp=sharing</v>
      </c>
      <c r="AJ24" s="59">
        <f>IFERROR(__xludf.DUMMYFUNCTION("""COMPUTED_VALUE"""),1.0)</f>
        <v>1</v>
      </c>
      <c r="AK24" s="59" t="str">
        <f>IFERROR(__xludf.DUMMYFUNCTION("""COMPUTED_VALUE"""),"Se cumplió con el 100% de las actividades estipuladas en Plan Anual de Auditoria 2021")</f>
        <v>Se cumplió con el 100% de las actividades estipuladas en Plan Anual de Auditoria 2021</v>
      </c>
      <c r="AL24" s="59">
        <f>IFERROR(__xludf.DUMMYFUNCTION("""COMPUTED_VALUE"""),44582.0)</f>
        <v>44582</v>
      </c>
      <c r="AM24" s="60"/>
      <c r="AN24" s="61" t="str">
        <f>IFERROR(IF((AO24+1)&lt;2,Alertas!$B$2&amp;TEXT(AO24,"0%")&amp;Alertas!$D$2, IF((AO24+1)=2,Alertas!$B$3,IF((AO24+1)&gt;2,Alertas!$B$4&amp;TEXT(AO24,"0%")&amp;Alertas!$D$4,AO24+1))),"Sin meta para el segundo trimestre")</f>
        <v>La ejecución de la meta registrada se encuentra por encima de la meta programada en la formulación del plan de acción para el segundo trimestre, su porcentaje de cumplimiento es 150%,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24" s="62">
        <f t="shared" si="2"/>
        <v>1.5</v>
      </c>
      <c r="AP24" s="61" t="str">
        <f t="shared" si="3"/>
        <v>La ejecución de la meta registrada se encuentra por encima de la meta programada en la formulación del plan de acción para el segundo trimestre, su porcentaje de cumplimiento es 150%,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24" s="63"/>
      <c r="AR24" s="64"/>
      <c r="AS24" s="65"/>
      <c r="AT24" s="65"/>
      <c r="AU24" s="66"/>
      <c r="AV24" s="67"/>
      <c r="AW24" s="68"/>
      <c r="AX24" s="63"/>
      <c r="AY24" s="64"/>
      <c r="AZ24" s="69"/>
      <c r="BA24" s="65"/>
      <c r="BB24" s="70"/>
      <c r="BC24" s="71"/>
      <c r="BD24" s="72"/>
      <c r="BE24" s="73"/>
      <c r="BF24" s="64"/>
      <c r="BG24" s="69"/>
      <c r="BH24" s="65"/>
      <c r="BI24" s="66"/>
      <c r="BJ24" s="71"/>
      <c r="BK24" s="72"/>
      <c r="BL24" s="74"/>
      <c r="BN24" s="5" t="str">
        <f t="shared" si="23"/>
        <v>1</v>
      </c>
      <c r="BP24" s="75" t="s">
        <v>107</v>
      </c>
      <c r="BQ24" s="13">
        <f t="shared" si="5"/>
        <v>8</v>
      </c>
      <c r="BR24" s="11">
        <f t="shared" si="6"/>
        <v>6</v>
      </c>
      <c r="BS24" s="11">
        <f t="shared" si="7"/>
        <v>6</v>
      </c>
      <c r="BT24" s="12">
        <f t="shared" si="8"/>
        <v>31.52211905</v>
      </c>
      <c r="BU24" s="11" t="str">
        <f t="shared" si="9"/>
        <v>Reporte con Sobre Ejecución</v>
      </c>
      <c r="BV24" s="76">
        <f t="shared" ref="BV24:BY24" si="29">COUNTIFS($D:$D,$BP24,$BN:$BN,BV$1)</f>
        <v>1</v>
      </c>
      <c r="BW24" s="76">
        <f t="shared" si="29"/>
        <v>2</v>
      </c>
      <c r="BX24" s="76">
        <f t="shared" si="29"/>
        <v>1</v>
      </c>
      <c r="BY24" s="76">
        <f t="shared" si="29"/>
        <v>4</v>
      </c>
    </row>
    <row r="25" ht="37.5" customHeight="1">
      <c r="A25" s="45"/>
      <c r="B25" s="46">
        <f>IFERROR(__xludf.DUMMYFUNCTION("""COMPUTED_VALUE"""),36.0)</f>
        <v>36</v>
      </c>
      <c r="C25" s="47" t="str">
        <f>IFERROR(__xludf.DUMMYFUNCTION("""COMPUTED_VALUE"""),"Gestión de control interno disciplinario")</f>
        <v>Gestión de control interno disciplinario</v>
      </c>
      <c r="D25" s="48" t="str">
        <f>IFERROR(__xludf.DUMMYFUNCTION("""COMPUTED_VALUE"""),"Control Interno Disciplinario")</f>
        <v>Control Interno Disciplinario</v>
      </c>
      <c r="E25" s="48" t="str">
        <f>IFERROR(__xludf.DUMMYFUNCTION("""COMPUTED_VALUE"""),"Fortalecimiento de la capacidad de gestión de la autoridad nacional de acuicultura y pesca - aunap nacional")</f>
        <v>Fortalecimiento de la capacidad de gestión de la autoridad nacional de acuicultura y pesca - aunap nacional</v>
      </c>
      <c r="F25" s="49">
        <f>IFERROR(__xludf.DUMMYFUNCTION("""COMPUTED_VALUE"""),2.018011000241E12)</f>
        <v>2018011000241</v>
      </c>
      <c r="G25" s="50" t="str">
        <f>IFERROR(__xludf.DUMMYFUNCTION("""COMPUTED_VALUE"""),"Fortalecimiento")</f>
        <v>Fortalecimiento</v>
      </c>
      <c r="H25" s="48" t="str">
        <f>IFERROR(__xludf.DUMMYFUNCTION("""COMPUTED_VALUE"""),"Fortalecer los sistemas de gestión de la Entidad")</f>
        <v>Fortalecer los sistemas de gestión de la Entidad</v>
      </c>
      <c r="I25" s="48" t="str">
        <f>IFERROR(__xludf.DUMMYFUNCTION("""COMPUTED_VALUE"""),"Servicio de Implementación Sistemas de Gestión")</f>
        <v>Servicio de Implementación Sistemas de Gestión</v>
      </c>
      <c r="J25"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25" s="51" t="str">
        <f>IFERROR(__xludf.DUMMYFUNCTION("""COMPUTED_VALUE"""),"Gestión del área")</f>
        <v>Gestión del área</v>
      </c>
      <c r="L25" s="51" t="str">
        <f>IFERROR(__xludf.DUMMYFUNCTION("""COMPUTED_VALUE"""),"Eficacia")</f>
        <v>Eficacia</v>
      </c>
      <c r="M25" s="51" t="str">
        <f>IFERROR(__xludf.DUMMYFUNCTION("""COMPUTED_VALUE"""),"Número")</f>
        <v>Número</v>
      </c>
      <c r="N25" s="52" t="str">
        <f>IFERROR(__xludf.DUMMYFUNCTION("""COMPUTED_VALUE"""),"Número de informe sobre el estado de los procesos disciplinarios vigencia 2020 realizados/Número de informe sobre el estado de los procesos disciplinarios vigencia 2020 programados")</f>
        <v>Número de informe sobre el estado de los procesos disciplinarios vigencia 2020 realizados/Número de informe sobre el estado de los procesos disciplinarios vigencia 2020 programados</v>
      </c>
      <c r="O25" s="53"/>
      <c r="P25" s="78">
        <f>IFERROR(__xludf.DUMMYFUNCTION("""COMPUTED_VALUE"""),1.0)</f>
        <v>1</v>
      </c>
      <c r="Q25" s="79" t="str">
        <f>IFERROR(__xludf.DUMMYFUNCTION("""COMPUTED_VALUE"""),"Elaboracion de un informe sobre el estado de los procesos disciplinarios vigencia 2020")</f>
        <v>Elaboracion de un informe sobre el estado de los procesos disciplinarios vigencia 2020</v>
      </c>
      <c r="R25" s="79" t="str">
        <f>IFERROR(__xludf.DUMMYFUNCTION("""COMPUTED_VALUE"""),"Anual")</f>
        <v>Anual</v>
      </c>
      <c r="S25" s="78">
        <f>IFERROR(__xludf.DUMMYFUNCTION("""COMPUTED_VALUE"""),0.0)</f>
        <v>0</v>
      </c>
      <c r="T25" s="78">
        <f>IFERROR(__xludf.DUMMYFUNCTION("""COMPUTED_VALUE"""),0.0)</f>
        <v>0</v>
      </c>
      <c r="U25" s="78">
        <f>IFERROR(__xludf.DUMMYFUNCTION("""COMPUTED_VALUE"""),0.0)</f>
        <v>0</v>
      </c>
      <c r="V25" s="78">
        <f>IFERROR(__xludf.DUMMYFUNCTION("""COMPUTED_VALUE"""),1.0)</f>
        <v>1</v>
      </c>
      <c r="W25" s="56" t="str">
        <f>IFERROR(__xludf.DUMMYFUNCTION("""COMPUTED_VALUE"""),"Secretaria General")</f>
        <v>Secretaria General</v>
      </c>
      <c r="X25" s="57" t="str">
        <f>IFERROR(__xludf.DUMMYFUNCTION("""COMPUTED_VALUE"""),"Daniel Ariza Heredia")</f>
        <v>Daniel Ariza Heredia</v>
      </c>
      <c r="Y25" s="47" t="str">
        <f>IFERROR(__xludf.DUMMYFUNCTION("""COMPUTED_VALUE"""),"Secretario General")</f>
        <v>Secretario General</v>
      </c>
      <c r="Z25" s="57" t="str">
        <f>IFERROR(__xludf.DUMMYFUNCTION("""COMPUTED_VALUE"""),"daniel.ariza@aunap.gov.co")</f>
        <v>daniel.ariza@aunap.gov.co</v>
      </c>
      <c r="AA25" s="47" t="str">
        <f>IFERROR(__xludf.DUMMYFUNCTION("""COMPUTED_VALUE"""),"Humanos, Físicos, Financieros, Tecnológicos")</f>
        <v>Humanos, Físicos, Financieros, Tecnológicos</v>
      </c>
      <c r="AB25" s="47" t="str">
        <f>IFERROR(__xludf.DUMMYFUNCTION("""COMPUTED_VALUE"""),"No asociado")</f>
        <v>No asociado</v>
      </c>
      <c r="AC25" s="47" t="str">
        <f>IFERROR(__xludf.DUMMYFUNCTION("""COMPUTED_VALUE"""),"Llegar con actividades de pesca y acuicultura a todas las regiones")</f>
        <v>Llegar con actividades de pesca y acuicultura a todas las regiones</v>
      </c>
      <c r="AD25" s="47" t="str">
        <f>IFERROR(__xludf.DUMMYFUNCTION("""COMPUTED_VALUE"""),"Talento Humano")</f>
        <v>Talento Humano</v>
      </c>
      <c r="AE25" s="47" t="str">
        <f>IFERROR(__xludf.DUMMYFUNCTION("""COMPUTED_VALUE"""),"Talento Humano")</f>
        <v>Talento Humano</v>
      </c>
      <c r="AF25" s="47" t="str">
        <f>IFERROR(__xludf.DUMMYFUNCTION("""COMPUTED_VALUE"""),"16. Paz, justicia e instituciones sólidas")</f>
        <v>16. Paz, justicia e instituciones sólidas</v>
      </c>
      <c r="AG25" s="80">
        <f>IFERROR(__xludf.DUMMYFUNCTION("""COMPUTED_VALUE"""),1.0)</f>
        <v>1</v>
      </c>
      <c r="AH25" s="59" t="str">
        <f>IFERROR(__xludf.DUMMYFUNCTION("""COMPUTED_VALUE"""),"Se presentó a la Secretaría General el informe anual del desarrollo de los procesos disciplinarios en la vigencia 2021")</f>
        <v>Se presentó a la Secretaría General el informe anual del desarrollo de los procesos disciplinarios en la vigencia 2021</v>
      </c>
      <c r="AI25" s="77" t="str">
        <f>IFERROR(__xludf.DUMMYFUNCTION("""COMPUTED_VALUE"""),"https://drive.google.com/file/d/1GEXu8PP3O5K5aZp5ozROrEFHNEoyFBvc/view?usp=sharing")</f>
        <v>https://drive.google.com/file/d/1GEXu8PP3O5K5aZp5ozROrEFHNEoyFBvc/view?usp=sharing</v>
      </c>
      <c r="AJ25" s="59">
        <f>IFERROR(__xludf.DUMMYFUNCTION("""COMPUTED_VALUE"""),1.0)</f>
        <v>1</v>
      </c>
      <c r="AK25" s="59" t="str">
        <f>IFERROR(__xludf.DUMMYFUNCTION("""COMPUTED_VALUE"""),"En el informe se puede apreciar la evolucion delos procesos en la vigencia 2021")</f>
        <v>En el informe se puede apreciar la evolucion delos procesos en la vigencia 2021</v>
      </c>
      <c r="AL25" s="59">
        <f>IFERROR(__xludf.DUMMYFUNCTION("""COMPUTED_VALUE"""),44582.0)</f>
        <v>44582</v>
      </c>
      <c r="AM25" s="60"/>
      <c r="AN25" s="61" t="str">
        <f>IFERROR(IF((AO25+1)&lt;2,Alertas!$B$2&amp;TEXT(AO25,"0%")&amp;Alertas!$D$2, IF((AO25+1)=2,Alertas!$B$3,IF((AO25+1)&gt;2,Alertas!$B$4&amp;TEXT(AO25,"0%")&amp;Alertas!$D$4,AO25+1))),"Sin meta para el segundo trimestre")</f>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25" s="62">
        <f t="shared" si="2"/>
        <v>2</v>
      </c>
      <c r="AP25" s="61" t="str">
        <f t="shared" si="3"/>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25" s="63"/>
      <c r="AR25" s="64"/>
      <c r="AS25" s="65"/>
      <c r="AT25" s="65"/>
      <c r="AU25" s="66"/>
      <c r="AV25" s="67"/>
      <c r="AW25" s="68"/>
      <c r="AX25" s="63"/>
      <c r="AY25" s="64"/>
      <c r="AZ25" s="69"/>
      <c r="BA25" s="65"/>
      <c r="BB25" s="70"/>
      <c r="BC25" s="71"/>
      <c r="BD25" s="72"/>
      <c r="BE25" s="73"/>
      <c r="BF25" s="64"/>
      <c r="BG25" s="69"/>
      <c r="BH25" s="65"/>
      <c r="BI25" s="66"/>
      <c r="BJ25" s="71"/>
      <c r="BK25" s="72"/>
      <c r="BL25" s="74"/>
      <c r="BN25" s="5" t="str">
        <f t="shared" si="23"/>
        <v>1</v>
      </c>
      <c r="BV25" s="5">
        <f t="shared" ref="BV25:BY25" si="30">COUNTIFS($D:$D,$BP16,$BN:$BN,BV$1)</f>
        <v>2</v>
      </c>
      <c r="BW25" s="5">
        <f t="shared" si="30"/>
        <v>0</v>
      </c>
      <c r="BX25" s="5">
        <f t="shared" si="30"/>
        <v>0</v>
      </c>
      <c r="BY25" s="5">
        <f t="shared" si="30"/>
        <v>3</v>
      </c>
    </row>
    <row r="26" ht="37.5" customHeight="1">
      <c r="A26" s="45"/>
      <c r="B26" s="46">
        <f>IFERROR(__xludf.DUMMYFUNCTION("""COMPUTED_VALUE"""),37.0)</f>
        <v>37</v>
      </c>
      <c r="C26" s="47" t="str">
        <f>IFERROR(__xludf.DUMMYFUNCTION("""COMPUTED_VALUE"""),"Gestión de control interno disciplinario")</f>
        <v>Gestión de control interno disciplinario</v>
      </c>
      <c r="D26" s="48" t="str">
        <f>IFERROR(__xludf.DUMMYFUNCTION("""COMPUTED_VALUE"""),"Control Interno Disciplinario")</f>
        <v>Control Interno Disciplinario</v>
      </c>
      <c r="E26" s="48" t="str">
        <f>IFERROR(__xludf.DUMMYFUNCTION("""COMPUTED_VALUE"""),"Fortalecimiento de la capacidad de gestión de la autoridad nacional de acuicultura y pesca - aunap nacional")</f>
        <v>Fortalecimiento de la capacidad de gestión de la autoridad nacional de acuicultura y pesca - aunap nacional</v>
      </c>
      <c r="F26" s="49">
        <f>IFERROR(__xludf.DUMMYFUNCTION("""COMPUTED_VALUE"""),2.018011000241E12)</f>
        <v>2018011000241</v>
      </c>
      <c r="G26" s="50" t="str">
        <f>IFERROR(__xludf.DUMMYFUNCTION("""COMPUTED_VALUE"""),"Fortalecimiento")</f>
        <v>Fortalecimiento</v>
      </c>
      <c r="H26" s="48" t="str">
        <f>IFERROR(__xludf.DUMMYFUNCTION("""COMPUTED_VALUE"""),"Fortalecer los sistemas de gestión de la Entidad")</f>
        <v>Fortalecer los sistemas de gestión de la Entidad</v>
      </c>
      <c r="I26" s="48" t="str">
        <f>IFERROR(__xludf.DUMMYFUNCTION("""COMPUTED_VALUE"""),"Servicio de Implementación Sistemas de Gestión")</f>
        <v>Servicio de Implementación Sistemas de Gestión</v>
      </c>
      <c r="J26"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26" s="51" t="str">
        <f>IFERROR(__xludf.DUMMYFUNCTION("""COMPUTED_VALUE"""),"Gestión del área")</f>
        <v>Gestión del área</v>
      </c>
      <c r="L26" s="51" t="str">
        <f>IFERROR(__xludf.DUMMYFUNCTION("""COMPUTED_VALUE"""),"Eficacia")</f>
        <v>Eficacia</v>
      </c>
      <c r="M26" s="51" t="str">
        <f>IFERROR(__xludf.DUMMYFUNCTION("""COMPUTED_VALUE"""),"Porcentaje")</f>
        <v>Porcentaje</v>
      </c>
      <c r="N26" s="52" t="str">
        <f>IFERROR(__xludf.DUMMYFUNCTION("""COMPUTED_VALUE"""),"Relación de la Ley 734 de 2002 y las normas que lo complementan en el 100% de las actuaciones generadas por CID.")</f>
        <v>Relación de la Ley 734 de 2002 y las normas que lo complementan en el 100% de las actuaciones generadas por CID.</v>
      </c>
      <c r="O26" s="53"/>
      <c r="P26" s="78">
        <f>IFERROR(__xludf.DUMMYFUNCTION("""COMPUTED_VALUE"""),1.0)</f>
        <v>1</v>
      </c>
      <c r="Q26" s="79" t="str">
        <f>IFERROR(__xludf.DUMMYFUNCTION("""COMPUTED_VALUE"""),"Aplicación de la Ley 734 de 2002 y las normas que lo complementan")</f>
        <v>Aplicación de la Ley 734 de 2002 y las normas que lo complementan</v>
      </c>
      <c r="R26" s="79" t="str">
        <f>IFERROR(__xludf.DUMMYFUNCTION("""COMPUTED_VALUE"""),"Trimestral")</f>
        <v>Trimestral</v>
      </c>
      <c r="S26" s="78">
        <f>IFERROR(__xludf.DUMMYFUNCTION("""COMPUTED_VALUE"""),0.25)</f>
        <v>0.25</v>
      </c>
      <c r="T26" s="78">
        <f>IFERROR(__xludf.DUMMYFUNCTION("""COMPUTED_VALUE"""),0.25)</f>
        <v>0.25</v>
      </c>
      <c r="U26" s="78">
        <f>IFERROR(__xludf.DUMMYFUNCTION("""COMPUTED_VALUE"""),0.25)</f>
        <v>0.25</v>
      </c>
      <c r="V26" s="78">
        <f>IFERROR(__xludf.DUMMYFUNCTION("""COMPUTED_VALUE"""),0.25)</f>
        <v>0.25</v>
      </c>
      <c r="W26" s="56" t="str">
        <f>IFERROR(__xludf.DUMMYFUNCTION("""COMPUTED_VALUE"""),"Secretaria General")</f>
        <v>Secretaria General</v>
      </c>
      <c r="X26" s="57" t="str">
        <f>IFERROR(__xludf.DUMMYFUNCTION("""COMPUTED_VALUE"""),"Daniel Ariza Heredia")</f>
        <v>Daniel Ariza Heredia</v>
      </c>
      <c r="Y26" s="47" t="str">
        <f>IFERROR(__xludf.DUMMYFUNCTION("""COMPUTED_VALUE"""),"Secretario General")</f>
        <v>Secretario General</v>
      </c>
      <c r="Z26" s="57" t="str">
        <f>IFERROR(__xludf.DUMMYFUNCTION("""COMPUTED_VALUE"""),"daniel.ariza@aunap.gov.co")</f>
        <v>daniel.ariza@aunap.gov.co</v>
      </c>
      <c r="AA26" s="47" t="str">
        <f>IFERROR(__xludf.DUMMYFUNCTION("""COMPUTED_VALUE"""),"Humanos, Físicos, Financieros, Tecnológicos")</f>
        <v>Humanos, Físicos, Financieros, Tecnológicos</v>
      </c>
      <c r="AB26" s="47" t="str">
        <f>IFERROR(__xludf.DUMMYFUNCTION("""COMPUTED_VALUE"""),"No asociado")</f>
        <v>No asociado</v>
      </c>
      <c r="AC26" s="47" t="str">
        <f>IFERROR(__xludf.DUMMYFUNCTION("""COMPUTED_VALUE"""),"Llegar con actividades de pesca y acuicultura a todas las regiones")</f>
        <v>Llegar con actividades de pesca y acuicultura a todas las regiones</v>
      </c>
      <c r="AD26" s="47" t="str">
        <f>IFERROR(__xludf.DUMMYFUNCTION("""COMPUTED_VALUE"""),"Talento Humano")</f>
        <v>Talento Humano</v>
      </c>
      <c r="AE26" s="47" t="str">
        <f>IFERROR(__xludf.DUMMYFUNCTION("""COMPUTED_VALUE"""),"Talento Humano")</f>
        <v>Talento Humano</v>
      </c>
      <c r="AF26" s="47" t="str">
        <f>IFERROR(__xludf.DUMMYFUNCTION("""COMPUTED_VALUE"""),"16. Paz, justicia e instituciones sólidas")</f>
        <v>16. Paz, justicia e instituciones sólidas</v>
      </c>
      <c r="AG26" s="80">
        <f>IFERROR(__xludf.DUMMYFUNCTION("""COMPUTED_VALUE"""),0.25)</f>
        <v>0.25</v>
      </c>
      <c r="AH26" s="59" t="str">
        <f>IFERROR(__xludf.DUMMYFUNCTION("""COMPUTED_VALUE"""),"En el ultimo trimestre se emitieron 15 Autos en las investigaciones disciplinarias adelantadas por la Secretaría General de la AUNAP")</f>
        <v>En el ultimo trimestre se emitieron 15 Autos en las investigaciones disciplinarias adelantadas por la Secretaría General de la AUNAP</v>
      </c>
      <c r="AI26" s="77" t="str">
        <f>IFERROR(__xludf.DUMMYFUNCTION("""COMPUTED_VALUE"""),"https://docs.google.com/spreadsheets/d/1at4h8_HmpQ-OoOvddwCIVvJwMo_01v_J/edit?usp=sharing&amp;ouid=107668153786589467991&amp;rtpof=true&amp;sd=true")</f>
        <v>https://docs.google.com/spreadsheets/d/1at4h8_HmpQ-OoOvddwCIVvJwMo_01v_J/edit?usp=sharing&amp;ouid=107668153786589467991&amp;rtpof=true&amp;sd=true</v>
      </c>
      <c r="AJ26" s="59">
        <f>IFERROR(__xludf.DUMMYFUNCTION("""COMPUTED_VALUE"""),1.0)</f>
        <v>1</v>
      </c>
      <c r="AK26" s="59" t="str">
        <f>IFERROR(__xludf.DUMMYFUNCTION("""COMPUTED_VALUE"""),"Durantela vigencia 2021 se impulsó la totalidad de procesos ")</f>
        <v>Durantela vigencia 2021 se impulsó la totalidad de procesos </v>
      </c>
      <c r="AL26" s="59">
        <f>IFERROR(__xludf.DUMMYFUNCTION("""COMPUTED_VALUE"""),44582.0)</f>
        <v>44582</v>
      </c>
      <c r="AM26" s="60"/>
      <c r="AN26" s="61" t="str">
        <f>IFERROR(IF((AO26+1)&lt;2,Alertas!$B$2&amp;TEXT(AO26,"0%")&amp;Alertas!$D$2, IF((AO26+1)=2,Alertas!$B$3,IF((AO26+1)&gt;2,Alertas!$B$4&amp;TEXT(AO26,"0%")&amp;Alertas!$D$4,AO26+1))),"Sin meta para el segundo trimestre")</f>
        <v>La ejecución de la meta registrada se encuentra acorde a la meta programada en la formulación del plan de acción para el segundo trimestre</v>
      </c>
      <c r="AO26" s="62">
        <f t="shared" si="2"/>
        <v>1</v>
      </c>
      <c r="AP26" s="61" t="str">
        <f t="shared" si="3"/>
        <v>La ejecución de la meta registrada se encuentra acorde a la meta programada en la formulación del plan de acción para el segundo trimestre.</v>
      </c>
      <c r="AQ26" s="63"/>
      <c r="AR26" s="64"/>
      <c r="AS26" s="65"/>
      <c r="AT26" s="65"/>
      <c r="AU26" s="66"/>
      <c r="AV26" s="67"/>
      <c r="AW26" s="68"/>
      <c r="AX26" s="63"/>
      <c r="AY26" s="64"/>
      <c r="AZ26" s="69"/>
      <c r="BA26" s="65"/>
      <c r="BB26" s="70"/>
      <c r="BC26" s="71"/>
      <c r="BD26" s="72"/>
      <c r="BE26" s="73"/>
      <c r="BF26" s="64"/>
      <c r="BG26" s="69"/>
      <c r="BH26" s="65"/>
      <c r="BI26" s="66"/>
      <c r="BJ26" s="71"/>
      <c r="BK26" s="72"/>
      <c r="BL26" s="74"/>
      <c r="BN26" s="5" t="str">
        <f t="shared" si="23"/>
        <v>0</v>
      </c>
      <c r="BV26" s="5">
        <f t="shared" ref="BV26:BY26" si="31">COUNTIFS($D:$D,$BP17,$BN:$BN,BV$1)</f>
        <v>0</v>
      </c>
      <c r="BW26" s="5">
        <f t="shared" si="31"/>
        <v>0</v>
      </c>
      <c r="BX26" s="5">
        <f t="shared" si="31"/>
        <v>2</v>
      </c>
      <c r="BY26" s="5">
        <f t="shared" si="31"/>
        <v>2</v>
      </c>
    </row>
    <row r="27" ht="37.5" customHeight="1">
      <c r="A27" s="45"/>
      <c r="B27" s="46">
        <f>IFERROR(__xludf.DUMMYFUNCTION("""COMPUTED_VALUE"""),38.0)</f>
        <v>38</v>
      </c>
      <c r="C27" s="47" t="str">
        <f>IFERROR(__xludf.DUMMYFUNCTION("""COMPUTED_VALUE"""),"Gestión de control interno disciplinario")</f>
        <v>Gestión de control interno disciplinario</v>
      </c>
      <c r="D27" s="48" t="str">
        <f>IFERROR(__xludf.DUMMYFUNCTION("""COMPUTED_VALUE"""),"Control Interno Disciplinario")</f>
        <v>Control Interno Disciplinario</v>
      </c>
      <c r="E27" s="48" t="str">
        <f>IFERROR(__xludf.DUMMYFUNCTION("""COMPUTED_VALUE"""),"Fortalecimiento de la capacidad de gestión de la autoridad nacional de acuicultura y pesca - aunap nacional")</f>
        <v>Fortalecimiento de la capacidad de gestión de la autoridad nacional de acuicultura y pesca - aunap nacional</v>
      </c>
      <c r="F27" s="49">
        <f>IFERROR(__xludf.DUMMYFUNCTION("""COMPUTED_VALUE"""),2.018011000241E12)</f>
        <v>2018011000241</v>
      </c>
      <c r="G27" s="50" t="str">
        <f>IFERROR(__xludf.DUMMYFUNCTION("""COMPUTED_VALUE"""),"Fortalecimiento")</f>
        <v>Fortalecimiento</v>
      </c>
      <c r="H27" s="48" t="str">
        <f>IFERROR(__xludf.DUMMYFUNCTION("""COMPUTED_VALUE"""),"Fortalecer los sistemas de gestión de la Entidad")</f>
        <v>Fortalecer los sistemas de gestión de la Entidad</v>
      </c>
      <c r="I27" s="48" t="str">
        <f>IFERROR(__xludf.DUMMYFUNCTION("""COMPUTED_VALUE"""),"Servicio de Implementación Sistemas de Gestión")</f>
        <v>Servicio de Implementación Sistemas de Gestión</v>
      </c>
      <c r="J27"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27" s="51" t="str">
        <f>IFERROR(__xludf.DUMMYFUNCTION("""COMPUTED_VALUE"""),"Gestión del área")</f>
        <v>Gestión del área</v>
      </c>
      <c r="L27" s="51" t="str">
        <f>IFERROR(__xludf.DUMMYFUNCTION("""COMPUTED_VALUE"""),"Eficacia")</f>
        <v>Eficacia</v>
      </c>
      <c r="M27" s="51" t="str">
        <f>IFERROR(__xludf.DUMMYFUNCTION("""COMPUTED_VALUE"""),"Número")</f>
        <v>Número</v>
      </c>
      <c r="N27" s="52" t="str">
        <f>IFERROR(__xludf.DUMMYFUNCTION("""COMPUTED_VALUE"""),"Número de actividades de divulgación sobre derecho disciplinario realizadas/Número de actividades de divulgación sobre derecho disciplinario programadas")</f>
        <v>Número de actividades de divulgación sobre derecho disciplinario realizadas/Número de actividades de divulgación sobre derecho disciplinario programadas</v>
      </c>
      <c r="O27" s="53"/>
      <c r="P27" s="54">
        <f>IFERROR(__xludf.DUMMYFUNCTION("""COMPUTED_VALUE"""),11.0)</f>
        <v>11</v>
      </c>
      <c r="Q27" s="55" t="str">
        <f>IFERROR(__xludf.DUMMYFUNCTION("""COMPUTED_VALUE"""),"Realizar actividades de divulgación sobre derecho disciplinario")</f>
        <v>Realizar actividades de divulgación sobre derecho disciplinario</v>
      </c>
      <c r="R27" s="14" t="str">
        <f>IFERROR(__xludf.DUMMYFUNCTION("""COMPUTED_VALUE"""),"Trimestral")</f>
        <v>Trimestral</v>
      </c>
      <c r="S27" s="54">
        <f>IFERROR(__xludf.DUMMYFUNCTION("""COMPUTED_VALUE"""),2.0)</f>
        <v>2</v>
      </c>
      <c r="T27" s="54">
        <f>IFERROR(__xludf.DUMMYFUNCTION("""COMPUTED_VALUE"""),3.0)</f>
        <v>3</v>
      </c>
      <c r="U27" s="54">
        <f>IFERROR(__xludf.DUMMYFUNCTION("""COMPUTED_VALUE"""),3.0)</f>
        <v>3</v>
      </c>
      <c r="V27" s="54">
        <f>IFERROR(__xludf.DUMMYFUNCTION("""COMPUTED_VALUE"""),3.0)</f>
        <v>3</v>
      </c>
      <c r="W27" s="56" t="str">
        <f>IFERROR(__xludf.DUMMYFUNCTION("""COMPUTED_VALUE"""),"Secretaria General")</f>
        <v>Secretaria General</v>
      </c>
      <c r="X27" s="57" t="str">
        <f>IFERROR(__xludf.DUMMYFUNCTION("""COMPUTED_VALUE"""),"Daniel Ariza Heredia")</f>
        <v>Daniel Ariza Heredia</v>
      </c>
      <c r="Y27" s="47" t="str">
        <f>IFERROR(__xludf.DUMMYFUNCTION("""COMPUTED_VALUE"""),"Secretario General")</f>
        <v>Secretario General</v>
      </c>
      <c r="Z27" s="57" t="str">
        <f>IFERROR(__xludf.DUMMYFUNCTION("""COMPUTED_VALUE"""),"daniel.ariza@aunap.gov.co")</f>
        <v>daniel.ariza@aunap.gov.co</v>
      </c>
      <c r="AA27" s="47" t="str">
        <f>IFERROR(__xludf.DUMMYFUNCTION("""COMPUTED_VALUE"""),"Humanos, Físicos, Financieros, Tecnológicos")</f>
        <v>Humanos, Físicos, Financieros, Tecnológicos</v>
      </c>
      <c r="AB27" s="47" t="str">
        <f>IFERROR(__xludf.DUMMYFUNCTION("""COMPUTED_VALUE"""),"No asociado")</f>
        <v>No asociado</v>
      </c>
      <c r="AC27" s="47" t="str">
        <f>IFERROR(__xludf.DUMMYFUNCTION("""COMPUTED_VALUE"""),"Llegar con actividades de pesca y acuicultura a todas las regiones")</f>
        <v>Llegar con actividades de pesca y acuicultura a todas las regiones</v>
      </c>
      <c r="AD27" s="47" t="str">
        <f>IFERROR(__xludf.DUMMYFUNCTION("""COMPUTED_VALUE"""),"Talento Humano")</f>
        <v>Talento Humano</v>
      </c>
      <c r="AE27" s="47" t="str">
        <f>IFERROR(__xludf.DUMMYFUNCTION("""COMPUTED_VALUE"""),"Talento Humano")</f>
        <v>Talento Humano</v>
      </c>
      <c r="AF27" s="47" t="str">
        <f>IFERROR(__xludf.DUMMYFUNCTION("""COMPUTED_VALUE"""),"16. Paz, justicia e instituciones sólidas")</f>
        <v>16. Paz, justicia e instituciones sólidas</v>
      </c>
      <c r="AG27" s="58">
        <f>IFERROR(__xludf.DUMMYFUNCTION("""COMPUTED_VALUE"""),3.0)</f>
        <v>3</v>
      </c>
      <c r="AH27" s="59" t="str">
        <f>IFERROR(__xludf.DUMMYFUNCTION("""COMPUTED_VALUE"""),"Durante el cuarto trimestre de 2021 se elaboraron 2* tips disciplinarios y se partició en una actividad de reinducción en la cual se capacitó sobre Derechos, deberes, inhabilidades e incompatibilidades de los servidores públicos. 
* La publicación del se"&amp;"gundo tip disciplinario se realizo el día 11 de enero de 2022, debido a demora en la dependencia de comunicaciones, ajena a CID. ")</f>
        <v>Durante el cuarto trimestre de 2021 se elaboraron 2* tips disciplinarios y se partició en una actividad de reinducción en la cual se capacitó sobre Derechos, deberes, inhabilidades e incompatibilidades de los servidores públicos. 
* La publicación del segundo tip disciplinario se realizo el día 11 de enero de 2022, debido a demora en la dependencia de comunicaciones, ajena a CID. </v>
      </c>
      <c r="AI27" s="77" t="str">
        <f>IFERROR(__xludf.DUMMYFUNCTION("""COMPUTED_VALUE"""),"https://drive.google.com/file/d/1E-GBGzVrRWmj0TfQdGoI6yjOovmG67qX/view?usp=sharing")</f>
        <v>https://drive.google.com/file/d/1E-GBGzVrRWmj0TfQdGoI6yjOovmG67qX/view?usp=sharing</v>
      </c>
      <c r="AJ27" s="59">
        <f>IFERROR(__xludf.DUMMYFUNCTION("""COMPUTED_VALUE"""),11.0)</f>
        <v>11</v>
      </c>
      <c r="AK27" s="59" t="str">
        <f>IFERROR(__xludf.DUMMYFUNCTION("""COMPUTED_VALUE"""),"En la vigencia 2021 se realizaron las actividades de divulgación previstas. ")</f>
        <v>En la vigencia 2021 se realizaron las actividades de divulgación previstas. </v>
      </c>
      <c r="AL27" s="59">
        <f>IFERROR(__xludf.DUMMYFUNCTION("""COMPUTED_VALUE"""),44582.0)</f>
        <v>44582</v>
      </c>
      <c r="AM27" s="60"/>
      <c r="AN27" s="61" t="str">
        <f>IFERROR(IF((AO27+1)&lt;2,Alertas!$B$2&amp;TEXT(AO27,"0%")&amp;Alertas!$D$2, IF((AO27+1)=2,Alertas!$B$3,IF((AO27+1)&gt;2,Alertas!$B$4&amp;TEXT(AO27,"0%")&amp;Alertas!$D$4,AO27+1))),"Sin meta para el segundo trimestre")</f>
        <v>La ejecución de la meta registrada se encuentra acorde a la meta programada en la formulación del plan de acción para el segundo trimestre</v>
      </c>
      <c r="AO27" s="62">
        <f t="shared" si="2"/>
        <v>1</v>
      </c>
      <c r="AP27" s="61" t="str">
        <f t="shared" si="3"/>
        <v>La ejecución de la meta registrada se encuentra acorde a la meta programada en la formulación del plan de acción para el segundo trimestre.</v>
      </c>
      <c r="AQ27" s="63"/>
      <c r="AR27" s="64"/>
      <c r="AS27" s="65"/>
      <c r="AT27" s="65"/>
      <c r="AU27" s="66"/>
      <c r="AV27" s="67"/>
      <c r="AW27" s="68"/>
      <c r="AX27" s="63"/>
      <c r="AY27" s="64"/>
      <c r="AZ27" s="69"/>
      <c r="BA27" s="65"/>
      <c r="BB27" s="70"/>
      <c r="BC27" s="71"/>
      <c r="BD27" s="72"/>
      <c r="BE27" s="73"/>
      <c r="BF27" s="64"/>
      <c r="BG27" s="69"/>
      <c r="BH27" s="65"/>
      <c r="BI27" s="66"/>
      <c r="BJ27" s="71"/>
      <c r="BK27" s="72"/>
      <c r="BL27" s="74"/>
      <c r="BN27" s="5" t="str">
        <f t="shared" si="23"/>
        <v>0</v>
      </c>
    </row>
    <row r="28" ht="37.5" customHeight="1">
      <c r="A28" s="45"/>
      <c r="B28" s="46">
        <f>IFERROR(__xludf.DUMMYFUNCTION("""COMPUTED_VALUE"""),23.0)</f>
        <v>23</v>
      </c>
      <c r="C28" s="47" t="str">
        <f>IFERROR(__xludf.DUMMYFUNCTION("""COMPUTED_VALUE"""),"Gestión de la administración y fomento")</f>
        <v>Gestión de la administración y fomento</v>
      </c>
      <c r="D28" s="48" t="str">
        <f>IFERROR(__xludf.DUMMYFUNCTION("""COMPUTED_VALUE"""),"Dirección Técnica de Administración y Fomento")</f>
        <v>Dirección Técnica de Administración y Fomento</v>
      </c>
      <c r="E28" s="48" t="str">
        <f>IFERROR(__xludf.DUMMYFUNCTION("""COMPUTED_VALUE"""),"Fortalecimiento de la sostenibilidad del sector pesquero y de la acuicultura en el territorio nacional")</f>
        <v>Fortalecimiento de la sostenibilidad del sector pesquero y de la acuicultura en el territorio nacional</v>
      </c>
      <c r="F28" s="49">
        <f>IFERROR(__xludf.DUMMYFUNCTION("""COMPUTED_VALUE"""),2.01901100028E12)</f>
        <v>2019011000280</v>
      </c>
      <c r="G28" s="50" t="str">
        <f>IFERROR(__xludf.DUMMYFUNCTION("""COMPUTED_VALUE"""),"Sostenibilidad")</f>
        <v>Sostenibilidad</v>
      </c>
      <c r="H28" s="48" t="str">
        <f>IFERROR(__xludf.DUMMYFUNCTION("""COMPUTED_VALUE"""),"Mejorar la explotación de los recursos pesqueros y de la acuicultura.")</f>
        <v>Mejorar la explotación de los recursos pesqueros y de la acuicultura.</v>
      </c>
      <c r="I28" s="48" t="str">
        <f>IFERROR(__xludf.DUMMYFUNCTION("""COMPUTED_VALUE"""),"Servicios de administración de los recurso pesqueros y de la acuicultura")</f>
        <v>Servicios de administración de los recurso pesqueros y de la acuicultura</v>
      </c>
      <c r="J28" s="48" t="str">
        <f>IFERROR(__xludf.DUMMYFUNCTION("""COMPUTED_VALUE"""),"Regular el manejo y el ejercicio de la actividad pesquera y de la acuicultura.")</f>
        <v>Regular el manejo y el ejercicio de la actividad pesquera y de la acuicultura.</v>
      </c>
      <c r="K28" s="51" t="str">
        <f>IFERROR(__xludf.DUMMYFUNCTION("""COMPUTED_VALUE"""),"Producto")</f>
        <v>Producto</v>
      </c>
      <c r="L28" s="51" t="str">
        <f>IFERROR(__xludf.DUMMYFUNCTION("""COMPUTED_VALUE"""),"Eficacia")</f>
        <v>Eficacia</v>
      </c>
      <c r="M28" s="51" t="str">
        <f>IFERROR(__xludf.DUMMYFUNCTION("""COMPUTED_VALUE"""),"Número")</f>
        <v>Número</v>
      </c>
      <c r="N28" s="52" t="str">
        <f>IFERROR(__xludf.DUMMYFUNCTION("""COMPUTED_VALUE"""),"Tramites atendidos")</f>
        <v>Tramites atendidos</v>
      </c>
      <c r="O28" s="53"/>
      <c r="P28" s="54">
        <f>IFERROR(__xludf.DUMMYFUNCTION("""COMPUTED_VALUE"""),14000.0)</f>
        <v>14000</v>
      </c>
      <c r="Q28" s="55" t="str">
        <f>IFERROR(__xludf.DUMMYFUNCTION("""COMPUTED_VALUE"""),"Atender Tramites")</f>
        <v>Atender Tramites</v>
      </c>
      <c r="R28" s="14" t="str">
        <f>IFERROR(__xludf.DUMMYFUNCTION("""COMPUTED_VALUE"""),"Semestral")</f>
        <v>Semestral</v>
      </c>
      <c r="S28" s="54">
        <f>IFERROR(__xludf.DUMMYFUNCTION("""COMPUTED_VALUE"""),0.0)</f>
        <v>0</v>
      </c>
      <c r="T28" s="54">
        <f>IFERROR(__xludf.DUMMYFUNCTION("""COMPUTED_VALUE"""),7000.0)</f>
        <v>7000</v>
      </c>
      <c r="U28" s="54">
        <f>IFERROR(__xludf.DUMMYFUNCTION("""COMPUTED_VALUE"""),0.0)</f>
        <v>0</v>
      </c>
      <c r="V28" s="54">
        <f>IFERROR(__xludf.DUMMYFUNCTION("""COMPUTED_VALUE"""),7000.0)</f>
        <v>7000</v>
      </c>
      <c r="W28" s="56" t="str">
        <f>IFERROR(__xludf.DUMMYFUNCTION("""COMPUTED_VALUE"""),"DTAF")</f>
        <v>DTAF</v>
      </c>
      <c r="X28" s="57" t="str">
        <f>IFERROR(__xludf.DUMMYFUNCTION("""COMPUTED_VALUE"""),"Jhon Jairo Restrepo")</f>
        <v>Jhon Jairo Restrepo</v>
      </c>
      <c r="Y28" s="47" t="str">
        <f>IFERROR(__xludf.DUMMYFUNCTION("""COMPUTED_VALUE"""),"Director Jhon Jairo Restrepo")</f>
        <v>Director Jhon Jairo Restrepo</v>
      </c>
      <c r="Z28" s="57" t="str">
        <f>IFERROR(__xludf.DUMMYFUNCTION("""COMPUTED_VALUE"""),"jhon.restrepo@aunap.gov.co")</f>
        <v>jhon.restrepo@aunap.gov.co</v>
      </c>
      <c r="AA28" s="47" t="str">
        <f>IFERROR(__xludf.DUMMYFUNCTION("""COMPUTED_VALUE"""),"Humano, físico, financiero, tecnológico")</f>
        <v>Humano, físico, financiero, tecnológico</v>
      </c>
      <c r="AB28" s="47" t="str">
        <f>IFERROR(__xludf.DUMMYFUNCTION("""COMPUTED_VALUE"""),"No asociado")</f>
        <v>No asociado</v>
      </c>
      <c r="AC28" s="47" t="str">
        <f>IFERROR(__xludf.DUMMYFUNCTION("""COMPUTED_VALUE"""),"Propiciar la formalización de la pesca y la acuicultura")</f>
        <v>Propiciar la formalización de la pesca y la acuicultura</v>
      </c>
      <c r="AD28" s="47" t="str">
        <f>IFERROR(__xludf.DUMMYFUNCTION("""COMPUTED_VALUE"""),"Gestión con valores para resultados")</f>
        <v>Gestión con valores para resultados</v>
      </c>
      <c r="AE28" s="47" t="str">
        <f>IFERROR(__xludf.DUMMYFUNCTION("""COMPUTED_VALUE"""),"Fortalecimiento Organizacional y Simplificación de Procesos")</f>
        <v>Fortalecimiento Organizacional y Simplificación de Procesos</v>
      </c>
      <c r="AF28" s="47" t="str">
        <f>IFERROR(__xludf.DUMMYFUNCTION("""COMPUTED_VALUE"""),"12. Producción y consumo responsable")</f>
        <v>12. Producción y consumo responsable</v>
      </c>
      <c r="AG28" s="58">
        <f>IFERROR(__xludf.DUMMYFUNCTION("""COMPUTED_VALUE"""),9999.0)</f>
        <v>9999</v>
      </c>
      <c r="AH28" s="59" t="str">
        <f>IFERROR(__xludf.DUMMYFUNCTION("""COMPUTED_VALUE"""),"Se realizarón para el segundo semestre de 2021 9.999 tramites ")</f>
        <v>Se realizarón para el segundo semestre de 2021 9.999 tramites </v>
      </c>
      <c r="AI28" s="81" t="str">
        <f>IFERROR(__xludf.DUMMYFUNCTION("""COMPUTED_VALUE"""),"https://drive.google.com/drive/folders/1BRXckC8rqYQ95sJQ8CN3-rZdf2uHPFJO")</f>
        <v>https://drive.google.com/drive/folders/1BRXckC8rqYQ95sJQ8CN3-rZdf2uHPFJO</v>
      </c>
      <c r="AJ28" s="59">
        <f>IFERROR(__xludf.DUMMYFUNCTION("""COMPUTED_VALUE"""),19990.0)</f>
        <v>19990</v>
      </c>
      <c r="AK28" s="59" t="str">
        <f>IFERROR(__xludf.DUMMYFUNCTION("""COMPUTED_VALUE"""),"Se realizarón para el 2021 total de 19.999 tramites ")</f>
        <v>Se realizarón para el 2021 total de 19.999 tramites </v>
      </c>
      <c r="AL28" s="59">
        <f>IFERROR(__xludf.DUMMYFUNCTION("""COMPUTED_VALUE"""),44582.0)</f>
        <v>44582</v>
      </c>
      <c r="AM28" s="60"/>
      <c r="AN28" s="61" t="str">
        <f>IFERROR(IF((AO28+1)&lt;2,Alertas!$B$2&amp;TEXT(AO28,"0%")&amp;Alertas!$D$2, IF((AO28+1)=2,Alertas!$B$3,IF((AO28+1)&gt;2,Alertas!$B$4&amp;TEXT(AO28,"0%")&amp;Alertas!$D$4,AO28+1))),"Sin meta para el segundo trimestre")</f>
        <v>La ejecución de la meta registrada se encuentra por encima de la meta programada en la formulación del plan de acción para el segundo trimestre, su porcentaje de cumplimiento es 143%,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28" s="62">
        <f t="shared" si="2"/>
        <v>1.428428571</v>
      </c>
      <c r="AP28" s="61" t="str">
        <f t="shared" si="3"/>
        <v>La ejecución de la meta registrada se encuentra por encima de la meta programada en la formulación del plan de acción para el segundo trimestre, su porcentaje de cumplimiento es 143%,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28" s="63"/>
      <c r="AR28" s="64"/>
      <c r="AS28" s="65"/>
      <c r="AT28" s="65"/>
      <c r="AU28" s="66"/>
      <c r="AV28" s="67"/>
      <c r="AW28" s="68"/>
      <c r="AX28" s="63"/>
      <c r="AY28" s="64"/>
      <c r="AZ28" s="69"/>
      <c r="BA28" s="65"/>
      <c r="BB28" s="70"/>
      <c r="BC28" s="71"/>
      <c r="BD28" s="72"/>
      <c r="BE28" s="73"/>
      <c r="BF28" s="64"/>
      <c r="BG28" s="69"/>
      <c r="BH28" s="65"/>
      <c r="BI28" s="66"/>
      <c r="BJ28" s="71"/>
      <c r="BK28" s="72"/>
      <c r="BL28" s="74"/>
      <c r="BN28" s="5" t="str">
        <f t="shared" si="23"/>
        <v>1</v>
      </c>
      <c r="BP28" s="5"/>
    </row>
    <row r="29" ht="37.5" customHeight="1">
      <c r="A29" s="45"/>
      <c r="B29" s="46">
        <f>IFERROR(__xludf.DUMMYFUNCTION("""COMPUTED_VALUE"""),24.0)</f>
        <v>24</v>
      </c>
      <c r="C29" s="47" t="str">
        <f>IFERROR(__xludf.DUMMYFUNCTION("""COMPUTED_VALUE"""),"Gestión de la administración y fomento")</f>
        <v>Gestión de la administración y fomento</v>
      </c>
      <c r="D29" s="48" t="str">
        <f>IFERROR(__xludf.DUMMYFUNCTION("""COMPUTED_VALUE"""),"Dirección Técnica de Administración y Fomento")</f>
        <v>Dirección Técnica de Administración y Fomento</v>
      </c>
      <c r="E29" s="48" t="str">
        <f>IFERROR(__xludf.DUMMYFUNCTION("""COMPUTED_VALUE"""),"Fortalecimiento de la sostenibilidad del sector pesquero y de la acuicultura en el territorio nacional")</f>
        <v>Fortalecimiento de la sostenibilidad del sector pesquero y de la acuicultura en el territorio nacional</v>
      </c>
      <c r="F29" s="49">
        <f>IFERROR(__xludf.DUMMYFUNCTION("""COMPUTED_VALUE"""),2.01901100028E12)</f>
        <v>2019011000280</v>
      </c>
      <c r="G29" s="50" t="str">
        <f>IFERROR(__xludf.DUMMYFUNCTION("""COMPUTED_VALUE"""),"Sostenibilidad")</f>
        <v>Sostenibilidad</v>
      </c>
      <c r="H29" s="48" t="str">
        <f>IFERROR(__xludf.DUMMYFUNCTION("""COMPUTED_VALUE"""),"Mejorar la explotación de los recursos pesqueros y de la acuicultura.")</f>
        <v>Mejorar la explotación de los recursos pesqueros y de la acuicultura.</v>
      </c>
      <c r="I29" s="48" t="str">
        <f>IFERROR(__xludf.DUMMYFUNCTION("""COMPUTED_VALUE"""),"Servicio de ordenación pesquera y de la acuicultura")</f>
        <v>Servicio de ordenación pesquera y de la acuicultura</v>
      </c>
      <c r="J29" s="48" t="str">
        <f>IFERROR(__xludf.DUMMYFUNCTION("""COMPUTED_VALUE"""),"Generar acuerdos de ordenación de la actividad pesquera y de la acuicultura.")</f>
        <v>Generar acuerdos de ordenación de la actividad pesquera y de la acuicultura.</v>
      </c>
      <c r="K29" s="51" t="str">
        <f>IFERROR(__xludf.DUMMYFUNCTION("""COMPUTED_VALUE"""),"Producto")</f>
        <v>Producto</v>
      </c>
      <c r="L29" s="51" t="str">
        <f>IFERROR(__xludf.DUMMYFUNCTION("""COMPUTED_VALUE"""),"Eficacia")</f>
        <v>Eficacia</v>
      </c>
      <c r="M29" s="51" t="str">
        <f>IFERROR(__xludf.DUMMYFUNCTION("""COMPUTED_VALUE"""),"Número")</f>
        <v>Número</v>
      </c>
      <c r="N29" s="52" t="str">
        <f>IFERROR(__xludf.DUMMYFUNCTION("""COMPUTED_VALUE"""),"Acuerdos de ordenacion atendidos")</f>
        <v>Acuerdos de ordenacion atendidos</v>
      </c>
      <c r="O29" s="53">
        <f>IFERROR(__xludf.DUMMYFUNCTION("""COMPUTED_VALUE"""),-3.0)</f>
        <v>-3</v>
      </c>
      <c r="P29" s="54">
        <f>IFERROR(__xludf.DUMMYFUNCTION("""COMPUTED_VALUE"""),4.0)</f>
        <v>4</v>
      </c>
      <c r="Q29" s="55" t="str">
        <f>IFERROR(__xludf.DUMMYFUNCTION("""COMPUTED_VALUE"""),"Generar acuerdos de ordenación de la actividad pesquera y de la acuicultura.")</f>
        <v>Generar acuerdos de ordenación de la actividad pesquera y de la acuicultura.</v>
      </c>
      <c r="R29" s="14" t="str">
        <f>IFERROR(__xludf.DUMMYFUNCTION("""COMPUTED_VALUE"""),"Semestral")</f>
        <v>Semestral</v>
      </c>
      <c r="S29" s="54">
        <f>IFERROR(__xludf.DUMMYFUNCTION("""COMPUTED_VALUE"""),0.0)</f>
        <v>0</v>
      </c>
      <c r="T29" s="54">
        <f>IFERROR(__xludf.DUMMYFUNCTION("""COMPUTED_VALUE"""),1.0)</f>
        <v>1</v>
      </c>
      <c r="U29" s="54">
        <f>IFERROR(__xludf.DUMMYFUNCTION("""COMPUTED_VALUE"""),0.0)</f>
        <v>0</v>
      </c>
      <c r="V29" s="54">
        <f>IFERROR(__xludf.DUMMYFUNCTION("""COMPUTED_VALUE"""),3.0)</f>
        <v>3</v>
      </c>
      <c r="W29" s="56" t="str">
        <f>IFERROR(__xludf.DUMMYFUNCTION("""COMPUTED_VALUE"""),"DTAF")</f>
        <v>DTAF</v>
      </c>
      <c r="X29" s="57" t="str">
        <f>IFERROR(__xludf.DUMMYFUNCTION("""COMPUTED_VALUE"""),"Jhon Jairo Restrepo")</f>
        <v>Jhon Jairo Restrepo</v>
      </c>
      <c r="Y29" s="47" t="str">
        <f>IFERROR(__xludf.DUMMYFUNCTION("""COMPUTED_VALUE"""),"Director Jhon Jairo Restrepo")</f>
        <v>Director Jhon Jairo Restrepo</v>
      </c>
      <c r="Z29" s="57" t="str">
        <f>IFERROR(__xludf.DUMMYFUNCTION("""COMPUTED_VALUE"""),"jhon.restrepo@aunap.gov.co")</f>
        <v>jhon.restrepo@aunap.gov.co</v>
      </c>
      <c r="AA29" s="47" t="str">
        <f>IFERROR(__xludf.DUMMYFUNCTION("""COMPUTED_VALUE"""),"Humano, físico, financiero, tecnológico")</f>
        <v>Humano, físico, financiero, tecnológico</v>
      </c>
      <c r="AB29" s="47" t="str">
        <f>IFERROR(__xludf.DUMMYFUNCTION("""COMPUTED_VALUE"""),"No asociado")</f>
        <v>No asociado</v>
      </c>
      <c r="AC29" s="47" t="str">
        <f>IFERROR(__xludf.DUMMYFUNCTION("""COMPUTED_VALUE"""),"Propiciar la formalización de la pesca y la acuicultura")</f>
        <v>Propiciar la formalización de la pesca y la acuicultura</v>
      </c>
      <c r="AD29" s="47" t="str">
        <f>IFERROR(__xludf.DUMMYFUNCTION("""COMPUTED_VALUE"""),"Gestión con valores para resultados")</f>
        <v>Gestión con valores para resultados</v>
      </c>
      <c r="AE29" s="47" t="str">
        <f>IFERROR(__xludf.DUMMYFUNCTION("""COMPUTED_VALUE"""),"Fortalecimiento Organizacional y Simplificación de Procesos")</f>
        <v>Fortalecimiento Organizacional y Simplificación de Procesos</v>
      </c>
      <c r="AF29" s="47" t="str">
        <f>IFERROR(__xludf.DUMMYFUNCTION("""COMPUTED_VALUE"""),"12. Producción y consumo responsable")</f>
        <v>12. Producción y consumo responsable</v>
      </c>
      <c r="AG29" s="58">
        <f>IFERROR(__xludf.DUMMYFUNCTION("""COMPUTED_VALUE"""),3.0)</f>
        <v>3</v>
      </c>
      <c r="AH29" s="59" t="str">
        <f>IFERROR(__xludf.DUMMYFUNCTION("""COMPUTED_VALUE"""),"Se generaron 3 acuerdos de ordenación de la actividad pesquera y de la acuicultura.")</f>
        <v>Se generaron 3 acuerdos de ordenación de la actividad pesquera y de la acuicultura.</v>
      </c>
      <c r="AI29" s="77" t="str">
        <f>IFERROR(__xludf.DUMMYFUNCTION("""COMPUTED_VALUE"""),"https://drive.google.com/drive/folders/1PStr2um-m1jzamDv_NjyLBhgiQLZPv1r")</f>
        <v>https://drive.google.com/drive/folders/1PStr2um-m1jzamDv_NjyLBhgiQLZPv1r</v>
      </c>
      <c r="AJ29" s="59">
        <f>IFERROR(__xludf.DUMMYFUNCTION("""COMPUTED_VALUE"""),4.0)</f>
        <v>4</v>
      </c>
      <c r="AK29" s="59" t="str">
        <f>IFERROR(__xludf.DUMMYFUNCTION("""COMPUTED_VALUE"""),"Se generarón 4 acuerdos de ordenación de la actividad pesquera y de la acuicultura.")</f>
        <v>Se generarón 4 acuerdos de ordenación de la actividad pesquera y de la acuicultura.</v>
      </c>
      <c r="AL29" s="59">
        <f>IFERROR(__xludf.DUMMYFUNCTION("""COMPUTED_VALUE"""),44582.0)</f>
        <v>44582</v>
      </c>
      <c r="AM29" s="60"/>
      <c r="AN29" s="61" t="str">
        <f>IFERROR(IF((AO29+1)&lt;2,Alertas!$B$2&amp;TEXT(AO29,"0%")&amp;Alertas!$D$2, IF((AO29+1)=2,Alertas!$B$3,IF((AO29+1)&gt;2,Alertas!$B$4&amp;TEXT(AO29,"0%")&amp;Alertas!$D$4,AO29+1))),"Sin meta para el segundo trimestre")</f>
        <v>La ejecución de la meta registrada se encuentra por encima de la meta programada en la formulación del plan de acción para el segundo trimestre, su porcentaje de cumplimiento es 300%,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29" s="62">
        <f t="shared" si="2"/>
        <v>3</v>
      </c>
      <c r="AP29" s="61" t="str">
        <f t="shared" si="3"/>
        <v>La ejecución de la meta registrada se encuentra por encima de la meta programada en la formulación del plan de acción para el segundo trimestre, su porcentaje de cumplimiento es 300%,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29" s="63"/>
      <c r="AR29" s="64"/>
      <c r="AS29" s="65"/>
      <c r="AT29" s="65"/>
      <c r="AU29" s="66"/>
      <c r="AV29" s="67"/>
      <c r="AW29" s="68"/>
      <c r="AX29" s="63"/>
      <c r="AY29" s="64"/>
      <c r="AZ29" s="69"/>
      <c r="BA29" s="65"/>
      <c r="BB29" s="70"/>
      <c r="BC29" s="71"/>
      <c r="BD29" s="72"/>
      <c r="BE29" s="73"/>
      <c r="BF29" s="64"/>
      <c r="BG29" s="69"/>
      <c r="BH29" s="65"/>
      <c r="BI29" s="66"/>
      <c r="BJ29" s="71"/>
      <c r="BK29" s="72"/>
      <c r="BL29" s="74"/>
      <c r="BN29" s="5" t="str">
        <f t="shared" si="23"/>
        <v>1</v>
      </c>
      <c r="BP29" s="5"/>
    </row>
    <row r="30" ht="37.5" customHeight="1">
      <c r="A30" s="45"/>
      <c r="B30" s="46">
        <f>IFERROR(__xludf.DUMMYFUNCTION("""COMPUTED_VALUE"""),25.0)</f>
        <v>25</v>
      </c>
      <c r="C30" s="47" t="str">
        <f>IFERROR(__xludf.DUMMYFUNCTION("""COMPUTED_VALUE"""),"Gestión de la administración y fomento")</f>
        <v>Gestión de la administración y fomento</v>
      </c>
      <c r="D30" s="48" t="str">
        <f>IFERROR(__xludf.DUMMYFUNCTION("""COMPUTED_VALUE"""),"Dirección Técnica de Administración y Fomento")</f>
        <v>Dirección Técnica de Administración y Fomento</v>
      </c>
      <c r="E30" s="48" t="str">
        <f>IFERROR(__xludf.DUMMYFUNCTION("""COMPUTED_VALUE"""),"Fortalecimiento de la sostenibilidad del sector pesquero y de la acuicultura en el territorio nacional")</f>
        <v>Fortalecimiento de la sostenibilidad del sector pesquero y de la acuicultura en el territorio nacional</v>
      </c>
      <c r="F30" s="49">
        <f>IFERROR(__xludf.DUMMYFUNCTION("""COMPUTED_VALUE"""),2.01901100028E12)</f>
        <v>2019011000280</v>
      </c>
      <c r="G30" s="50" t="str">
        <f>IFERROR(__xludf.DUMMYFUNCTION("""COMPUTED_VALUE"""),"Sostenibilidad")</f>
        <v>Sostenibilidad</v>
      </c>
      <c r="H30" s="48" t="str">
        <f>IFERROR(__xludf.DUMMYFUNCTION("""COMPUTED_VALUE"""),"Mejorar las prácticas de pesca y de acuicultura.")</f>
        <v>Mejorar las prácticas de pesca y de acuicultura.</v>
      </c>
      <c r="I30" s="48" t="str">
        <f>IFERROR(__xludf.DUMMYFUNCTION("""COMPUTED_VALUE"""),"Servicios de apoyo al fomento de la pesca y la acuicultura")</f>
        <v>Servicios de apoyo al fomento de la pesca y la acuicultura</v>
      </c>
      <c r="J30" s="48" t="str">
        <f>IFERROR(__xludf.DUMMYFUNCTION("""COMPUTED_VALUE"""),"Generar acciones de fomento para la pesca, la acuicultura y sus actividades conexas.")</f>
        <v>Generar acciones de fomento para la pesca, la acuicultura y sus actividades conexas.</v>
      </c>
      <c r="K30" s="51" t="str">
        <f>IFERROR(__xludf.DUMMYFUNCTION("""COMPUTED_VALUE"""),"Producto")</f>
        <v>Producto</v>
      </c>
      <c r="L30" s="51" t="str">
        <f>IFERROR(__xludf.DUMMYFUNCTION("""COMPUTED_VALUE"""),"Eficacia")</f>
        <v>Eficacia</v>
      </c>
      <c r="M30" s="51" t="str">
        <f>IFERROR(__xludf.DUMMYFUNCTION("""COMPUTED_VALUE"""),"Número")</f>
        <v>Número</v>
      </c>
      <c r="N30" s="52" t="str">
        <f>IFERROR(__xludf.DUMMYFUNCTION("""COMPUTED_VALUE"""),"Organizaciones atendidas")</f>
        <v>Organizaciones atendidas</v>
      </c>
      <c r="O30" s="53">
        <f>IFERROR(__xludf.DUMMYFUNCTION("""COMPUTED_VALUE"""),-61.0)</f>
        <v>-61</v>
      </c>
      <c r="P30" s="54">
        <f>IFERROR(__xludf.DUMMYFUNCTION("""COMPUTED_VALUE"""),200.0)</f>
        <v>200</v>
      </c>
      <c r="Q30" s="55" t="str">
        <f>IFERROR(__xludf.DUMMYFUNCTION("""COMPUTED_VALUE"""),"Apoyar a asociaciones con acciones de fomento de la pesca y la acuicultura en el territorio nacional")</f>
        <v>Apoyar a asociaciones con acciones de fomento de la pesca y la acuicultura en el territorio nacional</v>
      </c>
      <c r="R30" s="14" t="str">
        <f>IFERROR(__xludf.DUMMYFUNCTION("""COMPUTED_VALUE"""),"Anual")</f>
        <v>Anual</v>
      </c>
      <c r="S30" s="54">
        <f>IFERROR(__xludf.DUMMYFUNCTION("""COMPUTED_VALUE"""),0.0)</f>
        <v>0</v>
      </c>
      <c r="T30" s="54">
        <f>IFERROR(__xludf.DUMMYFUNCTION("""COMPUTED_VALUE"""),0.0)</f>
        <v>0</v>
      </c>
      <c r="U30" s="54">
        <f>IFERROR(__xludf.DUMMYFUNCTION("""COMPUTED_VALUE"""),0.0)</f>
        <v>0</v>
      </c>
      <c r="V30" s="54">
        <f>IFERROR(__xludf.DUMMYFUNCTION("""COMPUTED_VALUE"""),200.0)</f>
        <v>200</v>
      </c>
      <c r="W30" s="56" t="str">
        <f>IFERROR(__xludf.DUMMYFUNCTION("""COMPUTED_VALUE"""),"DTAF")</f>
        <v>DTAF</v>
      </c>
      <c r="X30" s="57" t="str">
        <f>IFERROR(__xludf.DUMMYFUNCTION("""COMPUTED_VALUE"""),"Jhon Jairo Restrepo")</f>
        <v>Jhon Jairo Restrepo</v>
      </c>
      <c r="Y30" s="47" t="str">
        <f>IFERROR(__xludf.DUMMYFUNCTION("""COMPUTED_VALUE"""),"Director Jhon Jairo Restrepo")</f>
        <v>Director Jhon Jairo Restrepo</v>
      </c>
      <c r="Z30" s="57" t="str">
        <f>IFERROR(__xludf.DUMMYFUNCTION("""COMPUTED_VALUE"""),"jhon.restrepo@aunap.gov.co")</f>
        <v>jhon.restrepo@aunap.gov.co</v>
      </c>
      <c r="AA30" s="47" t="str">
        <f>IFERROR(__xludf.DUMMYFUNCTION("""COMPUTED_VALUE"""),"Humano, físico, financiero, tecnológico")</f>
        <v>Humano, físico, financiero, tecnológico</v>
      </c>
      <c r="AB30" s="47" t="str">
        <f>IFERROR(__xludf.DUMMYFUNCTION("""COMPUTED_VALUE"""),"No asociado")</f>
        <v>No asociado</v>
      </c>
      <c r="AC30" s="47" t="str">
        <f>IFERROR(__xludf.DUMMYFUNCTION("""COMPUTED_VALUE"""),"Propiciar la formalización de la pesca y la acuicultura")</f>
        <v>Propiciar la formalización de la pesca y la acuicultura</v>
      </c>
      <c r="AD30" s="47" t="str">
        <f>IFERROR(__xludf.DUMMYFUNCTION("""COMPUTED_VALUE"""),"Gestión con valores para resultados")</f>
        <v>Gestión con valores para resultados</v>
      </c>
      <c r="AE30" s="47" t="str">
        <f>IFERROR(__xludf.DUMMYFUNCTION("""COMPUTED_VALUE"""),"Fortalecimiento Organizacional y Simplificación de Procesos")</f>
        <v>Fortalecimiento Organizacional y Simplificación de Procesos</v>
      </c>
      <c r="AF30" s="47" t="str">
        <f>IFERROR(__xludf.DUMMYFUNCTION("""COMPUTED_VALUE"""),"12. Producción y consumo responsable")</f>
        <v>12. Producción y consumo responsable</v>
      </c>
      <c r="AG30" s="58">
        <f>IFERROR(__xludf.DUMMYFUNCTION("""COMPUTED_VALUE"""),201.0)</f>
        <v>201</v>
      </c>
      <c r="AH30" s="59" t="str">
        <f>IFERROR(__xludf.DUMMYFUNCTION("""COMPUTED_VALUE"""),"Apoyar a asociaciones con acciones de fomento de la pesca y la acuicultura en el territorio nacional")</f>
        <v>Apoyar a asociaciones con acciones de fomento de la pesca y la acuicultura en el territorio nacional</v>
      </c>
      <c r="AI30" s="77" t="str">
        <f>IFERROR(__xludf.DUMMYFUNCTION("""COMPUTED_VALUE"""),"https://drive.google.com/drive/folders/1NNNX-YQbHWOmeJbBv7hvIDPS-GOU2BEH")</f>
        <v>https://drive.google.com/drive/folders/1NNNX-YQbHWOmeJbBv7hvIDPS-GOU2BEH</v>
      </c>
      <c r="AJ30" s="59">
        <f>IFERROR(__xludf.DUMMYFUNCTION("""COMPUTED_VALUE"""),201.0)</f>
        <v>201</v>
      </c>
      <c r="AK30" s="59" t="str">
        <f>IFERROR(__xludf.DUMMYFUNCTION("""COMPUTED_VALUE"""),"Apoyar a asociaciones con acciones de fomento de la pesca y la acuicultura en el territorio nacional")</f>
        <v>Apoyar a asociaciones con acciones de fomento de la pesca y la acuicultura en el territorio nacional</v>
      </c>
      <c r="AL30" s="59">
        <f>IFERROR(__xludf.DUMMYFUNCTION("""COMPUTED_VALUE"""),44582.0)</f>
        <v>44582</v>
      </c>
      <c r="AM30" s="60"/>
      <c r="AN30" s="61" t="str">
        <f>IFERROR(IF((AO30+1)&lt;2,Alertas!$B$2&amp;TEXT(AO30,"0%")&amp;Alertas!$D$2, IF((AO30+1)=2,Alertas!$B$3,IF((AO30+1)&gt;2,Alertas!$B$4&amp;TEXT(AO30,"0%")&amp;Alertas!$D$4,AO30+1))),"Sin meta para el segundo trimestre")</f>
        <v>La ejecución de la meta registrada se encuentra por encima de la meta programada en la formulación del plan de acción para el segundo trimestre, su porcentaje de cumplimiento es 20200%,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30" s="62">
        <f t="shared" si="2"/>
        <v>202</v>
      </c>
      <c r="AP30" s="61" t="str">
        <f t="shared" si="3"/>
        <v>La ejecución de la meta registrada se encuentra por encima de la meta programada en la formulación del plan de acción para el segundo trimestre, su porcentaje de cumplimiento es 20200%,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30" s="63"/>
      <c r="AR30" s="64"/>
      <c r="AS30" s="65"/>
      <c r="AT30" s="65"/>
      <c r="AU30" s="66"/>
      <c r="AV30" s="67"/>
      <c r="AW30" s="68"/>
      <c r="AX30" s="63"/>
      <c r="AY30" s="64"/>
      <c r="AZ30" s="69"/>
      <c r="BA30" s="65"/>
      <c r="BB30" s="70"/>
      <c r="BC30" s="71"/>
      <c r="BD30" s="72"/>
      <c r="BE30" s="73"/>
      <c r="BF30" s="64"/>
      <c r="BG30" s="69"/>
      <c r="BH30" s="65"/>
      <c r="BI30" s="66"/>
      <c r="BJ30" s="71"/>
      <c r="BK30" s="72"/>
      <c r="BL30" s="74"/>
      <c r="BN30" s="5" t="str">
        <f t="shared" si="23"/>
        <v>1</v>
      </c>
      <c r="BP30" s="5"/>
    </row>
    <row r="31" ht="37.5" customHeight="1">
      <c r="A31" s="45"/>
      <c r="B31" s="46">
        <f>IFERROR(__xludf.DUMMYFUNCTION("""COMPUTED_VALUE"""),26.0)</f>
        <v>26</v>
      </c>
      <c r="C31" s="47" t="str">
        <f>IFERROR(__xludf.DUMMYFUNCTION("""COMPUTED_VALUE"""),"Gestión de la administración y fomento")</f>
        <v>Gestión de la administración y fomento</v>
      </c>
      <c r="D31" s="48" t="str">
        <f>IFERROR(__xludf.DUMMYFUNCTION("""COMPUTED_VALUE"""),"Dirección Técnica de Administración y Fomento")</f>
        <v>Dirección Técnica de Administración y Fomento</v>
      </c>
      <c r="E31" s="48" t="str">
        <f>IFERROR(__xludf.DUMMYFUNCTION("""COMPUTED_VALUE"""),"Fortalecimiento de la sostenibilidad del sector pesquero y de la acuicultura en el territorio nacional")</f>
        <v>Fortalecimiento de la sostenibilidad del sector pesquero y de la acuicultura en el territorio nacional</v>
      </c>
      <c r="F31" s="49">
        <f>IFERROR(__xludf.DUMMYFUNCTION("""COMPUTED_VALUE"""),2.01901100028E12)</f>
        <v>2019011000280</v>
      </c>
      <c r="G31" s="50" t="str">
        <f>IFERROR(__xludf.DUMMYFUNCTION("""COMPUTED_VALUE"""),"Sostenibilidad")</f>
        <v>Sostenibilidad</v>
      </c>
      <c r="H31" s="48" t="str">
        <f>IFERROR(__xludf.DUMMYFUNCTION("""COMPUTED_VALUE"""),"Mejorar las prácticas de pesca y de acuicultura.")</f>
        <v>Mejorar las prácticas de pesca y de acuicultura.</v>
      </c>
      <c r="I31" s="48" t="str">
        <f>IFERROR(__xludf.DUMMYFUNCTION("""COMPUTED_VALUE"""),"1-Servicios de apoyo a las estaciones de acuicultura")</f>
        <v>1-Servicios de apoyo a las estaciones de acuicultura</v>
      </c>
      <c r="J31" s="48" t="str">
        <f>IFERROR(__xludf.DUMMYFUNCTION("""COMPUTED_VALUE"""),"Producir alevinos para el sector productivo y/o con fines de repoblamiento.")</f>
        <v>Producir alevinos para el sector productivo y/o con fines de repoblamiento.</v>
      </c>
      <c r="K31" s="51" t="str">
        <f>IFERROR(__xludf.DUMMYFUNCTION("""COMPUTED_VALUE"""),"Producto")</f>
        <v>Producto</v>
      </c>
      <c r="L31" s="51" t="str">
        <f>IFERROR(__xludf.DUMMYFUNCTION("""COMPUTED_VALUE"""),"Eficacia")</f>
        <v>Eficacia</v>
      </c>
      <c r="M31" s="51" t="str">
        <f>IFERROR(__xludf.DUMMYFUNCTION("""COMPUTED_VALUE"""),"Número")</f>
        <v>Número</v>
      </c>
      <c r="N31" s="52" t="str">
        <f>IFERROR(__xludf.DUMMYFUNCTION("""COMPUTED_VALUE"""),"Estaciones de acuicultura apoyadas")</f>
        <v>Estaciones de acuicultura apoyadas</v>
      </c>
      <c r="O31" s="53">
        <f>IFERROR(__xludf.DUMMYFUNCTION("""COMPUTED_VALUE"""),-1.0)</f>
        <v>-1</v>
      </c>
      <c r="P31" s="54">
        <f>IFERROR(__xludf.DUMMYFUNCTION("""COMPUTED_VALUE"""),3.0)</f>
        <v>3</v>
      </c>
      <c r="Q31" s="55" t="str">
        <f>IFERROR(__xludf.DUMMYFUNCTION("""COMPUTED_VALUE"""),"Apoyar a tres estaciones de acuicultura
")</f>
        <v>Apoyar a tres estaciones de acuicultura
</v>
      </c>
      <c r="R31" s="14" t="str">
        <f>IFERROR(__xludf.DUMMYFUNCTION("""COMPUTED_VALUE"""),"Anual")</f>
        <v>Anual</v>
      </c>
      <c r="S31" s="54">
        <f>IFERROR(__xludf.DUMMYFUNCTION("""COMPUTED_VALUE"""),0.0)</f>
        <v>0</v>
      </c>
      <c r="T31" s="54">
        <f>IFERROR(__xludf.DUMMYFUNCTION("""COMPUTED_VALUE"""),0.0)</f>
        <v>0</v>
      </c>
      <c r="U31" s="54">
        <f>IFERROR(__xludf.DUMMYFUNCTION("""COMPUTED_VALUE"""),0.0)</f>
        <v>0</v>
      </c>
      <c r="V31" s="54">
        <f>IFERROR(__xludf.DUMMYFUNCTION("""COMPUTED_VALUE"""),3.0)</f>
        <v>3</v>
      </c>
      <c r="W31" s="56" t="str">
        <f>IFERROR(__xludf.DUMMYFUNCTION("""COMPUTED_VALUE"""),"DTAF")</f>
        <v>DTAF</v>
      </c>
      <c r="X31" s="57" t="str">
        <f>IFERROR(__xludf.DUMMYFUNCTION("""COMPUTED_VALUE"""),"Jhon Jairo Restrepo")</f>
        <v>Jhon Jairo Restrepo</v>
      </c>
      <c r="Y31" s="47" t="str">
        <f>IFERROR(__xludf.DUMMYFUNCTION("""COMPUTED_VALUE"""),"Director Jhon Jairo Restrepo")</f>
        <v>Director Jhon Jairo Restrepo</v>
      </c>
      <c r="Z31" s="57" t="str">
        <f>IFERROR(__xludf.DUMMYFUNCTION("""COMPUTED_VALUE"""),"jhon.restrepo@aunap.gov.co")</f>
        <v>jhon.restrepo@aunap.gov.co</v>
      </c>
      <c r="AA31" s="47" t="str">
        <f>IFERROR(__xludf.DUMMYFUNCTION("""COMPUTED_VALUE"""),"Humano, físico, financiero, tecnológico")</f>
        <v>Humano, físico, financiero, tecnológico</v>
      </c>
      <c r="AB31" s="47" t="str">
        <f>IFERROR(__xludf.DUMMYFUNCTION("""COMPUTED_VALUE"""),"No asociado")</f>
        <v>No asociado</v>
      </c>
      <c r="AC31" s="47" t="str">
        <f>IFERROR(__xludf.DUMMYFUNCTION("""COMPUTED_VALUE"""),"Propiciar la formalización de la pesca y la acuicultura")</f>
        <v>Propiciar la formalización de la pesca y la acuicultura</v>
      </c>
      <c r="AD31" s="47" t="str">
        <f>IFERROR(__xludf.DUMMYFUNCTION("""COMPUTED_VALUE"""),"Gestión con valores para resultados")</f>
        <v>Gestión con valores para resultados</v>
      </c>
      <c r="AE31" s="47" t="str">
        <f>IFERROR(__xludf.DUMMYFUNCTION("""COMPUTED_VALUE"""),"Fortalecimiento Organizacional y Simplificación de Procesos")</f>
        <v>Fortalecimiento Organizacional y Simplificación de Procesos</v>
      </c>
      <c r="AF31" s="47" t="str">
        <f>IFERROR(__xludf.DUMMYFUNCTION("""COMPUTED_VALUE"""),"12. Producción y consumo responsable")</f>
        <v>12. Producción y consumo responsable</v>
      </c>
      <c r="AG31" s="58">
        <f>IFERROR(__xludf.DUMMYFUNCTION("""COMPUTED_VALUE"""),3.0)</f>
        <v>3</v>
      </c>
      <c r="AH31" s="59" t="str">
        <f>IFERROR(__xludf.DUMMYFUNCTION("""COMPUTED_VALUE"""),"Se apoyaron a las tres estaciones ")</f>
        <v>Se apoyaron a las tres estaciones </v>
      </c>
      <c r="AI31" s="77" t="str">
        <f>IFERROR(__xludf.DUMMYFUNCTION("""COMPUTED_VALUE"""),"https://drive.google.com/drive/folders/1eduQ0x8rjQ3A2_hiMgMfkxbEq-PIMtO8")</f>
        <v>https://drive.google.com/drive/folders/1eduQ0x8rjQ3A2_hiMgMfkxbEq-PIMtO8</v>
      </c>
      <c r="AJ31" s="59">
        <f>IFERROR(__xludf.DUMMYFUNCTION("""COMPUTED_VALUE"""),3.0)</f>
        <v>3</v>
      </c>
      <c r="AK31" s="59" t="str">
        <f>IFERROR(__xludf.DUMMYFUNCTION("""COMPUTED_VALUE"""),"Se apoyaron a las tres estaciones ")</f>
        <v>Se apoyaron a las tres estaciones </v>
      </c>
      <c r="AL31" s="59"/>
      <c r="AM31" s="60"/>
      <c r="AN31" s="61" t="str">
        <f>IFERROR(IF((AO31+1)&lt;2,Alertas!$B$2&amp;TEXT(AO31,"0%")&amp;Alertas!$D$2, IF((AO31+1)=2,Alertas!$B$3,IF((AO31+1)&gt;2,Alertas!$B$4&amp;TEXT(AO31,"0%")&amp;Alertas!$D$4,AO31+1))),"Sin meta para el segundo trimestre")</f>
        <v>La ejecución de la meta registrada se encuentra por encima de la meta programada en la formulación del plan de acción para el segundo trimestre, su porcentaje de cumplimiento es 400%,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31" s="62">
        <f t="shared" si="2"/>
        <v>4</v>
      </c>
      <c r="AP31" s="61" t="str">
        <f t="shared" si="3"/>
        <v>La ejecución de la meta registrada se encuentra por encima de la meta programada en la formulación del plan de acción para el segundo trimestre, su porcentaje de cumplimiento es 400%,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31" s="63"/>
      <c r="AR31" s="64"/>
      <c r="AS31" s="65"/>
      <c r="AT31" s="65"/>
      <c r="AU31" s="66"/>
      <c r="AV31" s="67"/>
      <c r="AW31" s="68"/>
      <c r="AX31" s="63"/>
      <c r="AY31" s="64"/>
      <c r="AZ31" s="69"/>
      <c r="BA31" s="65"/>
      <c r="BB31" s="70"/>
      <c r="BC31" s="71"/>
      <c r="BD31" s="72"/>
      <c r="BE31" s="73"/>
      <c r="BF31" s="64"/>
      <c r="BG31" s="69"/>
      <c r="BH31" s="65"/>
      <c r="BI31" s="66"/>
      <c r="BJ31" s="71"/>
      <c r="BK31" s="72"/>
      <c r="BL31" s="74"/>
      <c r="BN31" s="5" t="str">
        <f t="shared" si="23"/>
        <v>1</v>
      </c>
      <c r="BP31" s="5"/>
    </row>
    <row r="32" ht="37.5" customHeight="1">
      <c r="A32" s="45"/>
      <c r="B32" s="46">
        <f>IFERROR(__xludf.DUMMYFUNCTION("""COMPUTED_VALUE"""),27.0)</f>
        <v>27</v>
      </c>
      <c r="C32" s="47" t="str">
        <f>IFERROR(__xludf.DUMMYFUNCTION("""COMPUTED_VALUE"""),"Gestión de la administración y fomento")</f>
        <v>Gestión de la administración y fomento</v>
      </c>
      <c r="D32" s="48" t="str">
        <f>IFERROR(__xludf.DUMMYFUNCTION("""COMPUTED_VALUE"""),"Dirección Técnica de Administración y Fomento")</f>
        <v>Dirección Técnica de Administración y Fomento</v>
      </c>
      <c r="E32" s="48" t="str">
        <f>IFERROR(__xludf.DUMMYFUNCTION("""COMPUTED_VALUE"""),"Fortalecimiento de la sostenibilidad del sector pesquero y de la acuicultura en el territorio nacional")</f>
        <v>Fortalecimiento de la sostenibilidad del sector pesquero y de la acuicultura en el territorio nacional</v>
      </c>
      <c r="F32" s="49">
        <f>IFERROR(__xludf.DUMMYFUNCTION("""COMPUTED_VALUE"""),2.01901100028E12)</f>
        <v>2019011000280</v>
      </c>
      <c r="G32" s="50" t="str">
        <f>IFERROR(__xludf.DUMMYFUNCTION("""COMPUTED_VALUE"""),"Sostenibilidad")</f>
        <v>Sostenibilidad</v>
      </c>
      <c r="H32" s="48" t="str">
        <f>IFERROR(__xludf.DUMMYFUNCTION("""COMPUTED_VALUE"""),"Mejorar las prácticas de pesca y de acuicultura.")</f>
        <v>Mejorar las prácticas de pesca y de acuicultura.</v>
      </c>
      <c r="I32" s="48" t="str">
        <f>IFERROR(__xludf.DUMMYFUNCTION("""COMPUTED_VALUE"""),"1-Servicios de apoyo a las estaciones de acuicultura")</f>
        <v>1-Servicios de apoyo a las estaciones de acuicultura</v>
      </c>
      <c r="J32" s="48" t="str">
        <f>IFERROR(__xludf.DUMMYFUNCTION("""COMPUTED_VALUE"""),"Desarrollar acciones de extensión rural a través de las estaciones de acuicultura")</f>
        <v>Desarrollar acciones de extensión rural a través de las estaciones de acuicultura</v>
      </c>
      <c r="K32" s="51" t="str">
        <f>IFERROR(__xludf.DUMMYFUNCTION("""COMPUTED_VALUE"""),"Gestión")</f>
        <v>Gestión</v>
      </c>
      <c r="L32" s="51" t="str">
        <f>IFERROR(__xludf.DUMMYFUNCTION("""COMPUTED_VALUE"""),"Efectividad")</f>
        <v>Efectividad</v>
      </c>
      <c r="M32" s="51" t="str">
        <f>IFERROR(__xludf.DUMMYFUNCTION("""COMPUTED_VALUE"""),"Número")</f>
        <v>Número</v>
      </c>
      <c r="N32" s="52" t="str">
        <f>IFERROR(__xludf.DUMMYFUNCTION("""COMPUTED_VALUE"""),"Realizar eventos informativas y divulgativos de acuicultura a traves de las estaciones")</f>
        <v>Realizar eventos informativas y divulgativos de acuicultura a traves de las estaciones</v>
      </c>
      <c r="O32" s="53">
        <f>IFERROR(__xludf.DUMMYFUNCTION("""COMPUTED_VALUE"""),15.0)</f>
        <v>15</v>
      </c>
      <c r="P32" s="54">
        <f>IFERROR(__xludf.DUMMYFUNCTION("""COMPUTED_VALUE"""),15.0)</f>
        <v>15</v>
      </c>
      <c r="Q32" s="55" t="str">
        <f>IFERROR(__xludf.DUMMYFUNCTION("""COMPUTED_VALUE"""),"Desarrollar campañas informativas y divulgadas de acciones de acuicultura a traves de las estaciones")</f>
        <v>Desarrollar campañas informativas y divulgadas de acciones de acuicultura a traves de las estaciones</v>
      </c>
      <c r="R32" s="14" t="str">
        <f>IFERROR(__xludf.DUMMYFUNCTION("""COMPUTED_VALUE"""),"Anual")</f>
        <v>Anual</v>
      </c>
      <c r="S32" s="54">
        <f>IFERROR(__xludf.DUMMYFUNCTION("""COMPUTED_VALUE"""),0.0)</f>
        <v>0</v>
      </c>
      <c r="T32" s="54">
        <f>IFERROR(__xludf.DUMMYFUNCTION("""COMPUTED_VALUE"""),0.0)</f>
        <v>0</v>
      </c>
      <c r="U32" s="54">
        <f>IFERROR(__xludf.DUMMYFUNCTION("""COMPUTED_VALUE"""),0.0)</f>
        <v>0</v>
      </c>
      <c r="V32" s="54">
        <f>IFERROR(__xludf.DUMMYFUNCTION("""COMPUTED_VALUE"""),15.0)</f>
        <v>15</v>
      </c>
      <c r="W32" s="56" t="str">
        <f>IFERROR(__xludf.DUMMYFUNCTION("""COMPUTED_VALUE"""),"DTAF")</f>
        <v>DTAF</v>
      </c>
      <c r="X32" s="57" t="str">
        <f>IFERROR(__xludf.DUMMYFUNCTION("""COMPUTED_VALUE"""),"Jhon Jairo Restrepo")</f>
        <v>Jhon Jairo Restrepo</v>
      </c>
      <c r="Y32" s="47" t="str">
        <f>IFERROR(__xludf.DUMMYFUNCTION("""COMPUTED_VALUE"""),"Director Jhon Jairo Restrepo")</f>
        <v>Director Jhon Jairo Restrepo</v>
      </c>
      <c r="Z32" s="57" t="str">
        <f>IFERROR(__xludf.DUMMYFUNCTION("""COMPUTED_VALUE"""),"jhon.restrepo@aunap.gov.co")</f>
        <v>jhon.restrepo@aunap.gov.co</v>
      </c>
      <c r="AA32" s="47" t="str">
        <f>IFERROR(__xludf.DUMMYFUNCTION("""COMPUTED_VALUE"""),"Humano, físico, financiero, tecnológico")</f>
        <v>Humano, físico, financiero, tecnológico</v>
      </c>
      <c r="AB32" s="47" t="str">
        <f>IFERROR(__xludf.DUMMYFUNCTION("""COMPUTED_VALUE"""),"No asociado")</f>
        <v>No asociado</v>
      </c>
      <c r="AC32" s="47" t="str">
        <f>IFERROR(__xludf.DUMMYFUNCTION("""COMPUTED_VALUE"""),"Propiciar la formalización de la pesca y la acuicultura")</f>
        <v>Propiciar la formalización de la pesca y la acuicultura</v>
      </c>
      <c r="AD32" s="47" t="str">
        <f>IFERROR(__xludf.DUMMYFUNCTION("""COMPUTED_VALUE"""),"Gestión con valores para resultados")</f>
        <v>Gestión con valores para resultados</v>
      </c>
      <c r="AE32" s="47" t="str">
        <f>IFERROR(__xludf.DUMMYFUNCTION("""COMPUTED_VALUE"""),"Fortalecimiento Organizacional y Simplificación de Procesos")</f>
        <v>Fortalecimiento Organizacional y Simplificación de Procesos</v>
      </c>
      <c r="AF32" s="47" t="str">
        <f>IFERROR(__xludf.DUMMYFUNCTION("""COMPUTED_VALUE"""),"12. Producción y consumo responsable")</f>
        <v>12. Producción y consumo responsable</v>
      </c>
      <c r="AG32" s="58">
        <f>IFERROR(__xludf.DUMMYFUNCTION("""COMPUTED_VALUE"""),15.0)</f>
        <v>15</v>
      </c>
      <c r="AH32" s="59" t="str">
        <f>IFERROR(__xludf.DUMMYFUNCTION("""COMPUTED_VALUE"""),"Se desarrollaron las 15 actividades para las tres estaciones ")</f>
        <v>Se desarrollaron las 15 actividades para las tres estaciones </v>
      </c>
      <c r="AI32" s="77" t="str">
        <f>IFERROR(__xludf.DUMMYFUNCTION("""COMPUTED_VALUE"""),"https://drive.google.com/drive/folders/1GrHdPOV5I-4bb_jA9qzES29QALaccIhJ")</f>
        <v>https://drive.google.com/drive/folders/1GrHdPOV5I-4bb_jA9qzES29QALaccIhJ</v>
      </c>
      <c r="AJ32" s="59">
        <f>IFERROR(__xludf.DUMMYFUNCTION("""COMPUTED_VALUE"""),15.0)</f>
        <v>15</v>
      </c>
      <c r="AK32" s="59" t="str">
        <f>IFERROR(__xludf.DUMMYFUNCTION("""COMPUTED_VALUE"""),"Se desarrollaron las 15 actividades para las tres estaciones ")</f>
        <v>Se desarrollaron las 15 actividades para las tres estaciones </v>
      </c>
      <c r="AL32" s="59"/>
      <c r="AM32" s="60"/>
      <c r="AN32" s="61" t="str">
        <f>IFERROR(IF((AO32+1)&lt;2,Alertas!$B$2&amp;TEXT(AO32,"0%")&amp;Alertas!$D$2, IF((AO32+1)=2,Alertas!$B$3,IF((AO32+1)&gt;2,Alertas!$B$4&amp;TEXT(AO32,"0%")&amp;Alertas!$D$4,AO32+1))),"Sin meta para el segundo trimestre")</f>
        <v>La ejecución de la meta registrada se encuentra por encima de la meta programada en la formulación del plan de acción para el segundo trimestre, su porcentaje de cumplimiento es 1600%,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32" s="62">
        <f t="shared" si="2"/>
        <v>16</v>
      </c>
      <c r="AP32" s="61" t="str">
        <f t="shared" si="3"/>
        <v>La ejecución de la meta registrada se encuentra por encima de la meta programada en la formulación del plan de acción para el segundo trimestre, su porcentaje de cumplimiento es 1600%,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32" s="63"/>
      <c r="AR32" s="64"/>
      <c r="AS32" s="65"/>
      <c r="AT32" s="65"/>
      <c r="AU32" s="66"/>
      <c r="AV32" s="67"/>
      <c r="AW32" s="68"/>
      <c r="AX32" s="63"/>
      <c r="AY32" s="64"/>
      <c r="AZ32" s="69"/>
      <c r="BA32" s="65"/>
      <c r="BB32" s="70"/>
      <c r="BC32" s="71"/>
      <c r="BD32" s="72"/>
      <c r="BE32" s="73"/>
      <c r="BF32" s="64"/>
      <c r="BG32" s="69"/>
      <c r="BH32" s="65"/>
      <c r="BI32" s="66"/>
      <c r="BJ32" s="71"/>
      <c r="BK32" s="72"/>
      <c r="BL32" s="74"/>
      <c r="BN32" s="5" t="str">
        <f t="shared" si="23"/>
        <v>1</v>
      </c>
      <c r="BP32" s="5"/>
    </row>
    <row r="33" ht="37.5" customHeight="1">
      <c r="A33" s="45"/>
      <c r="B33" s="46">
        <f>IFERROR(__xludf.DUMMYFUNCTION("""COMPUTED_VALUE"""),28.0)</f>
        <v>28</v>
      </c>
      <c r="C33" s="47" t="str">
        <f>IFERROR(__xludf.DUMMYFUNCTION("""COMPUTED_VALUE"""),"Gestión de la administración y fomento")</f>
        <v>Gestión de la administración y fomento</v>
      </c>
      <c r="D33" s="48" t="str">
        <f>IFERROR(__xludf.DUMMYFUNCTION("""COMPUTED_VALUE"""),"Dirección Técnica de Administración y Fomento")</f>
        <v>Dirección Técnica de Administración y Fomento</v>
      </c>
      <c r="E33" s="48" t="str">
        <f>IFERROR(__xludf.DUMMYFUNCTION("""COMPUTED_VALUE"""),"Fortalecimiento de la sostenibilidad del sector pesquero y de la acuicultura en el territorio nacional")</f>
        <v>Fortalecimiento de la sostenibilidad del sector pesquero y de la acuicultura en el territorio nacional</v>
      </c>
      <c r="F33" s="49">
        <f>IFERROR(__xludf.DUMMYFUNCTION("""COMPUTED_VALUE"""),2.01901100028E12)</f>
        <v>2019011000280</v>
      </c>
      <c r="G33" s="50" t="str">
        <f>IFERROR(__xludf.DUMMYFUNCTION("""COMPUTED_VALUE"""),"Sostenibilidad")</f>
        <v>Sostenibilidad</v>
      </c>
      <c r="H33" s="48" t="str">
        <f>IFERROR(__xludf.DUMMYFUNCTION("""COMPUTED_VALUE"""),"Mejorar la explotación de los recursos pesqueros y de la acuicultura.")</f>
        <v>Mejorar la explotación de los recursos pesqueros y de la acuicultura.</v>
      </c>
      <c r="I33" s="48" t="str">
        <f>IFERROR(__xludf.DUMMYFUNCTION("""COMPUTED_VALUE"""),"Servicio de ordenación pesquera y de la acuicultura")</f>
        <v>Servicio de ordenación pesquera y de la acuicultura</v>
      </c>
      <c r="J33" s="48" t="str">
        <f>IFERROR(__xludf.DUMMYFUNCTION("""COMPUTED_VALUE"""),"Realizar seguimiento a los acuerdos de ordenación")</f>
        <v>Realizar seguimiento a los acuerdos de ordenación</v>
      </c>
      <c r="K33" s="51" t="str">
        <f>IFERROR(__xludf.DUMMYFUNCTION("""COMPUTED_VALUE"""),"Producto")</f>
        <v>Producto</v>
      </c>
      <c r="L33" s="51" t="str">
        <f>IFERROR(__xludf.DUMMYFUNCTION("""COMPUTED_VALUE"""),"Eficacia")</f>
        <v>Eficacia</v>
      </c>
      <c r="M33" s="51" t="str">
        <f>IFERROR(__xludf.DUMMYFUNCTION("""COMPUTED_VALUE"""),"Número")</f>
        <v>Número</v>
      </c>
      <c r="N33" s="52" t="str">
        <f>IFERROR(__xludf.DUMMYFUNCTION("""COMPUTED_VALUE"""),"Seguimiento a los acuerdos de ordenación pesquera")</f>
        <v>Seguimiento a los acuerdos de ordenación pesquera</v>
      </c>
      <c r="O33" s="53">
        <f>IFERROR(__xludf.DUMMYFUNCTION("""COMPUTED_VALUE"""),-3.0)</f>
        <v>-3</v>
      </c>
      <c r="P33" s="54">
        <f>IFERROR(__xludf.DUMMYFUNCTION("""COMPUTED_VALUE"""),11.0)</f>
        <v>11</v>
      </c>
      <c r="Q33" s="55" t="str">
        <f>IFERROR(__xludf.DUMMYFUNCTION("""COMPUTED_VALUE"""),"Realizar seguimiento a los acuerdos de ordenación pesquera")</f>
        <v>Realizar seguimiento a los acuerdos de ordenación pesquera</v>
      </c>
      <c r="R33" s="14" t="str">
        <f>IFERROR(__xludf.DUMMYFUNCTION("""COMPUTED_VALUE"""),"Semestral")</f>
        <v>Semestral</v>
      </c>
      <c r="S33" s="54">
        <f>IFERROR(__xludf.DUMMYFUNCTION("""COMPUTED_VALUE"""),0.0)</f>
        <v>0</v>
      </c>
      <c r="T33" s="54">
        <f>IFERROR(__xludf.DUMMYFUNCTION("""COMPUTED_VALUE"""),5.0)</f>
        <v>5</v>
      </c>
      <c r="U33" s="54">
        <f>IFERROR(__xludf.DUMMYFUNCTION("""COMPUTED_VALUE"""),0.0)</f>
        <v>0</v>
      </c>
      <c r="V33" s="54">
        <f>IFERROR(__xludf.DUMMYFUNCTION("""COMPUTED_VALUE"""),6.0)</f>
        <v>6</v>
      </c>
      <c r="W33" s="56" t="str">
        <f>IFERROR(__xludf.DUMMYFUNCTION("""COMPUTED_VALUE"""),"DTAF")</f>
        <v>DTAF</v>
      </c>
      <c r="X33" s="57" t="str">
        <f>IFERROR(__xludf.DUMMYFUNCTION("""COMPUTED_VALUE"""),"Jhon Jairo Restrepo")</f>
        <v>Jhon Jairo Restrepo</v>
      </c>
      <c r="Y33" s="47" t="str">
        <f>IFERROR(__xludf.DUMMYFUNCTION("""COMPUTED_VALUE"""),"Director Jhon Jairo Restrepo")</f>
        <v>Director Jhon Jairo Restrepo</v>
      </c>
      <c r="Z33" s="57" t="str">
        <f>IFERROR(__xludf.DUMMYFUNCTION("""COMPUTED_VALUE"""),"jhon.restrepo@aunap.gov.co")</f>
        <v>jhon.restrepo@aunap.gov.co</v>
      </c>
      <c r="AA33" s="47" t="str">
        <f>IFERROR(__xludf.DUMMYFUNCTION("""COMPUTED_VALUE"""),"Humano, físico, financiero, tecnológico")</f>
        <v>Humano, físico, financiero, tecnológico</v>
      </c>
      <c r="AB33" s="47" t="str">
        <f>IFERROR(__xludf.DUMMYFUNCTION("""COMPUTED_VALUE"""),"No asociado")</f>
        <v>No asociado</v>
      </c>
      <c r="AC33" s="47" t="str">
        <f>IFERROR(__xludf.DUMMYFUNCTION("""COMPUTED_VALUE"""),"Propiciar la formalización de la pesca y la acuicultura")</f>
        <v>Propiciar la formalización de la pesca y la acuicultura</v>
      </c>
      <c r="AD33" s="47" t="str">
        <f>IFERROR(__xludf.DUMMYFUNCTION("""COMPUTED_VALUE"""),"Gestión con valores para resultados")</f>
        <v>Gestión con valores para resultados</v>
      </c>
      <c r="AE33" s="47" t="str">
        <f>IFERROR(__xludf.DUMMYFUNCTION("""COMPUTED_VALUE"""),"Fortalecimiento Organizacional y Simplificación de Procesos")</f>
        <v>Fortalecimiento Organizacional y Simplificación de Procesos</v>
      </c>
      <c r="AF33" s="47" t="str">
        <f>IFERROR(__xludf.DUMMYFUNCTION("""COMPUTED_VALUE"""),"12. Producción y consumo responsable")</f>
        <v>12. Producción y consumo responsable</v>
      </c>
      <c r="AG33" s="58">
        <f>IFERROR(__xludf.DUMMYFUNCTION("""COMPUTED_VALUE"""),6.0)</f>
        <v>6</v>
      </c>
      <c r="AH33" s="59" t="str">
        <f>IFERROR(__xludf.DUMMYFUNCTION("""COMPUTED_VALUE"""),"Se realizaron 6 seguimientos a las ordenaciones ")</f>
        <v>Se realizaron 6 seguimientos a las ordenaciones </v>
      </c>
      <c r="AI33" s="77" t="str">
        <f>IFERROR(__xludf.DUMMYFUNCTION("""COMPUTED_VALUE"""),"https://drive.google.com/drive/folders/1jv5ehh4oKIGuqXqB6--d9fEAP8ZtCx0m")</f>
        <v>https://drive.google.com/drive/folders/1jv5ehh4oKIGuqXqB6--d9fEAP8ZtCx0m</v>
      </c>
      <c r="AJ33" s="59">
        <f>IFERROR(__xludf.DUMMYFUNCTION("""COMPUTED_VALUE"""),11.0)</f>
        <v>11</v>
      </c>
      <c r="AK33" s="59" t="str">
        <f>IFERROR(__xludf.DUMMYFUNCTION("""COMPUTED_VALUE"""),"Se realizaron 11 seguimientos a las ordenaciones ")</f>
        <v>Se realizaron 11 seguimientos a las ordenaciones </v>
      </c>
      <c r="AL33" s="59"/>
      <c r="AM33" s="60"/>
      <c r="AN33" s="61" t="str">
        <f>IFERROR(IF((AO33+1)&lt;2,Alertas!$B$2&amp;TEXT(AO33,"0%")&amp;Alertas!$D$2, IF((AO33+1)=2,Alertas!$B$3,IF((AO33+1)&gt;2,Alertas!$B$4&amp;TEXT(AO33,"0%")&amp;Alertas!$D$4,AO33+1))),"Sin meta para el segundo trimestre")</f>
        <v>La ejecución de la meta registrada se encuentra por encima de la meta programada en la formulación del plan de acción para el segundo trimestre, su porcentaje de cumplimiento es 120%,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33" s="62">
        <f t="shared" si="2"/>
        <v>1.2</v>
      </c>
      <c r="AP33" s="61" t="str">
        <f t="shared" si="3"/>
        <v>No reporto evidencia.
La ejecución de la meta registrada se encuentra por encima de la meta programada en la formulación del plan de acción para el segundo trimestre, su porcentaje de cumplimiento es 120%,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33" s="63"/>
      <c r="AR33" s="64"/>
      <c r="AS33" s="65"/>
      <c r="AT33" s="65"/>
      <c r="AU33" s="66"/>
      <c r="AV33" s="67"/>
      <c r="AW33" s="68"/>
      <c r="AX33" s="63"/>
      <c r="AY33" s="64"/>
      <c r="AZ33" s="69"/>
      <c r="BA33" s="65"/>
      <c r="BB33" s="70"/>
      <c r="BC33" s="71"/>
      <c r="BD33" s="72"/>
      <c r="BE33" s="73"/>
      <c r="BF33" s="64"/>
      <c r="BG33" s="69"/>
      <c r="BH33" s="65"/>
      <c r="BI33" s="66"/>
      <c r="BJ33" s="71"/>
      <c r="BK33" s="72"/>
      <c r="BL33" s="74"/>
      <c r="BN33" s="5" t="str">
        <f t="shared" si="23"/>
        <v>1</v>
      </c>
      <c r="BP33" s="5"/>
    </row>
    <row r="34" ht="37.5" customHeight="1">
      <c r="A34" s="45"/>
      <c r="B34" s="46">
        <f>IFERROR(__xludf.DUMMYFUNCTION("""COMPUTED_VALUE"""),29.0)</f>
        <v>29</v>
      </c>
      <c r="C34" s="47" t="str">
        <f>IFERROR(__xludf.DUMMYFUNCTION("""COMPUTED_VALUE"""),"Gestión de la administración y fomento")</f>
        <v>Gestión de la administración y fomento</v>
      </c>
      <c r="D34" s="48" t="str">
        <f>IFERROR(__xludf.DUMMYFUNCTION("""COMPUTED_VALUE"""),"Dirección Técnica de Administración y Fomento")</f>
        <v>Dirección Técnica de Administración y Fomento</v>
      </c>
      <c r="E34" s="48" t="str">
        <f>IFERROR(__xludf.DUMMYFUNCTION("""COMPUTED_VALUE"""),"Fortalecimiento de la sostenibilidad del sector pesquero y de la acuicultura en el territorio nacional")</f>
        <v>Fortalecimiento de la sostenibilidad del sector pesquero y de la acuicultura en el territorio nacional</v>
      </c>
      <c r="F34" s="49">
        <f>IFERROR(__xludf.DUMMYFUNCTION("""COMPUTED_VALUE"""),2.01901100028E12)</f>
        <v>2019011000280</v>
      </c>
      <c r="G34" s="50" t="str">
        <f>IFERROR(__xludf.DUMMYFUNCTION("""COMPUTED_VALUE"""),"Sostenibilidad")</f>
        <v>Sostenibilidad</v>
      </c>
      <c r="H34" s="48" t="str">
        <f>IFERROR(__xludf.DUMMYFUNCTION("""COMPUTED_VALUE"""),"Mejorar las prácticas de pesca y de acuicultura.")</f>
        <v>Mejorar las prácticas de pesca y de acuicultura.</v>
      </c>
      <c r="I34" s="48" t="str">
        <f>IFERROR(__xludf.DUMMYFUNCTION("""COMPUTED_VALUE"""),"Servicios de apoyo al fomento de la pesca y la acuicultura")</f>
        <v>Servicios de apoyo al fomento de la pesca y la acuicultura</v>
      </c>
      <c r="J34" s="48" t="str">
        <f>IFERROR(__xludf.DUMMYFUNCTION("""COMPUTED_VALUE"""),"Generar estrategias de comercialización y consumo responsable de los productos de la pesca y la acuicultura")</f>
        <v>Generar estrategias de comercialización y consumo responsable de los productos de la pesca y la acuicultura</v>
      </c>
      <c r="K34" s="51" t="str">
        <f>IFERROR(__xludf.DUMMYFUNCTION("""COMPUTED_VALUE"""),"Gestión")</f>
        <v>Gestión</v>
      </c>
      <c r="L34" s="51" t="str">
        <f>IFERROR(__xludf.DUMMYFUNCTION("""COMPUTED_VALUE"""),"Efectividad")</f>
        <v>Efectividad</v>
      </c>
      <c r="M34" s="51" t="str">
        <f>IFERROR(__xludf.DUMMYFUNCTION("""COMPUTED_VALUE"""),"Número")</f>
        <v>Número</v>
      </c>
      <c r="N34" s="52" t="str">
        <f>IFERROR(__xludf.DUMMYFUNCTION("""COMPUTED_VALUE"""),"Número de productores con acuerdos comerciales suscritos beneficiados/Número de productores con acuerdos comerciales suscritos programados para beneficiar")</f>
        <v>Número de productores con acuerdos comerciales suscritos beneficiados/Número de productores con acuerdos comerciales suscritos programados para beneficiar</v>
      </c>
      <c r="O34" s="53">
        <f>IFERROR(__xludf.DUMMYFUNCTION("""COMPUTED_VALUE"""),15.0)</f>
        <v>15</v>
      </c>
      <c r="P34" s="54">
        <f>IFERROR(__xludf.DUMMYFUNCTION("""COMPUTED_VALUE"""),5000.0)</f>
        <v>5000</v>
      </c>
      <c r="Q34" s="55" t="str">
        <f>IFERROR(__xludf.DUMMYFUNCTION("""COMPUTED_VALUE"""),"Beneficiar a productores con estrategias de inclusión productiva")</f>
        <v>Beneficiar a productores con estrategias de inclusión productiva</v>
      </c>
      <c r="R34" s="14" t="str">
        <f>IFERROR(__xludf.DUMMYFUNCTION("""COMPUTED_VALUE"""),"Anual")</f>
        <v>Anual</v>
      </c>
      <c r="S34" s="54">
        <f>IFERROR(__xludf.DUMMYFUNCTION("""COMPUTED_VALUE"""),0.0)</f>
        <v>0</v>
      </c>
      <c r="T34" s="54">
        <f>IFERROR(__xludf.DUMMYFUNCTION("""COMPUTED_VALUE"""),0.0)</f>
        <v>0</v>
      </c>
      <c r="U34" s="54">
        <f>IFERROR(__xludf.DUMMYFUNCTION("""COMPUTED_VALUE"""),0.0)</f>
        <v>0</v>
      </c>
      <c r="V34" s="54">
        <f>IFERROR(__xludf.DUMMYFUNCTION("""COMPUTED_VALUE"""),5000.0)</f>
        <v>5000</v>
      </c>
      <c r="W34" s="56" t="str">
        <f>IFERROR(__xludf.DUMMYFUNCTION("""COMPUTED_VALUE"""),"DTAF")</f>
        <v>DTAF</v>
      </c>
      <c r="X34" s="57" t="str">
        <f>IFERROR(__xludf.DUMMYFUNCTION("""COMPUTED_VALUE"""),"Jhon Jairo Restrepo")</f>
        <v>Jhon Jairo Restrepo</v>
      </c>
      <c r="Y34" s="47" t="str">
        <f>IFERROR(__xludf.DUMMYFUNCTION("""COMPUTED_VALUE"""),"Director Jhon Jairo Restrepo")</f>
        <v>Director Jhon Jairo Restrepo</v>
      </c>
      <c r="Z34" s="57" t="str">
        <f>IFERROR(__xludf.DUMMYFUNCTION("""COMPUTED_VALUE"""),"jhon.restrepo@aunap.gov.co")</f>
        <v>jhon.restrepo@aunap.gov.co</v>
      </c>
      <c r="AA34" s="47" t="str">
        <f>IFERROR(__xludf.DUMMYFUNCTION("""COMPUTED_VALUE"""),"Humano, físico, financiero, tecnológico")</f>
        <v>Humano, físico, financiero, tecnológico</v>
      </c>
      <c r="AB34" s="47" t="str">
        <f>IFERROR(__xludf.DUMMYFUNCTION("""COMPUTED_VALUE"""),"No asociado")</f>
        <v>No asociado</v>
      </c>
      <c r="AC34" s="47" t="str">
        <f>IFERROR(__xludf.DUMMYFUNCTION("""COMPUTED_VALUE"""),"Propiciar la formalización de la pesca y la acuicultura")</f>
        <v>Propiciar la formalización de la pesca y la acuicultura</v>
      </c>
      <c r="AD34" s="47" t="str">
        <f>IFERROR(__xludf.DUMMYFUNCTION("""COMPUTED_VALUE"""),"Gestión con valores para resultados")</f>
        <v>Gestión con valores para resultados</v>
      </c>
      <c r="AE34" s="47" t="str">
        <f>IFERROR(__xludf.DUMMYFUNCTION("""COMPUTED_VALUE"""),"Fortalecimiento Organizacional y Simplificación de Procesos")</f>
        <v>Fortalecimiento Organizacional y Simplificación de Procesos</v>
      </c>
      <c r="AF34" s="47" t="str">
        <f>IFERROR(__xludf.DUMMYFUNCTION("""COMPUTED_VALUE"""),"12. Producción y consumo responsable")</f>
        <v>12. Producción y consumo responsable</v>
      </c>
      <c r="AG34" s="58">
        <f>IFERROR(__xludf.DUMMYFUNCTION("""COMPUTED_VALUE"""),18512.0)</f>
        <v>18512</v>
      </c>
      <c r="AH34" s="59" t="str">
        <f>IFERROR(__xludf.DUMMYFUNCTION("""COMPUTED_VALUE"""),"Se beneficiaron 18.512 a productores con estrategias de inclusión productiva")</f>
        <v>Se beneficiaron 18.512 a productores con estrategias de inclusión productiva</v>
      </c>
      <c r="AI34" s="77" t="str">
        <f>IFERROR(__xludf.DUMMYFUNCTION("""COMPUTED_VALUE"""),"https://drive.google.com/drive/folders/1laeL_yxYCEPsqQaTNEHUuZrydUiJoZ0T")</f>
        <v>https://drive.google.com/drive/folders/1laeL_yxYCEPsqQaTNEHUuZrydUiJoZ0T</v>
      </c>
      <c r="AJ34" s="59">
        <f>IFERROR(__xludf.DUMMYFUNCTION("""COMPUTED_VALUE"""),34010.0)</f>
        <v>34010</v>
      </c>
      <c r="AK34" s="59" t="str">
        <f>IFERROR(__xludf.DUMMYFUNCTION("""COMPUTED_VALUE"""),"Se beneficiaron 34.010 a productores con estrategias de inclusión productiva")</f>
        <v>Se beneficiaron 34.010 a productores con estrategias de inclusión productiva</v>
      </c>
      <c r="AL34" s="59"/>
      <c r="AM34" s="60"/>
      <c r="AN34" s="61" t="str">
        <f>IFERROR(IF((AO34+1)&lt;2,Alertas!$B$2&amp;TEXT(AO34,"0%")&amp;Alertas!$D$2, IF((AO34+1)=2,Alertas!$B$3,IF((AO34+1)&gt;2,Alertas!$B$4&amp;TEXT(AO34,"0%")&amp;Alertas!$D$4,AO34+1))),"Sin meta para el segundo trimestre")</f>
        <v>La ejecución de la meta registrada se encuentra por encima de la meta programada en la formulación del plan de acción para el segundo trimestre, su porcentaje de cumplimiento es 1851300%,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34" s="62">
        <f t="shared" si="2"/>
        <v>18513</v>
      </c>
      <c r="AP34" s="61" t="str">
        <f t="shared" si="3"/>
        <v>La ejecución de la meta registrada se encuentra por encima de la meta programada en la formulación del plan de acción para el segundo trimestre, su porcentaje de cumplimiento es 1851300%,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34" s="63"/>
      <c r="AR34" s="64"/>
      <c r="AS34" s="65"/>
      <c r="AT34" s="65"/>
      <c r="AU34" s="66"/>
      <c r="AV34" s="67"/>
      <c r="AW34" s="68"/>
      <c r="AX34" s="63"/>
      <c r="AY34" s="64"/>
      <c r="AZ34" s="69"/>
      <c r="BA34" s="65"/>
      <c r="BB34" s="70"/>
      <c r="BC34" s="71"/>
      <c r="BD34" s="72"/>
      <c r="BE34" s="73"/>
      <c r="BF34" s="64"/>
      <c r="BG34" s="69"/>
      <c r="BH34" s="65"/>
      <c r="BI34" s="66"/>
      <c r="BJ34" s="71"/>
      <c r="BK34" s="72"/>
      <c r="BL34" s="74"/>
      <c r="BN34" s="5" t="str">
        <f t="shared" si="23"/>
        <v>1</v>
      </c>
      <c r="BP34" s="5"/>
    </row>
    <row r="35" ht="37.5" customHeight="1">
      <c r="A35" s="45"/>
      <c r="B35" s="46">
        <f>IFERROR(__xludf.DUMMYFUNCTION("""COMPUTED_VALUE"""),30.0)</f>
        <v>30</v>
      </c>
      <c r="C35" s="47" t="str">
        <f>IFERROR(__xludf.DUMMYFUNCTION("""COMPUTED_VALUE"""),"Gestión de la administración y fomento")</f>
        <v>Gestión de la administración y fomento</v>
      </c>
      <c r="D35" s="48" t="str">
        <f>IFERROR(__xludf.DUMMYFUNCTION("""COMPUTED_VALUE"""),"Dirección Técnica de Administración y Fomento")</f>
        <v>Dirección Técnica de Administración y Fomento</v>
      </c>
      <c r="E35" s="48" t="str">
        <f>IFERROR(__xludf.DUMMYFUNCTION("""COMPUTED_VALUE"""),"Fortalecimiento de la sostenibilidad del sector pesquero y de la acuicultura en el territorio nacional")</f>
        <v>Fortalecimiento de la sostenibilidad del sector pesquero y de la acuicultura en el territorio nacional</v>
      </c>
      <c r="F35" s="49">
        <f>IFERROR(__xludf.DUMMYFUNCTION("""COMPUTED_VALUE"""),2.01901100028E12)</f>
        <v>2019011000280</v>
      </c>
      <c r="G35" s="50" t="str">
        <f>IFERROR(__xludf.DUMMYFUNCTION("""COMPUTED_VALUE"""),"Sostenibilidad")</f>
        <v>Sostenibilidad</v>
      </c>
      <c r="H35" s="48" t="str">
        <f>IFERROR(__xludf.DUMMYFUNCTION("""COMPUTED_VALUE"""),"Mejorar las prácticas de pesca y de acuicultura.")</f>
        <v>Mejorar las prácticas de pesca y de acuicultura.</v>
      </c>
      <c r="I35" s="48" t="str">
        <f>IFERROR(__xludf.DUMMYFUNCTION("""COMPUTED_VALUE"""),"Servicios de apoyo al fomento de la pesca y la acuicultura")</f>
        <v>Servicios de apoyo al fomento de la pesca y la acuicultura</v>
      </c>
      <c r="J35" s="48" t="str">
        <f>IFERROR(__xludf.DUMMYFUNCTION("""COMPUTED_VALUE"""),"Generar acciones de fomento para la pesca, la acuicultura y sus actividades conexas.")</f>
        <v>Generar acciones de fomento para la pesca, la acuicultura y sus actividades conexas.</v>
      </c>
      <c r="K35" s="51" t="str">
        <f>IFERROR(__xludf.DUMMYFUNCTION("""COMPUTED_VALUE"""),"Gestión")</f>
        <v>Gestión</v>
      </c>
      <c r="L35" s="51" t="str">
        <f>IFERROR(__xludf.DUMMYFUNCTION("""COMPUTED_VALUE"""),"Efectividad")</f>
        <v>Efectividad</v>
      </c>
      <c r="M35" s="51" t="str">
        <f>IFERROR(__xludf.DUMMYFUNCTION("""COMPUTED_VALUE"""),"Número")</f>
        <v>Número</v>
      </c>
      <c r="N35" s="52" t="str">
        <f>IFERROR(__xludf.DUMMYFUNCTION("""COMPUTED_VALUE"""),"Número de reportes realizados/Número de reporte programado")</f>
        <v>Número de reportes realizados/Número de reporte programado</v>
      </c>
      <c r="O35" s="53">
        <f>IFERROR(__xludf.DUMMYFUNCTION("""COMPUTED_VALUE"""),15.0)</f>
        <v>15</v>
      </c>
      <c r="P35" s="54">
        <f>IFERROR(__xludf.DUMMYFUNCTION("""COMPUTED_VALUE"""),6.0)</f>
        <v>6</v>
      </c>
      <c r="Q35" s="55" t="str">
        <f>IFERROR(__xludf.DUMMYFUNCTION("""COMPUTED_VALUE"""),"Reportar información relacionada con las acciones de administración, ordenación y fomento de la pesca")</f>
        <v>Reportar información relacionada con las acciones de administración, ordenación y fomento de la pesca</v>
      </c>
      <c r="R35" s="14" t="str">
        <f>IFERROR(__xludf.DUMMYFUNCTION("""COMPUTED_VALUE"""),"Trimestral")</f>
        <v>Trimestral</v>
      </c>
      <c r="S35" s="54">
        <f>IFERROR(__xludf.DUMMYFUNCTION("""COMPUTED_VALUE"""),1.0)</f>
        <v>1</v>
      </c>
      <c r="T35" s="54">
        <f>IFERROR(__xludf.DUMMYFUNCTION("""COMPUTED_VALUE"""),1.0)</f>
        <v>1</v>
      </c>
      <c r="U35" s="54">
        <f>IFERROR(__xludf.DUMMYFUNCTION("""COMPUTED_VALUE"""),2.0)</f>
        <v>2</v>
      </c>
      <c r="V35" s="54">
        <f>IFERROR(__xludf.DUMMYFUNCTION("""COMPUTED_VALUE"""),2.0)</f>
        <v>2</v>
      </c>
      <c r="W35" s="56" t="str">
        <f>IFERROR(__xludf.DUMMYFUNCTION("""COMPUTED_VALUE"""),"DTAF")</f>
        <v>DTAF</v>
      </c>
      <c r="X35" s="57" t="str">
        <f>IFERROR(__xludf.DUMMYFUNCTION("""COMPUTED_VALUE"""),"Jhon Jairo Restrepo")</f>
        <v>Jhon Jairo Restrepo</v>
      </c>
      <c r="Y35" s="47" t="str">
        <f>IFERROR(__xludf.DUMMYFUNCTION("""COMPUTED_VALUE"""),"Director Jhon Jairo Restrepo")</f>
        <v>Director Jhon Jairo Restrepo</v>
      </c>
      <c r="Z35" s="57" t="str">
        <f>IFERROR(__xludf.DUMMYFUNCTION("""COMPUTED_VALUE"""),"jhon.restrepo@aunap.gov.co")</f>
        <v>jhon.restrepo@aunap.gov.co</v>
      </c>
      <c r="AA35" s="47" t="str">
        <f>IFERROR(__xludf.DUMMYFUNCTION("""COMPUTED_VALUE"""),"Humano, físico, financiero, tecnológico")</f>
        <v>Humano, físico, financiero, tecnológico</v>
      </c>
      <c r="AB35" s="47" t="str">
        <f>IFERROR(__xludf.DUMMYFUNCTION("""COMPUTED_VALUE"""),"No asociado")</f>
        <v>No asociado</v>
      </c>
      <c r="AC35" s="47" t="str">
        <f>IFERROR(__xludf.DUMMYFUNCTION("""COMPUTED_VALUE"""),"Propiciar la formalización de la pesca y la acuicultura")</f>
        <v>Propiciar la formalización de la pesca y la acuicultura</v>
      </c>
      <c r="AD35" s="47" t="str">
        <f>IFERROR(__xludf.DUMMYFUNCTION("""COMPUTED_VALUE"""),"Gestión con valores para resultados")</f>
        <v>Gestión con valores para resultados</v>
      </c>
      <c r="AE35" s="47" t="str">
        <f>IFERROR(__xludf.DUMMYFUNCTION("""COMPUTED_VALUE"""),"Fortalecimiento Organizacional y Simplificación de Procesos")</f>
        <v>Fortalecimiento Organizacional y Simplificación de Procesos</v>
      </c>
      <c r="AF35" s="47" t="str">
        <f>IFERROR(__xludf.DUMMYFUNCTION("""COMPUTED_VALUE"""),"12. Producción y consumo responsable")</f>
        <v>12. Producción y consumo responsable</v>
      </c>
      <c r="AG35" s="58">
        <f>IFERROR(__xludf.DUMMYFUNCTION("""COMPUTED_VALUE"""),2.0)</f>
        <v>2</v>
      </c>
      <c r="AH35" s="59" t="str">
        <f>IFERROR(__xludf.DUMMYFUNCTION("""COMPUTED_VALUE"""),"Se reportaron 2 información + relacionadas con las acciones de administración, ordenación y fomento de la pesca del IV trimestre ")</f>
        <v>Se reportaron 2 información + relacionadas con las acciones de administración, ordenación y fomento de la pesca del IV trimestre </v>
      </c>
      <c r="AI35" s="77" t="str">
        <f>IFERROR(__xludf.DUMMYFUNCTION("""COMPUTED_VALUE"""),"https://drive.google.com/drive/folders/1I3ZzXSyi2ZUGDVflj7ickW9XVPJSq6X9")</f>
        <v>https://drive.google.com/drive/folders/1I3ZzXSyi2ZUGDVflj7ickW9XVPJSq6X9</v>
      </c>
      <c r="AJ35" s="59">
        <f>IFERROR(__xludf.DUMMYFUNCTION("""COMPUTED_VALUE"""),6.0)</f>
        <v>6</v>
      </c>
      <c r="AK35" s="59" t="str">
        <f>IFERROR(__xludf.DUMMYFUNCTION("""COMPUTED_VALUE"""),"Se reportaron 6 informacines relacionadas con las acciones de administración, ordenación y fomento de la pesca del IV trimestre ")</f>
        <v>Se reportaron 6 informacines relacionadas con las acciones de administración, ordenación y fomento de la pesca del IV trimestre </v>
      </c>
      <c r="AL35" s="59"/>
      <c r="AM35" s="60"/>
      <c r="AN35" s="61" t="str">
        <f>IFERROR(IF((AO35+1)&lt;2,Alertas!$B$2&amp;TEXT(AO35,"0%")&amp;Alertas!$D$2, IF((AO35+1)=2,Alertas!$B$3,IF((AO35+1)&gt;2,Alertas!$B$4&amp;TEXT(AO35,"0%")&amp;Alertas!$D$4,AO35+1))),"Sin meta para el segundo trimestre")</f>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35" s="62">
        <f t="shared" si="2"/>
        <v>2</v>
      </c>
      <c r="AP35" s="61" t="str">
        <f t="shared" si="3"/>
        <v>No reporto evidencia.
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35" s="63"/>
      <c r="AR35" s="64"/>
      <c r="AS35" s="65"/>
      <c r="AT35" s="65"/>
      <c r="AU35" s="66"/>
      <c r="AV35" s="67"/>
      <c r="AW35" s="68"/>
      <c r="AX35" s="63"/>
      <c r="AY35" s="64"/>
      <c r="AZ35" s="69"/>
      <c r="BA35" s="65"/>
      <c r="BB35" s="70"/>
      <c r="BC35" s="71"/>
      <c r="BD35" s="72"/>
      <c r="BE35" s="73"/>
      <c r="BF35" s="64"/>
      <c r="BG35" s="69"/>
      <c r="BH35" s="65"/>
      <c r="BI35" s="66"/>
      <c r="BJ35" s="71"/>
      <c r="BK35" s="72"/>
      <c r="BL35" s="74"/>
      <c r="BN35" s="5" t="str">
        <f t="shared" si="23"/>
        <v>1</v>
      </c>
      <c r="BP35" s="5"/>
    </row>
    <row r="36" ht="37.5" customHeight="1">
      <c r="A36" s="45"/>
      <c r="B36" s="46">
        <f>IFERROR(__xludf.DUMMYFUNCTION("""COMPUTED_VALUE"""),31.0)</f>
        <v>31</v>
      </c>
      <c r="C36" s="47" t="str">
        <f>IFERROR(__xludf.DUMMYFUNCTION("""COMPUTED_VALUE"""),"Gestión de la administración y fomento")</f>
        <v>Gestión de la administración y fomento</v>
      </c>
      <c r="D36" s="48" t="str">
        <f>IFERROR(__xludf.DUMMYFUNCTION("""COMPUTED_VALUE"""),"Dirección Técnica de Administración y Fomento")</f>
        <v>Dirección Técnica de Administración y Fomento</v>
      </c>
      <c r="E36" s="48" t="str">
        <f>IFERROR(__xludf.DUMMYFUNCTION("""COMPUTED_VALUE"""),"Fortalecimiento de la sostenibilidad del sector pesquero y de la acuicultura en el territorio nacional")</f>
        <v>Fortalecimiento de la sostenibilidad del sector pesquero y de la acuicultura en el territorio nacional</v>
      </c>
      <c r="F36" s="49">
        <f>IFERROR(__xludf.DUMMYFUNCTION("""COMPUTED_VALUE"""),2.01901100028E12)</f>
        <v>2019011000280</v>
      </c>
      <c r="G36" s="50" t="str">
        <f>IFERROR(__xludf.DUMMYFUNCTION("""COMPUTED_VALUE"""),"Sostenibilidad")</f>
        <v>Sostenibilidad</v>
      </c>
      <c r="H36" s="48" t="str">
        <f>IFERROR(__xludf.DUMMYFUNCTION("""COMPUTED_VALUE"""),"Mejorar la explotación de los recursos pesqueros y de la acuicultura.")</f>
        <v>Mejorar la explotación de los recursos pesqueros y de la acuicultura.</v>
      </c>
      <c r="I36" s="48" t="str">
        <f>IFERROR(__xludf.DUMMYFUNCTION("""COMPUTED_VALUE"""),"Servicios de administración de los recurso pesqueros y de la acuicultura")</f>
        <v>Servicios de administración de los recurso pesqueros y de la acuicultura</v>
      </c>
      <c r="J36" s="48" t="str">
        <f>IFERROR(__xludf.DUMMYFUNCTION("""COMPUTED_VALUE"""),"Realizar acciones de divulgación y formalización de la actividad pesquera y de la acuicultura.")</f>
        <v>Realizar acciones de divulgación y formalización de la actividad pesquera y de la acuicultura.</v>
      </c>
      <c r="K36" s="51" t="str">
        <f>IFERROR(__xludf.DUMMYFUNCTION("""COMPUTED_VALUE"""),"Gestión")</f>
        <v>Gestión</v>
      </c>
      <c r="L36" s="51" t="str">
        <f>IFERROR(__xludf.DUMMYFUNCTION("""COMPUTED_VALUE"""),"Efectividad")</f>
        <v>Efectividad</v>
      </c>
      <c r="M36" s="51" t="str">
        <f>IFERROR(__xludf.DUMMYFUNCTION("""COMPUTED_VALUE"""),"Número")</f>
        <v>Número</v>
      </c>
      <c r="N36" s="52" t="str">
        <f>IFERROR(__xludf.DUMMYFUNCTION("""COMPUTED_VALUE"""),"Número de congresos de pescadores realizados/Número de congresos de pescadores programados")</f>
        <v>Número de congresos de pescadores realizados/Número de congresos de pescadores programados</v>
      </c>
      <c r="O36" s="53">
        <f>IFERROR(__xludf.DUMMYFUNCTION("""COMPUTED_VALUE"""),15.0)</f>
        <v>15</v>
      </c>
      <c r="P36" s="54">
        <f>IFERROR(__xludf.DUMMYFUNCTION("""COMPUTED_VALUE"""),1.0)</f>
        <v>1</v>
      </c>
      <c r="Q36" s="55" t="str">
        <f>IFERROR(__xludf.DUMMYFUNCTION("""COMPUTED_VALUE"""),"Realizar el Congreso de pescadores")</f>
        <v>Realizar el Congreso de pescadores</v>
      </c>
      <c r="R36" s="14" t="str">
        <f>IFERROR(__xludf.DUMMYFUNCTION("""COMPUTED_VALUE"""),"Anual")</f>
        <v>Anual</v>
      </c>
      <c r="S36" s="54">
        <f>IFERROR(__xludf.DUMMYFUNCTION("""COMPUTED_VALUE"""),0.0)</f>
        <v>0</v>
      </c>
      <c r="T36" s="54">
        <f>IFERROR(__xludf.DUMMYFUNCTION("""COMPUTED_VALUE"""),0.0)</f>
        <v>0</v>
      </c>
      <c r="U36" s="54">
        <f>IFERROR(__xludf.DUMMYFUNCTION("""COMPUTED_VALUE"""),0.0)</f>
        <v>0</v>
      </c>
      <c r="V36" s="54">
        <f>IFERROR(__xludf.DUMMYFUNCTION("""COMPUTED_VALUE"""),1.0)</f>
        <v>1</v>
      </c>
      <c r="W36" s="56" t="str">
        <f>IFERROR(__xludf.DUMMYFUNCTION("""COMPUTED_VALUE"""),"DTAF")</f>
        <v>DTAF</v>
      </c>
      <c r="X36" s="57" t="str">
        <f>IFERROR(__xludf.DUMMYFUNCTION("""COMPUTED_VALUE"""),"Jhon Jairo Restrepo")</f>
        <v>Jhon Jairo Restrepo</v>
      </c>
      <c r="Y36" s="47" t="str">
        <f>IFERROR(__xludf.DUMMYFUNCTION("""COMPUTED_VALUE"""),"Director Jhon Jairo Restrepo")</f>
        <v>Director Jhon Jairo Restrepo</v>
      </c>
      <c r="Z36" s="57" t="str">
        <f>IFERROR(__xludf.DUMMYFUNCTION("""COMPUTED_VALUE"""),"jhon.restrepo@aunap.gov.co")</f>
        <v>jhon.restrepo@aunap.gov.co</v>
      </c>
      <c r="AA36" s="47" t="str">
        <f>IFERROR(__xludf.DUMMYFUNCTION("""COMPUTED_VALUE"""),"Humano, físico, financiero, tecnológico")</f>
        <v>Humano, físico, financiero, tecnológico</v>
      </c>
      <c r="AB36" s="47" t="str">
        <f>IFERROR(__xludf.DUMMYFUNCTION("""COMPUTED_VALUE"""),"No asociado")</f>
        <v>No asociado</v>
      </c>
      <c r="AC36" s="47" t="str">
        <f>IFERROR(__xludf.DUMMYFUNCTION("""COMPUTED_VALUE"""),"Propiciar la formalización de la pesca y la acuicultura")</f>
        <v>Propiciar la formalización de la pesca y la acuicultura</v>
      </c>
      <c r="AD36" s="47" t="str">
        <f>IFERROR(__xludf.DUMMYFUNCTION("""COMPUTED_VALUE"""),"Gestión con valores para resultados")</f>
        <v>Gestión con valores para resultados</v>
      </c>
      <c r="AE36" s="47" t="str">
        <f>IFERROR(__xludf.DUMMYFUNCTION("""COMPUTED_VALUE"""),"Fortalecimiento Organizacional y Simplificación de Procesos")</f>
        <v>Fortalecimiento Organizacional y Simplificación de Procesos</v>
      </c>
      <c r="AF36" s="47" t="str">
        <f>IFERROR(__xludf.DUMMYFUNCTION("""COMPUTED_VALUE"""),"12. Producción y consumo responsable")</f>
        <v>12. Producción y consumo responsable</v>
      </c>
      <c r="AG36" s="58">
        <f>IFERROR(__xludf.DUMMYFUNCTION("""COMPUTED_VALUE"""),1.0)</f>
        <v>1</v>
      </c>
      <c r="AH36" s="59" t="str">
        <f>IFERROR(__xludf.DUMMYFUNCTION("""COMPUTED_VALUE"""),"Se realizó 1 Congreso de pescadores artesanales ")</f>
        <v>Se realizó 1 Congreso de pescadores artesanales </v>
      </c>
      <c r="AI36" s="81" t="str">
        <f>IFERROR(__xludf.DUMMYFUNCTION("""COMPUTED_VALUE"""),"https://drive.google.com/drive/folders/1s808CwNSY6OS9vCbor7XdLhVMN7LNKmq")</f>
        <v>https://drive.google.com/drive/folders/1s808CwNSY6OS9vCbor7XdLhVMN7LNKmq</v>
      </c>
      <c r="AJ36" s="59">
        <f>IFERROR(__xludf.DUMMYFUNCTION("""COMPUTED_VALUE"""),1.0)</f>
        <v>1</v>
      </c>
      <c r="AK36" s="59" t="str">
        <f>IFERROR(__xludf.DUMMYFUNCTION("""COMPUTED_VALUE"""),"Se realizó 1 Congreso de pescadores artesanales ")</f>
        <v>Se realizó 1 Congreso de pescadores artesanales </v>
      </c>
      <c r="AL36" s="59"/>
      <c r="AM36" s="60"/>
      <c r="AN36" s="61" t="str">
        <f>IFERROR(IF((AO36+1)&lt;2,Alertas!$B$2&amp;TEXT(AO36,"0%")&amp;Alertas!$D$2, IF((AO36+1)=2,Alertas!$B$3,IF((AO36+1)&gt;2,Alertas!$B$4&amp;TEXT(AO36,"0%")&amp;Alertas!$D$4,AO36+1))),"Sin meta para el segundo trimestre")</f>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36" s="62">
        <f t="shared" si="2"/>
        <v>2</v>
      </c>
      <c r="AP36" s="61" t="str">
        <f t="shared" si="3"/>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36" s="63"/>
      <c r="AR36" s="64"/>
      <c r="AS36" s="65"/>
      <c r="AT36" s="65"/>
      <c r="AU36" s="66"/>
      <c r="AV36" s="67"/>
      <c r="AW36" s="68"/>
      <c r="AX36" s="63"/>
      <c r="AY36" s="64"/>
      <c r="AZ36" s="69"/>
      <c r="BA36" s="65"/>
      <c r="BB36" s="70"/>
      <c r="BC36" s="71"/>
      <c r="BD36" s="72"/>
      <c r="BE36" s="73"/>
      <c r="BF36" s="64"/>
      <c r="BG36" s="69"/>
      <c r="BH36" s="65"/>
      <c r="BI36" s="66"/>
      <c r="BJ36" s="71"/>
      <c r="BK36" s="72"/>
      <c r="BL36" s="74"/>
      <c r="BN36" s="5" t="str">
        <f t="shared" si="23"/>
        <v>1</v>
      </c>
      <c r="BP36" s="5"/>
    </row>
    <row r="37" ht="37.5" customHeight="1">
      <c r="A37" s="45"/>
      <c r="B37" s="46">
        <f>IFERROR(__xludf.DUMMYFUNCTION("""COMPUTED_VALUE"""),32.0)</f>
        <v>32</v>
      </c>
      <c r="C37" s="47" t="str">
        <f>IFERROR(__xludf.DUMMYFUNCTION("""COMPUTED_VALUE"""),"Gestión de la administración y fomento")</f>
        <v>Gestión de la administración y fomento</v>
      </c>
      <c r="D37" s="48" t="str">
        <f>IFERROR(__xludf.DUMMYFUNCTION("""COMPUTED_VALUE"""),"Dirección Técnica de Administración y Fomento")</f>
        <v>Dirección Técnica de Administración y Fomento</v>
      </c>
      <c r="E37" s="48" t="str">
        <f>IFERROR(__xludf.DUMMYFUNCTION("""COMPUTED_VALUE"""),"Fortalecimiento de la sostenibilidad del sector pesquero y de la acuicultura en el territorio nacional")</f>
        <v>Fortalecimiento de la sostenibilidad del sector pesquero y de la acuicultura en el territorio nacional</v>
      </c>
      <c r="F37" s="49">
        <f>IFERROR(__xludf.DUMMYFUNCTION("""COMPUTED_VALUE"""),2.01901100028E12)</f>
        <v>2019011000280</v>
      </c>
      <c r="G37" s="50" t="str">
        <f>IFERROR(__xludf.DUMMYFUNCTION("""COMPUTED_VALUE"""),"Sostenibilidad")</f>
        <v>Sostenibilidad</v>
      </c>
      <c r="H37" s="48" t="str">
        <f>IFERROR(__xludf.DUMMYFUNCTION("""COMPUTED_VALUE"""),"Mejorar la explotación de los recursos pesqueros y de la acuicultura.")</f>
        <v>Mejorar la explotación de los recursos pesqueros y de la acuicultura.</v>
      </c>
      <c r="I37" s="48" t="str">
        <f>IFERROR(__xludf.DUMMYFUNCTION("""COMPUTED_VALUE"""),"Servicios de administración de los recurso pesqueros y de la acuicultura")</f>
        <v>Servicios de administración de los recurso pesqueros y de la acuicultura</v>
      </c>
      <c r="J37" s="48" t="str">
        <f>IFERROR(__xludf.DUMMYFUNCTION("""COMPUTED_VALUE"""),"Realizar acciones de divulgación y formalización de la actividad pesquera y de la acuicultura.")</f>
        <v>Realizar acciones de divulgación y formalización de la actividad pesquera y de la acuicultura.</v>
      </c>
      <c r="K37" s="51" t="str">
        <f>IFERROR(__xludf.DUMMYFUNCTION("""COMPUTED_VALUE"""),"Gestión")</f>
        <v>Gestión</v>
      </c>
      <c r="L37" s="51" t="str">
        <f>IFERROR(__xludf.DUMMYFUNCTION("""COMPUTED_VALUE"""),"Efectividad")</f>
        <v>Efectividad</v>
      </c>
      <c r="M37" s="51" t="str">
        <f>IFERROR(__xludf.DUMMYFUNCTION("""COMPUTED_VALUE"""),"Número")</f>
        <v>Número</v>
      </c>
      <c r="N37" s="52" t="str">
        <f>IFERROR(__xludf.DUMMYFUNCTION("""COMPUTED_VALUE"""),"Número de estrategia de informacion realizadas")</f>
        <v>Número de estrategia de informacion realizadas</v>
      </c>
      <c r="O37" s="53">
        <f>IFERROR(__xludf.DUMMYFUNCTION("""COMPUTED_VALUE"""),15.0)</f>
        <v>15</v>
      </c>
      <c r="P37" s="54">
        <f>IFERROR(__xludf.DUMMYFUNCTION("""COMPUTED_VALUE"""),1.0)</f>
        <v>1</v>
      </c>
      <c r="Q37" s="55" t="str">
        <f>IFERROR(__xludf.DUMMYFUNCTION("""COMPUTED_VALUE"""),"Generar estrategia de informacion en los diferentes medios de comunicación, tradicionales, alternativos y digitales, que propendan por el fortalecimiento y la sostenibilidad de los recursos pesqueros y acuicolas en el territorio nacional")</f>
        <v>Generar estrategia de informacion en los diferentes medios de comunicación, tradicionales, alternativos y digitales, que propendan por el fortalecimiento y la sostenibilidad de los recursos pesqueros y acuicolas en el territorio nacional</v>
      </c>
      <c r="R37" s="14" t="str">
        <f>IFERROR(__xludf.DUMMYFUNCTION("""COMPUTED_VALUE"""),"Anual")</f>
        <v>Anual</v>
      </c>
      <c r="S37" s="54">
        <f>IFERROR(__xludf.DUMMYFUNCTION("""COMPUTED_VALUE"""),0.0)</f>
        <v>0</v>
      </c>
      <c r="T37" s="54">
        <f>IFERROR(__xludf.DUMMYFUNCTION("""COMPUTED_VALUE"""),0.0)</f>
        <v>0</v>
      </c>
      <c r="U37" s="54">
        <f>IFERROR(__xludf.DUMMYFUNCTION("""COMPUTED_VALUE"""),0.0)</f>
        <v>0</v>
      </c>
      <c r="V37" s="54">
        <f>IFERROR(__xludf.DUMMYFUNCTION("""COMPUTED_VALUE"""),1.0)</f>
        <v>1</v>
      </c>
      <c r="W37" s="56" t="str">
        <f>IFERROR(__xludf.DUMMYFUNCTION("""COMPUTED_VALUE"""),"DTAF")</f>
        <v>DTAF</v>
      </c>
      <c r="X37" s="57" t="str">
        <f>IFERROR(__xludf.DUMMYFUNCTION("""COMPUTED_VALUE"""),"Jhon Jairo Restrepo")</f>
        <v>Jhon Jairo Restrepo</v>
      </c>
      <c r="Y37" s="47" t="str">
        <f>IFERROR(__xludf.DUMMYFUNCTION("""COMPUTED_VALUE"""),"Director Jhon Jairo Restrepo")</f>
        <v>Director Jhon Jairo Restrepo</v>
      </c>
      <c r="Z37" s="57" t="str">
        <f>IFERROR(__xludf.DUMMYFUNCTION("""COMPUTED_VALUE"""),"jhon.restrepo@aunap.gov.co")</f>
        <v>jhon.restrepo@aunap.gov.co</v>
      </c>
      <c r="AA37" s="47" t="str">
        <f>IFERROR(__xludf.DUMMYFUNCTION("""COMPUTED_VALUE"""),"Humano, físico, financiero, tecnológico")</f>
        <v>Humano, físico, financiero, tecnológico</v>
      </c>
      <c r="AB37" s="47" t="str">
        <f>IFERROR(__xludf.DUMMYFUNCTION("""COMPUTED_VALUE"""),"No asociado")</f>
        <v>No asociado</v>
      </c>
      <c r="AC37" s="47" t="str">
        <f>IFERROR(__xludf.DUMMYFUNCTION("""COMPUTED_VALUE"""),"Propiciar la formalización de la pesca y la acuicultura")</f>
        <v>Propiciar la formalización de la pesca y la acuicultura</v>
      </c>
      <c r="AD37" s="47" t="str">
        <f>IFERROR(__xludf.DUMMYFUNCTION("""COMPUTED_VALUE"""),"Gestión con valores para resultados")</f>
        <v>Gestión con valores para resultados</v>
      </c>
      <c r="AE37" s="47" t="str">
        <f>IFERROR(__xludf.DUMMYFUNCTION("""COMPUTED_VALUE"""),"Fortalecimiento Organizacional y Simplificación de Procesos")</f>
        <v>Fortalecimiento Organizacional y Simplificación de Procesos</v>
      </c>
      <c r="AF37" s="47" t="str">
        <f>IFERROR(__xludf.DUMMYFUNCTION("""COMPUTED_VALUE"""),"12. Producción y consumo responsable")</f>
        <v>12. Producción y consumo responsable</v>
      </c>
      <c r="AG37" s="58">
        <f>IFERROR(__xludf.DUMMYFUNCTION("""COMPUTED_VALUE"""),1.0)</f>
        <v>1</v>
      </c>
      <c r="AH37" s="59" t="str">
        <f>IFERROR(__xludf.DUMMYFUNCTION("""COMPUTED_VALUE"""),"Se realizó la estrategia de informacion en los diferentes medios de comunicación, tradicionales, alternativos y digitales, que propendan por el fortalecimiento y la sostenibilidad de los recursos pesqueros y acuicolas en el territorio nacional")</f>
        <v>Se realizó la estrategia de informacion en los diferentes medios de comunicación, tradicionales, alternativos y digitales, que propendan por el fortalecimiento y la sostenibilidad de los recursos pesqueros y acuicolas en el territorio nacional</v>
      </c>
      <c r="AI37" s="81" t="str">
        <f>IFERROR(__xludf.DUMMYFUNCTION("""COMPUTED_VALUE"""),"https://drive.google.com/drive/folders/11wW1qQECbo9YuUTDUyrTOncebXMdUYMY")</f>
        <v>https://drive.google.com/drive/folders/11wW1qQECbo9YuUTDUyrTOncebXMdUYMY</v>
      </c>
      <c r="AJ37" s="59">
        <f>IFERROR(__xludf.DUMMYFUNCTION("""COMPUTED_VALUE"""),1.0)</f>
        <v>1</v>
      </c>
      <c r="AK37" s="59" t="str">
        <f>IFERROR(__xludf.DUMMYFUNCTION("""COMPUTED_VALUE"""),"Se realizó la estrategia de informacion en los diferentes medios de comunicación, tradicionales, alternativos y digitales, que propendan por el fortalecimiento y la sostenibilidad de los recursos pesqueros y acuicolas en el territorio nacional")</f>
        <v>Se realizó la estrategia de informacion en los diferentes medios de comunicación, tradicionales, alternativos y digitales, que propendan por el fortalecimiento y la sostenibilidad de los recursos pesqueros y acuicolas en el territorio nacional</v>
      </c>
      <c r="AL37" s="59"/>
      <c r="AM37" s="60"/>
      <c r="AN37" s="61" t="str">
        <f>IFERROR(IF((AO37+1)&lt;2,Alertas!$B$2&amp;TEXT(AO37,"0%")&amp;Alertas!$D$2, IF((AO37+1)=2,Alertas!$B$3,IF((AO37+1)&gt;2,Alertas!$B$4&amp;TEXT(AO37,"0%")&amp;Alertas!$D$4,AO37+1))),"Sin meta para el segundo trimestre")</f>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37" s="62">
        <f t="shared" si="2"/>
        <v>2</v>
      </c>
      <c r="AP37" s="61" t="str">
        <f t="shared" si="3"/>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37" s="63"/>
      <c r="AR37" s="64"/>
      <c r="AS37" s="65"/>
      <c r="AT37" s="65"/>
      <c r="AU37" s="66"/>
      <c r="AV37" s="67"/>
      <c r="AW37" s="68"/>
      <c r="AX37" s="63"/>
      <c r="AY37" s="64"/>
      <c r="AZ37" s="69"/>
      <c r="BA37" s="65"/>
      <c r="BB37" s="70"/>
      <c r="BC37" s="71"/>
      <c r="BD37" s="72"/>
      <c r="BE37" s="73"/>
      <c r="BF37" s="64"/>
      <c r="BG37" s="69"/>
      <c r="BH37" s="65"/>
      <c r="BI37" s="66"/>
      <c r="BJ37" s="71"/>
      <c r="BK37" s="72"/>
      <c r="BL37" s="74"/>
      <c r="BN37" s="5" t="str">
        <f t="shared" si="23"/>
        <v>1</v>
      </c>
      <c r="BP37" s="5"/>
    </row>
    <row r="38" ht="37.5" customHeight="1">
      <c r="A38" s="45"/>
      <c r="B38" s="46">
        <f>IFERROR(__xludf.DUMMYFUNCTION("""COMPUTED_VALUE"""),33.0)</f>
        <v>33</v>
      </c>
      <c r="C38" s="47" t="str">
        <f>IFERROR(__xludf.DUMMYFUNCTION("""COMPUTED_VALUE"""),"Gestión de la administración y fomento")</f>
        <v>Gestión de la administración y fomento</v>
      </c>
      <c r="D38" s="48" t="str">
        <f>IFERROR(__xludf.DUMMYFUNCTION("""COMPUTED_VALUE"""),"Dirección Técnica de Administración y Fomento")</f>
        <v>Dirección Técnica de Administración y Fomento</v>
      </c>
      <c r="E38" s="48" t="str">
        <f>IFERROR(__xludf.DUMMYFUNCTION("""COMPUTED_VALUE"""),"Fortalecimiento de la sostenibilidad del sector pesquero y de la acuicultura en el territorio nacional")</f>
        <v>Fortalecimiento de la sostenibilidad del sector pesquero y de la acuicultura en el territorio nacional</v>
      </c>
      <c r="F38" s="49">
        <f>IFERROR(__xludf.DUMMYFUNCTION("""COMPUTED_VALUE"""),2.01901100028E12)</f>
        <v>2019011000280</v>
      </c>
      <c r="G38" s="50" t="str">
        <f>IFERROR(__xludf.DUMMYFUNCTION("""COMPUTED_VALUE"""),"Sostenibilidad")</f>
        <v>Sostenibilidad</v>
      </c>
      <c r="H38" s="48" t="str">
        <f>IFERROR(__xludf.DUMMYFUNCTION("""COMPUTED_VALUE"""),"Mejorar la explotación de los recursos pesqueros y de la acuicultura.")</f>
        <v>Mejorar la explotación de los recursos pesqueros y de la acuicultura.</v>
      </c>
      <c r="I38" s="48" t="str">
        <f>IFERROR(__xludf.DUMMYFUNCTION("""COMPUTED_VALUE"""),"Servicios de administración de los recurso pesqueros y de la acuicultura")</f>
        <v>Servicios de administración de los recurso pesqueros y de la acuicultura</v>
      </c>
      <c r="J38" s="48" t="str">
        <f>IFERROR(__xludf.DUMMYFUNCTION("""COMPUTED_VALUE"""),"Regular el manejo y el ejercicio de la actividad pesquera y de la acuicultura.")</f>
        <v>Regular el manejo y el ejercicio de la actividad pesquera y de la acuicultura.</v>
      </c>
      <c r="K38" s="51" t="str">
        <f>IFERROR(__xludf.DUMMYFUNCTION("""COMPUTED_VALUE"""),"Gestión")</f>
        <v>Gestión</v>
      </c>
      <c r="L38" s="51" t="str">
        <f>IFERROR(__xludf.DUMMYFUNCTION("""COMPUTED_VALUE"""),"Efectividad")</f>
        <v>Efectividad</v>
      </c>
      <c r="M38" s="51" t="str">
        <f>IFERROR(__xludf.DUMMYFUNCTION("""COMPUTED_VALUE"""),"Número")</f>
        <v>Número</v>
      </c>
      <c r="N38" s="52" t="str">
        <f>IFERROR(__xludf.DUMMYFUNCTION("""COMPUTED_VALUE"""),"Número de Documentos técnico realizados/Número de documentos técnicos programados")</f>
        <v>Número de Documentos técnico realizados/Número de documentos técnicos programados</v>
      </c>
      <c r="O38" s="53">
        <f>IFERROR(__xludf.DUMMYFUNCTION("""COMPUTED_VALUE"""),15.0)</f>
        <v>15</v>
      </c>
      <c r="P38" s="54">
        <f>IFERROR(__xludf.DUMMYFUNCTION("""COMPUTED_VALUE"""),1.0)</f>
        <v>1</v>
      </c>
      <c r="Q38" s="55" t="str">
        <f>IFERROR(__xludf.DUMMYFUNCTION("""COMPUTED_VALUE"""),"Caracterizar a pescadores artesanales")</f>
        <v>Caracterizar a pescadores artesanales</v>
      </c>
      <c r="R38" s="14" t="str">
        <f>IFERROR(__xludf.DUMMYFUNCTION("""COMPUTED_VALUE"""),"Anual")</f>
        <v>Anual</v>
      </c>
      <c r="S38" s="54">
        <f>IFERROR(__xludf.DUMMYFUNCTION("""COMPUTED_VALUE"""),0.0)</f>
        <v>0</v>
      </c>
      <c r="T38" s="54">
        <f>IFERROR(__xludf.DUMMYFUNCTION("""COMPUTED_VALUE"""),0.0)</f>
        <v>0</v>
      </c>
      <c r="U38" s="54">
        <f>IFERROR(__xludf.DUMMYFUNCTION("""COMPUTED_VALUE"""),0.0)</f>
        <v>0</v>
      </c>
      <c r="V38" s="54">
        <f>IFERROR(__xludf.DUMMYFUNCTION("""COMPUTED_VALUE"""),1.0)</f>
        <v>1</v>
      </c>
      <c r="W38" s="56" t="str">
        <f>IFERROR(__xludf.DUMMYFUNCTION("""COMPUTED_VALUE"""),"DTAF")</f>
        <v>DTAF</v>
      </c>
      <c r="X38" s="57" t="str">
        <f>IFERROR(__xludf.DUMMYFUNCTION("""COMPUTED_VALUE"""),"Jhon Jairo Restrepo")</f>
        <v>Jhon Jairo Restrepo</v>
      </c>
      <c r="Y38" s="47" t="str">
        <f>IFERROR(__xludf.DUMMYFUNCTION("""COMPUTED_VALUE"""),"Director Jhon Jairo Restrepo")</f>
        <v>Director Jhon Jairo Restrepo</v>
      </c>
      <c r="Z38" s="57" t="str">
        <f>IFERROR(__xludf.DUMMYFUNCTION("""COMPUTED_VALUE"""),"jhon.restrepo@aunap.gov.co")</f>
        <v>jhon.restrepo@aunap.gov.co</v>
      </c>
      <c r="AA38" s="47" t="str">
        <f>IFERROR(__xludf.DUMMYFUNCTION("""COMPUTED_VALUE"""),"Humano, físico, financiero, tecnológico")</f>
        <v>Humano, físico, financiero, tecnológico</v>
      </c>
      <c r="AB38" s="47" t="str">
        <f>IFERROR(__xludf.DUMMYFUNCTION("""COMPUTED_VALUE"""),"No asociado")</f>
        <v>No asociado</v>
      </c>
      <c r="AC38" s="47" t="str">
        <f>IFERROR(__xludf.DUMMYFUNCTION("""COMPUTED_VALUE"""),"Propiciar la formalización de la pesca y la acuicultura")</f>
        <v>Propiciar la formalización de la pesca y la acuicultura</v>
      </c>
      <c r="AD38" s="47" t="str">
        <f>IFERROR(__xludf.DUMMYFUNCTION("""COMPUTED_VALUE"""),"Gestión con valores para resultados")</f>
        <v>Gestión con valores para resultados</v>
      </c>
      <c r="AE38" s="47" t="str">
        <f>IFERROR(__xludf.DUMMYFUNCTION("""COMPUTED_VALUE"""),"Fortalecimiento Organizacional y Simplificación de Procesos")</f>
        <v>Fortalecimiento Organizacional y Simplificación de Procesos</v>
      </c>
      <c r="AF38" s="47" t="str">
        <f>IFERROR(__xludf.DUMMYFUNCTION("""COMPUTED_VALUE"""),"12. Producción y consumo responsable")</f>
        <v>12. Producción y consumo responsable</v>
      </c>
      <c r="AG38" s="58">
        <f>IFERROR(__xludf.DUMMYFUNCTION("""COMPUTED_VALUE"""),1.0)</f>
        <v>1</v>
      </c>
      <c r="AH38" s="59" t="str">
        <f>IFERROR(__xludf.DUMMYFUNCTION("""COMPUTED_VALUE"""),"Se realiza la Caracterización de pescadores artesanales")</f>
        <v>Se realiza la Caracterización de pescadores artesanales</v>
      </c>
      <c r="AI38" s="81" t="str">
        <f>IFERROR(__xludf.DUMMYFUNCTION("""COMPUTED_VALUE"""),"https://drive.google.com/drive/folders/1_-WWEj9S6P-i0s9CA1KyDGbKCb5fNAGV")</f>
        <v>https://drive.google.com/drive/folders/1_-WWEj9S6P-i0s9CA1KyDGbKCb5fNAGV</v>
      </c>
      <c r="AJ38" s="59">
        <f>IFERROR(__xludf.DUMMYFUNCTION("""COMPUTED_VALUE"""),1.0)</f>
        <v>1</v>
      </c>
      <c r="AK38" s="59" t="str">
        <f>IFERROR(__xludf.DUMMYFUNCTION("""COMPUTED_VALUE"""),"Se realiza la Caracterización de pescadores artesanales")</f>
        <v>Se realiza la Caracterización de pescadores artesanales</v>
      </c>
      <c r="AL38" s="59"/>
      <c r="AM38" s="60"/>
      <c r="AN38" s="61" t="str">
        <f>IFERROR(IF((AO38+1)&lt;2,Alertas!$B$2&amp;TEXT(AO38,"0%")&amp;Alertas!$D$2, IF((AO38+1)=2,Alertas!$B$3,IF((AO38+1)&gt;2,Alertas!$B$4&amp;TEXT(AO38,"0%")&amp;Alertas!$D$4,AO38+1))),"Sin meta para el segundo trimestre")</f>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38" s="62">
        <f t="shared" si="2"/>
        <v>2</v>
      </c>
      <c r="AP38" s="61" t="str">
        <f t="shared" si="3"/>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38" s="63"/>
      <c r="AR38" s="64"/>
      <c r="AS38" s="65"/>
      <c r="AT38" s="65"/>
      <c r="AU38" s="66"/>
      <c r="AV38" s="67"/>
      <c r="AW38" s="68"/>
      <c r="AX38" s="63"/>
      <c r="AY38" s="64"/>
      <c r="AZ38" s="69"/>
      <c r="BA38" s="65"/>
      <c r="BB38" s="70"/>
      <c r="BC38" s="71"/>
      <c r="BD38" s="72"/>
      <c r="BE38" s="73"/>
      <c r="BF38" s="64"/>
      <c r="BG38" s="69"/>
      <c r="BH38" s="65"/>
      <c r="BI38" s="66"/>
      <c r="BJ38" s="71"/>
      <c r="BK38" s="72"/>
      <c r="BL38" s="74"/>
      <c r="BN38" s="5" t="str">
        <f t="shared" si="23"/>
        <v>1</v>
      </c>
      <c r="BP38" s="5"/>
    </row>
    <row r="39" ht="37.5" customHeight="1">
      <c r="A39" s="45"/>
      <c r="B39" s="46">
        <f>IFERROR(__xludf.DUMMYFUNCTION("""COMPUTED_VALUE"""),34.0)</f>
        <v>34</v>
      </c>
      <c r="C39" s="47" t="str">
        <f>IFERROR(__xludf.DUMMYFUNCTION("""COMPUTED_VALUE"""),"Gestión de la administración y fomento")</f>
        <v>Gestión de la administración y fomento</v>
      </c>
      <c r="D39" s="48" t="str">
        <f>IFERROR(__xludf.DUMMYFUNCTION("""COMPUTED_VALUE"""),"Dirección Técnica de Administración y Fomento")</f>
        <v>Dirección Técnica de Administración y Fomento</v>
      </c>
      <c r="E39" s="48" t="str">
        <f>IFERROR(__xludf.DUMMYFUNCTION("""COMPUTED_VALUE"""),"Fortalecimiento de la sostenibilidad del sector pesquero y de la acuicultura en el territorio nacional")</f>
        <v>Fortalecimiento de la sostenibilidad del sector pesquero y de la acuicultura en el territorio nacional</v>
      </c>
      <c r="F39" s="49">
        <f>IFERROR(__xludf.DUMMYFUNCTION("""COMPUTED_VALUE"""),2.01901100028E12)</f>
        <v>2019011000280</v>
      </c>
      <c r="G39" s="50" t="str">
        <f>IFERROR(__xludf.DUMMYFUNCTION("""COMPUTED_VALUE"""),"Sostenibilidad")</f>
        <v>Sostenibilidad</v>
      </c>
      <c r="H39" s="48" t="str">
        <f>IFERROR(__xludf.DUMMYFUNCTION("""COMPUTED_VALUE"""),"Mejorar la explotación de los recursos pesqueros y de la acuicultura.")</f>
        <v>Mejorar la explotación de los recursos pesqueros y de la acuicultura.</v>
      </c>
      <c r="I39" s="48" t="str">
        <f>IFERROR(__xludf.DUMMYFUNCTION("""COMPUTED_VALUE"""),"Servicios de administración de los recurso pesqueros y de la acuicultura")</f>
        <v>Servicios de administración de los recurso pesqueros y de la acuicultura</v>
      </c>
      <c r="J39" s="48" t="str">
        <f>IFERROR(__xludf.DUMMYFUNCTION("""COMPUTED_VALUE"""),"Regular el manejo y el ejercicio de la actividad pesquera y de la acuicultura.")</f>
        <v>Regular el manejo y el ejercicio de la actividad pesquera y de la acuicultura.</v>
      </c>
      <c r="K39" s="51" t="str">
        <f>IFERROR(__xludf.DUMMYFUNCTION("""COMPUTED_VALUE"""),"Producto")</f>
        <v>Producto</v>
      </c>
      <c r="L39" s="51" t="str">
        <f>IFERROR(__xludf.DUMMYFUNCTION("""COMPUTED_VALUE"""),"Eficacia")</f>
        <v>Eficacia</v>
      </c>
      <c r="M39" s="51" t="str">
        <f>IFERROR(__xludf.DUMMYFUNCTION("""COMPUTED_VALUE"""),"Número")</f>
        <v>Número</v>
      </c>
      <c r="N39" s="52" t="str">
        <f>IFERROR(__xludf.DUMMYFUNCTION("""COMPUTED_VALUE"""),"Actos Administrativos de caracter general publicados y comunicados")</f>
        <v>Actos Administrativos de caracter general publicados y comunicados</v>
      </c>
      <c r="O39" s="53">
        <f>IFERROR(__xludf.DUMMYFUNCTION("""COMPUTED_VALUE"""),-7140.0)</f>
        <v>-7140</v>
      </c>
      <c r="P39" s="54">
        <f>IFERROR(__xludf.DUMMYFUNCTION("""COMPUTED_VALUE"""),12.0)</f>
        <v>12</v>
      </c>
      <c r="Q39" s="55" t="str">
        <f>IFERROR(__xludf.DUMMYFUNCTION("""COMPUTED_VALUE"""),"Expedir actos administrativos de caracter general publicados y comunicados")</f>
        <v>Expedir actos administrativos de caracter general publicados y comunicados</v>
      </c>
      <c r="R39" s="14" t="str">
        <f>IFERROR(__xludf.DUMMYFUNCTION("""COMPUTED_VALUE"""),"Semestral")</f>
        <v>Semestral</v>
      </c>
      <c r="S39" s="54">
        <f>IFERROR(__xludf.DUMMYFUNCTION("""COMPUTED_VALUE"""),0.0)</f>
        <v>0</v>
      </c>
      <c r="T39" s="54">
        <f>IFERROR(__xludf.DUMMYFUNCTION("""COMPUTED_VALUE"""),7.0)</f>
        <v>7</v>
      </c>
      <c r="U39" s="54">
        <f>IFERROR(__xludf.DUMMYFUNCTION("""COMPUTED_VALUE"""),0.0)</f>
        <v>0</v>
      </c>
      <c r="V39" s="54">
        <f>IFERROR(__xludf.DUMMYFUNCTION("""COMPUTED_VALUE"""),5.0)</f>
        <v>5</v>
      </c>
      <c r="W39" s="56" t="str">
        <f>IFERROR(__xludf.DUMMYFUNCTION("""COMPUTED_VALUE"""),"DTAF")</f>
        <v>DTAF</v>
      </c>
      <c r="X39" s="57" t="str">
        <f>IFERROR(__xludf.DUMMYFUNCTION("""COMPUTED_VALUE"""),"Jhon Jairo Restrepo")</f>
        <v>Jhon Jairo Restrepo</v>
      </c>
      <c r="Y39" s="47" t="str">
        <f>IFERROR(__xludf.DUMMYFUNCTION("""COMPUTED_VALUE"""),"Director Jhon Jairo Restrepo")</f>
        <v>Director Jhon Jairo Restrepo</v>
      </c>
      <c r="Z39" s="57" t="str">
        <f>IFERROR(__xludf.DUMMYFUNCTION("""COMPUTED_VALUE"""),"jhon.restrepo@aunap.gov.co")</f>
        <v>jhon.restrepo@aunap.gov.co</v>
      </c>
      <c r="AA39" s="47" t="str">
        <f>IFERROR(__xludf.DUMMYFUNCTION("""COMPUTED_VALUE"""),"Humano, físico, financiero, tecnológico")</f>
        <v>Humano, físico, financiero, tecnológico</v>
      </c>
      <c r="AB39" s="47" t="str">
        <f>IFERROR(__xludf.DUMMYFUNCTION("""COMPUTED_VALUE"""),"No asociado")</f>
        <v>No asociado</v>
      </c>
      <c r="AC39" s="47" t="str">
        <f>IFERROR(__xludf.DUMMYFUNCTION("""COMPUTED_VALUE"""),"Propiciar la formalización de la pesca y la acuicultura")</f>
        <v>Propiciar la formalización de la pesca y la acuicultura</v>
      </c>
      <c r="AD39" s="47" t="str">
        <f>IFERROR(__xludf.DUMMYFUNCTION("""COMPUTED_VALUE"""),"Gestión con valores para resultados")</f>
        <v>Gestión con valores para resultados</v>
      </c>
      <c r="AE39" s="47" t="str">
        <f>IFERROR(__xludf.DUMMYFUNCTION("""COMPUTED_VALUE"""),"Fortalecimiento Organizacional y Simplificación de Procesos")</f>
        <v>Fortalecimiento Organizacional y Simplificación de Procesos</v>
      </c>
      <c r="AF39" s="47" t="str">
        <f>IFERROR(__xludf.DUMMYFUNCTION("""COMPUTED_VALUE"""),"12. Producción y consumo responsable")</f>
        <v>12. Producción y consumo responsable</v>
      </c>
      <c r="AG39" s="58">
        <f>IFERROR(__xludf.DUMMYFUNCTION("""COMPUTED_VALUE"""),5.0)</f>
        <v>5</v>
      </c>
      <c r="AH39" s="59" t="str">
        <f>IFERROR(__xludf.DUMMYFUNCTION("""COMPUTED_VALUE"""),"Se expedieron 5 actos administrativos de caracter general publicados y comunicados")</f>
        <v>Se expedieron 5 actos administrativos de caracter general publicados y comunicados</v>
      </c>
      <c r="AI39" s="81" t="str">
        <f>IFERROR(__xludf.DUMMYFUNCTION("""COMPUTED_VALUE"""),"https://drive.google.com/drive/folders/1NWuC5FmMiVvi2YtOSmxeub_uSNPMhIgg")</f>
        <v>https://drive.google.com/drive/folders/1NWuC5FmMiVvi2YtOSmxeub_uSNPMhIgg</v>
      </c>
      <c r="AJ39" s="59">
        <f>IFERROR(__xludf.DUMMYFUNCTION("""COMPUTED_VALUE"""),12.0)</f>
        <v>12</v>
      </c>
      <c r="AK39" s="59" t="str">
        <f>IFERROR(__xludf.DUMMYFUNCTION("""COMPUTED_VALUE"""),"Se expedieron 12 actos administrativos de caracter general publicados y comunicados")</f>
        <v>Se expedieron 12 actos administrativos de caracter general publicados y comunicados</v>
      </c>
      <c r="AL39" s="59"/>
      <c r="AM39" s="60"/>
      <c r="AN39" s="61" t="str">
        <f>IFERROR(IF((AO39+1)&lt;2,Alertas!$B$2&amp;TEXT(AO39,"0%")&amp;Alertas!$D$2, IF((AO39+1)=2,Alertas!$B$3,IF((AO39+1)&gt;2,Alertas!$B$4&amp;TEXT(AO39,"0%")&amp;Alertas!$D$4,AO39+1))),"Sin meta para el segundo trimestre")</f>
        <v>La ejecución de la meta registrada se encuentra por debajo de la meta programada en la formulación del plan de acción para el segundo trimestre, su porcentaje de cumplimiento es 71%, lo cual indica un incumplimiento que puede ser entendido por los entes de control como falencias en el proceso de planeación y gestión de la dependencia. se recomienda realizar acciones para garantizar el cumplimiento de la meta durante lo que resta de vigencia</v>
      </c>
      <c r="AO39" s="62">
        <f t="shared" si="2"/>
        <v>0.7142857143</v>
      </c>
      <c r="AP39" s="61" t="str">
        <f t="shared" si="3"/>
        <v>No reporto evidencia.
La ejecución de la meta registrada se encuentra por debajo de la meta programada en la formulación del plan de acción para el segundo trimestre, su porcentaje de cumplimiento es 71%, lo cual indica un incumplimiento que puede ser entendido por los entes de control como falencias en el proceso de planeación y gestión de la dependencia. se recomienda realizar acciones para garantizar el cumplimiento de la meta durante lo que resta de vigencia.</v>
      </c>
      <c r="AQ39" s="63"/>
      <c r="AR39" s="64"/>
      <c r="AS39" s="65"/>
      <c r="AT39" s="65"/>
      <c r="AU39" s="66"/>
      <c r="AV39" s="67"/>
      <c r="AW39" s="68"/>
      <c r="AX39" s="63"/>
      <c r="AY39" s="64"/>
      <c r="AZ39" s="69"/>
      <c r="BA39" s="65"/>
      <c r="BB39" s="70"/>
      <c r="BC39" s="71"/>
      <c r="BD39" s="72"/>
      <c r="BE39" s="73"/>
      <c r="BF39" s="64"/>
      <c r="BG39" s="69"/>
      <c r="BH39" s="65"/>
      <c r="BI39" s="66"/>
      <c r="BJ39" s="71"/>
      <c r="BK39" s="72"/>
      <c r="BL39" s="74"/>
      <c r="BN39" s="5" t="str">
        <f t="shared" si="23"/>
        <v>-1</v>
      </c>
      <c r="BP39" s="5"/>
    </row>
    <row r="40" ht="37.5" customHeight="1">
      <c r="A40" s="45"/>
      <c r="B40" s="46">
        <f>IFERROR(__xludf.DUMMYFUNCTION("""COMPUTED_VALUE"""),35.0)</f>
        <v>35</v>
      </c>
      <c r="C40" s="47" t="str">
        <f>IFERROR(__xludf.DUMMYFUNCTION("""COMPUTED_VALUE"""),"Gestión de la administración y fomento")</f>
        <v>Gestión de la administración y fomento</v>
      </c>
      <c r="D40" s="48" t="str">
        <f>IFERROR(__xludf.DUMMYFUNCTION("""COMPUTED_VALUE"""),"Dirección Técnica de Administración y Fomento")</f>
        <v>Dirección Técnica de Administración y Fomento</v>
      </c>
      <c r="E40" s="48" t="str">
        <f>IFERROR(__xludf.DUMMYFUNCTION("""COMPUTED_VALUE"""),"Fortalecimiento de la sostenibilidad del sector pesquero y de la acuicultura en el territorio nacional")</f>
        <v>Fortalecimiento de la sostenibilidad del sector pesquero y de la acuicultura en el territorio nacional</v>
      </c>
      <c r="F40" s="49">
        <f>IFERROR(__xludf.DUMMYFUNCTION("""COMPUTED_VALUE"""),2.01901100028E12)</f>
        <v>2019011000280</v>
      </c>
      <c r="G40" s="50" t="str">
        <f>IFERROR(__xludf.DUMMYFUNCTION("""COMPUTED_VALUE"""),"Sostenibilidad")</f>
        <v>Sostenibilidad</v>
      </c>
      <c r="H40" s="48" t="str">
        <f>IFERROR(__xludf.DUMMYFUNCTION("""COMPUTED_VALUE"""),"Mejorar la explotación de los recursos pesqueros y de la acuicultura.")</f>
        <v>Mejorar la explotación de los recursos pesqueros y de la acuicultura.</v>
      </c>
      <c r="I40" s="48" t="str">
        <f>IFERROR(__xludf.DUMMYFUNCTION("""COMPUTED_VALUE"""),"Servicios de administración de los recurso pesqueros y de la acuicultura")</f>
        <v>Servicios de administración de los recurso pesqueros y de la acuicultura</v>
      </c>
      <c r="J40" s="48" t="str">
        <f>IFERROR(__xludf.DUMMYFUNCTION("""COMPUTED_VALUE"""),"Regular el manejo y el ejercicio de la actividad pesquera y de la acuicultura.")</f>
        <v>Regular el manejo y el ejercicio de la actividad pesquera y de la acuicultura.</v>
      </c>
      <c r="K40" s="51" t="str">
        <f>IFERROR(__xludf.DUMMYFUNCTION("""COMPUTED_VALUE"""),"Gestión")</f>
        <v>Gestión</v>
      </c>
      <c r="L40" s="51" t="str">
        <f>IFERROR(__xludf.DUMMYFUNCTION("""COMPUTED_VALUE"""),"Efectividad")</f>
        <v>Efectividad</v>
      </c>
      <c r="M40" s="51" t="str">
        <f>IFERROR(__xludf.DUMMYFUNCTION("""COMPUTED_VALUE"""),"Número")</f>
        <v>Número</v>
      </c>
      <c r="N40" s="52" t="str">
        <f>IFERROR(__xludf.DUMMYFUNCTION("""COMPUTED_VALUE"""),"Número de carnés de pescadores artesanales expedidos /Número de carnés de pescadores artesanales programados")</f>
        <v>Número de carnés de pescadores artesanales expedidos /Número de carnés de pescadores artesanales programados</v>
      </c>
      <c r="O40" s="53">
        <f>IFERROR(__xludf.DUMMYFUNCTION("""COMPUTED_VALUE"""),15.0)</f>
        <v>15</v>
      </c>
      <c r="P40" s="54">
        <f>IFERROR(__xludf.DUMMYFUNCTION("""COMPUTED_VALUE"""),11500.0)</f>
        <v>11500</v>
      </c>
      <c r="Q40" s="55" t="str">
        <f>IFERROR(__xludf.DUMMYFUNCTION("""COMPUTED_VALUE"""),"Formalizar pescadores artesanales.")</f>
        <v>Formalizar pescadores artesanales.</v>
      </c>
      <c r="R40" s="14" t="str">
        <f>IFERROR(__xludf.DUMMYFUNCTION("""COMPUTED_VALUE"""),"Anual")</f>
        <v>Anual</v>
      </c>
      <c r="S40" s="54">
        <f>IFERROR(__xludf.DUMMYFUNCTION("""COMPUTED_VALUE"""),0.0)</f>
        <v>0</v>
      </c>
      <c r="T40" s="54">
        <f>IFERROR(__xludf.DUMMYFUNCTION("""COMPUTED_VALUE"""),0.0)</f>
        <v>0</v>
      </c>
      <c r="U40" s="54">
        <f>IFERROR(__xludf.DUMMYFUNCTION("""COMPUTED_VALUE"""),0.0)</f>
        <v>0</v>
      </c>
      <c r="V40" s="54">
        <f>IFERROR(__xludf.DUMMYFUNCTION("""COMPUTED_VALUE"""),11500.0)</f>
        <v>11500</v>
      </c>
      <c r="W40" s="56" t="str">
        <f>IFERROR(__xludf.DUMMYFUNCTION("""COMPUTED_VALUE"""),"DTAF")</f>
        <v>DTAF</v>
      </c>
      <c r="X40" s="57" t="str">
        <f>IFERROR(__xludf.DUMMYFUNCTION("""COMPUTED_VALUE"""),"Jhon Jairo Restrepo")</f>
        <v>Jhon Jairo Restrepo</v>
      </c>
      <c r="Y40" s="47" t="str">
        <f>IFERROR(__xludf.DUMMYFUNCTION("""COMPUTED_VALUE"""),"Director Jhon Jairo Restrepo")</f>
        <v>Director Jhon Jairo Restrepo</v>
      </c>
      <c r="Z40" s="57" t="str">
        <f>IFERROR(__xludf.DUMMYFUNCTION("""COMPUTED_VALUE"""),"jhon.restrepo@aunap.gov.co")</f>
        <v>jhon.restrepo@aunap.gov.co</v>
      </c>
      <c r="AA40" s="47" t="str">
        <f>IFERROR(__xludf.DUMMYFUNCTION("""COMPUTED_VALUE"""),"Humano, físico, financiero, tecnológico")</f>
        <v>Humano, físico, financiero, tecnológico</v>
      </c>
      <c r="AB40" s="47" t="str">
        <f>IFERROR(__xludf.DUMMYFUNCTION("""COMPUTED_VALUE"""),"No asociado")</f>
        <v>No asociado</v>
      </c>
      <c r="AC40" s="47" t="str">
        <f>IFERROR(__xludf.DUMMYFUNCTION("""COMPUTED_VALUE"""),"Propiciar la formalización de la pesca y la acuicultura")</f>
        <v>Propiciar la formalización de la pesca y la acuicultura</v>
      </c>
      <c r="AD40" s="47" t="str">
        <f>IFERROR(__xludf.DUMMYFUNCTION("""COMPUTED_VALUE"""),"Gestión con valores para resultados")</f>
        <v>Gestión con valores para resultados</v>
      </c>
      <c r="AE40" s="47" t="str">
        <f>IFERROR(__xludf.DUMMYFUNCTION("""COMPUTED_VALUE"""),"Fortalecimiento Organizacional y Simplificación de Procesos")</f>
        <v>Fortalecimiento Organizacional y Simplificación de Procesos</v>
      </c>
      <c r="AF40" s="47" t="str">
        <f>IFERROR(__xludf.DUMMYFUNCTION("""COMPUTED_VALUE"""),"12. Producción y consumo responsable")</f>
        <v>12. Producción y consumo responsable</v>
      </c>
      <c r="AG40" s="80">
        <f>IFERROR(__xludf.DUMMYFUNCTION("""COMPUTED_VALUE"""),23839.0)</f>
        <v>23839</v>
      </c>
      <c r="AH40" s="59" t="str">
        <f>IFERROR(__xludf.DUMMYFUNCTION("""COMPUTED_VALUE"""),"Se realizaron 23.839 formalización pescadores artesanales.")</f>
        <v>Se realizaron 23.839 formalización pescadores artesanales.</v>
      </c>
      <c r="AI40" s="81" t="str">
        <f>IFERROR(__xludf.DUMMYFUNCTION("""COMPUTED_VALUE"""),"https://drive.google.com/drive/folders/1kZR6J8ELgvIZ4CmzNPhxZ27vxW_RLiPA")</f>
        <v>https://drive.google.com/drive/folders/1kZR6J8ELgvIZ4CmzNPhxZ27vxW_RLiPA</v>
      </c>
      <c r="AJ40" s="59">
        <f>IFERROR(__xludf.DUMMYFUNCTION("""COMPUTED_VALUE"""),23839.0)</f>
        <v>23839</v>
      </c>
      <c r="AK40" s="59" t="str">
        <f>IFERROR(__xludf.DUMMYFUNCTION("""COMPUTED_VALUE"""),"Se realizaron 23.839 formalización pescadores artesanales.")</f>
        <v>Se realizaron 23.839 formalización pescadores artesanales.</v>
      </c>
      <c r="AL40" s="59"/>
      <c r="AM40" s="60"/>
      <c r="AN40" s="61" t="str">
        <f>IFERROR(IF((AO40+1)&lt;2,Alertas!$B$2&amp;TEXT(AO40,"0%")&amp;Alertas!$D$2, IF((AO40+1)=2,Alertas!$B$3,IF((AO40+1)&gt;2,Alertas!$B$4&amp;TEXT(AO40,"0%")&amp;Alertas!$D$4,AO40+1))),"Sin meta para el segundo trimestre")</f>
        <v>La ejecución de la meta registrada se encuentra por encima de la meta programada en la formulación del plan de acción para el segundo trimestre, su porcentaje de cumplimiento es 2384000%,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40" s="62">
        <f t="shared" si="2"/>
        <v>23840</v>
      </c>
      <c r="AP40" s="61" t="str">
        <f t="shared" si="3"/>
        <v>La ejecución de la meta registrada se encuentra por encima de la meta programada en la formulación del plan de acción para el segundo trimestre, su porcentaje de cumplimiento es 2384000%,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40" s="63"/>
      <c r="AR40" s="64"/>
      <c r="AS40" s="65"/>
      <c r="AT40" s="65"/>
      <c r="AU40" s="66"/>
      <c r="AV40" s="67"/>
      <c r="AW40" s="68"/>
      <c r="AX40" s="63"/>
      <c r="AY40" s="64"/>
      <c r="AZ40" s="69"/>
      <c r="BA40" s="65"/>
      <c r="BB40" s="70"/>
      <c r="BC40" s="71"/>
      <c r="BD40" s="72"/>
      <c r="BE40" s="73"/>
      <c r="BF40" s="64"/>
      <c r="BG40" s="69"/>
      <c r="BH40" s="65"/>
      <c r="BI40" s="66"/>
      <c r="BJ40" s="71"/>
      <c r="BK40" s="72"/>
      <c r="BL40" s="74"/>
      <c r="BN40" s="5" t="str">
        <f t="shared" si="23"/>
        <v>1</v>
      </c>
      <c r="BP40" s="5"/>
    </row>
    <row r="41" ht="37.5" customHeight="1">
      <c r="A41" s="45"/>
      <c r="B41" s="46">
        <f>IFERROR(__xludf.DUMMYFUNCTION("""COMPUTED_VALUE"""),39.0)</f>
        <v>39</v>
      </c>
      <c r="C41" s="47" t="str">
        <f>IFERROR(__xludf.DUMMYFUNCTION("""COMPUTED_VALUE"""),"Gestión de la inspección y vigilancia")</f>
        <v>Gestión de la inspección y vigilancia</v>
      </c>
      <c r="D41" s="48" t="str">
        <f>IFERROR(__xludf.DUMMYFUNCTION("""COMPUTED_VALUE"""),"Dirección Técnica de Inspección y Vigilancia")</f>
        <v>Dirección Técnica de Inspección y Vigilancia</v>
      </c>
      <c r="E41"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41" s="49">
        <f>IFERROR(__xludf.DUMMYFUNCTION("""COMPUTED_VALUE"""),2.019011000276E12)</f>
        <v>2019011000276</v>
      </c>
      <c r="G41" s="50" t="str">
        <f>IFERROR(__xludf.DUMMYFUNCTION("""COMPUTED_VALUE"""),"Inspección")</f>
        <v>Inspección</v>
      </c>
      <c r="H41" s="48" t="str">
        <f>IFERROR(__xludf.DUMMYFUNCTION("""COMPUTED_VALUE"""),"Aumentar el conocimiento de la normatividad pesquera y de la acuicultura por parte de la comunidad.")</f>
        <v>Aumentar el conocimiento de la normatividad pesquera y de la acuicultura por parte de la comunidad.</v>
      </c>
      <c r="I41" s="48" t="str">
        <f>IFERROR(__xludf.DUMMYFUNCTION("""COMPUTED_VALUE"""),"Servicio de divulgación y socialización")</f>
        <v>Servicio de divulgación y socialización</v>
      </c>
      <c r="J41" s="48" t="str">
        <f>IFERROR(__xludf.DUMMYFUNCTION("""COMPUTED_VALUE"""),"Implementar las estrategias de socialización y Divulgación a la comunidad")</f>
        <v>Implementar las estrategias de socialización y Divulgación a la comunidad</v>
      </c>
      <c r="K41" s="51" t="str">
        <f>IFERROR(__xludf.DUMMYFUNCTION("""COMPUTED_VALUE"""),"Producto")</f>
        <v>Producto</v>
      </c>
      <c r="L41" s="51" t="str">
        <f>IFERROR(__xludf.DUMMYFUNCTION("""COMPUTED_VALUE"""),"Eficacia")</f>
        <v>Eficacia</v>
      </c>
      <c r="M41" s="51" t="str">
        <f>IFERROR(__xludf.DUMMYFUNCTION("""COMPUTED_VALUE"""),"Número")</f>
        <v>Número</v>
      </c>
      <c r="N41" s="52" t="str">
        <f>IFERROR(__xludf.DUMMYFUNCTION("""COMPUTED_VALUE"""),"Eventos realizados")</f>
        <v>Eventos realizados</v>
      </c>
      <c r="O41" s="53">
        <f>IFERROR(__xludf.DUMMYFUNCTION("""COMPUTED_VALUE"""),110.0)</f>
        <v>110</v>
      </c>
      <c r="P41" s="54">
        <f>IFERROR(__xludf.DUMMYFUNCTION("""COMPUTED_VALUE"""),70.0)</f>
        <v>70</v>
      </c>
      <c r="Q41" s="55" t="str">
        <f>IFERROR(__xludf.DUMMYFUNCTION("""COMPUTED_VALUE"""),"Realizar eventos de socialización y divulgación dirigidos a grupos de interés para disminuir las malas prácticas de pesca y de la acuicultura a nivel nacional.")</f>
        <v>Realizar eventos de socialización y divulgación dirigidos a grupos de interés para disminuir las malas prácticas de pesca y de la acuicultura a nivel nacional.</v>
      </c>
      <c r="R41" s="14" t="str">
        <f>IFERROR(__xludf.DUMMYFUNCTION("""COMPUTED_VALUE"""),"Anual")</f>
        <v>Anual</v>
      </c>
      <c r="S41" s="54">
        <f>IFERROR(__xludf.DUMMYFUNCTION("""COMPUTED_VALUE"""),0.0)</f>
        <v>0</v>
      </c>
      <c r="T41" s="54">
        <f>IFERROR(__xludf.DUMMYFUNCTION("""COMPUTED_VALUE"""),18.0)</f>
        <v>18</v>
      </c>
      <c r="U41" s="54">
        <f>IFERROR(__xludf.DUMMYFUNCTION("""COMPUTED_VALUE"""),35.0)</f>
        <v>35</v>
      </c>
      <c r="V41" s="54">
        <f>IFERROR(__xludf.DUMMYFUNCTION("""COMPUTED_VALUE"""),17.0)</f>
        <v>17</v>
      </c>
      <c r="W41" s="56" t="str">
        <f>IFERROR(__xludf.DUMMYFUNCTION("""COMPUTED_VALUE"""),"Dirección Técnica de Inspección y Vigilancia")</f>
        <v>Dirección Técnica de Inspección y Vigilancia</v>
      </c>
      <c r="X41" s="57" t="str">
        <f>IFERROR(__xludf.DUMMYFUNCTION("""COMPUTED_VALUE"""),"Nelcy Villa")</f>
        <v>Nelcy Villa</v>
      </c>
      <c r="Y41" s="47" t="str">
        <f>IFERROR(__xludf.DUMMYFUNCTION("""COMPUTED_VALUE"""),"Directora técnica de inspección y vigilancia")</f>
        <v>Directora técnica de inspección y vigilancia</v>
      </c>
      <c r="Z41" s="57" t="str">
        <f>IFERROR(__xludf.DUMMYFUNCTION("""COMPUTED_VALUE"""),"nelcy.villa@aunap.gov.co")</f>
        <v>nelcy.villa@aunap.gov.co</v>
      </c>
      <c r="AA41" s="47" t="str">
        <f>IFERROR(__xludf.DUMMYFUNCTION("""COMPUTED_VALUE"""),"Humanos, Físicos, Financieros, Tecnológicos")</f>
        <v>Humanos, Físicos, Financieros, Tecnológicos</v>
      </c>
      <c r="AB41" s="47" t="str">
        <f>IFERROR(__xludf.DUMMYFUNCTION("""COMPUTED_VALUE"""),"No asociado")</f>
        <v>No asociado</v>
      </c>
      <c r="AC41"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41" s="47" t="str">
        <f>IFERROR(__xludf.DUMMYFUNCTION("""COMPUTED_VALUE"""),"Gestión con valores para resultados")</f>
        <v>Gestión con valores para resultados</v>
      </c>
      <c r="AE41" s="47" t="str">
        <f>IFERROR(__xludf.DUMMYFUNCTION("""COMPUTED_VALUE"""),"Fortalecimiento Organizacional y Simplificación de Procesos")</f>
        <v>Fortalecimiento Organizacional y Simplificación de Procesos</v>
      </c>
      <c r="AF41" s="47" t="str">
        <f>IFERROR(__xludf.DUMMYFUNCTION("""COMPUTED_VALUE"""),"12. Producción y consumo responsable")</f>
        <v>12. Producción y consumo responsable</v>
      </c>
      <c r="AG41" s="58">
        <f>IFERROR(__xludf.DUMMYFUNCTION("""COMPUTED_VALUE"""),17.0)</f>
        <v>17</v>
      </c>
      <c r="AH41" s="59" t="str">
        <f>IFERROR(__xludf.DUMMYFUNCTION("""COMPUTED_VALUE"""),"Se dío cumplimiento de la actividad 100%")</f>
        <v>Se dío cumplimiento de la actividad 100%</v>
      </c>
      <c r="AI41" s="81" t="str">
        <f>IFERROR(__xludf.DUMMYFUNCTION("""COMPUTED_VALUE"""),"https://drive.google.com/drive/folders/1pGfwLUzldDSjCwqHdWdRIRWgOVXHsKOF?usp=sharing")</f>
        <v>https://drive.google.com/drive/folders/1pGfwLUzldDSjCwqHdWdRIRWgOVXHsKOF?usp=sharing</v>
      </c>
      <c r="AJ41" s="59">
        <f>IFERROR(__xludf.DUMMYFUNCTION("""COMPUTED_VALUE"""),70.0)</f>
        <v>70</v>
      </c>
      <c r="AK41" s="59" t="str">
        <f>IFERROR(__xludf.DUMMYFUNCTION("""COMPUTED_VALUE"""),"Cumplido")</f>
        <v>Cumplido</v>
      </c>
      <c r="AL41" s="59">
        <f>IFERROR(__xludf.DUMMYFUNCTION("""COMPUTED_VALUE"""),44582.0)</f>
        <v>44582</v>
      </c>
      <c r="AM41" s="60"/>
      <c r="AN41" s="61" t="str">
        <f>IFERROR(IF((AO41+1)&lt;2,Alertas!$B$2&amp;TEXT(AO41,"0%")&amp;Alertas!$D$2, IF((AO41+1)=2,Alertas!$B$3,IF((AO41+1)&gt;2,Alertas!$B$4&amp;TEXT(AO41,"0%")&amp;Alertas!$D$4,AO41+1))),"Sin meta para el segundo trimestre")</f>
        <v>La ejecución de la meta registrada se encuentra por debajo de la meta programada en la formulación del plan de acción para el segundo trimestre, su porcentaje de cumplimiento es 94%, lo cual indica un incumplimiento que puede ser entendido por los entes de control como falencias en el proceso de planeación y gestión de la dependencia. se recomienda realizar acciones para garantizar el cumplimiento de la meta durante lo que resta de vigencia</v>
      </c>
      <c r="AO41" s="62">
        <f t="shared" si="2"/>
        <v>0.9444444444</v>
      </c>
      <c r="AP41" s="61" t="str">
        <f t="shared" si="3"/>
        <v>La ejecución de la meta registrada se encuentra por debajo de la meta programada en la formulación del plan de acción para el segundo trimestre, su porcentaje de cumplimiento es 94%, lo cual indica un incumplimiento que puede ser entendido por los entes de control como falencias en el proceso de planeación y gestión de la dependencia. se recomienda realizar acciones para garantizar el cumplimiento de la meta durante lo que resta de vigencia.</v>
      </c>
      <c r="AQ41" s="63"/>
      <c r="AR41" s="64"/>
      <c r="AS41" s="65"/>
      <c r="AT41" s="65"/>
      <c r="AU41" s="66"/>
      <c r="AV41" s="67"/>
      <c r="AW41" s="68"/>
      <c r="AX41" s="63"/>
      <c r="AY41" s="64"/>
      <c r="AZ41" s="69"/>
      <c r="BA41" s="65"/>
      <c r="BB41" s="70"/>
      <c r="BC41" s="71"/>
      <c r="BD41" s="72"/>
      <c r="BE41" s="73"/>
      <c r="BF41" s="64"/>
      <c r="BG41" s="69"/>
      <c r="BH41" s="65"/>
      <c r="BI41" s="66"/>
      <c r="BJ41" s="71"/>
      <c r="BK41" s="72"/>
      <c r="BL41" s="74"/>
      <c r="BN41" s="5" t="str">
        <f t="shared" si="23"/>
        <v>-1</v>
      </c>
      <c r="BP41" s="5"/>
    </row>
    <row r="42" ht="37.5" customHeight="1">
      <c r="A42" s="45"/>
      <c r="B42" s="46">
        <f>IFERROR(__xludf.DUMMYFUNCTION("""COMPUTED_VALUE"""),40.0)</f>
        <v>40</v>
      </c>
      <c r="C42" s="47" t="str">
        <f>IFERROR(__xludf.DUMMYFUNCTION("""COMPUTED_VALUE"""),"Gestión de la inspección y vigilancia")</f>
        <v>Gestión de la inspección y vigilancia</v>
      </c>
      <c r="D42" s="48" t="str">
        <f>IFERROR(__xludf.DUMMYFUNCTION("""COMPUTED_VALUE"""),"Dirección Técnica de Inspección y Vigilancia")</f>
        <v>Dirección Técnica de Inspección y Vigilancia</v>
      </c>
      <c r="E42"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42" s="49">
        <f>IFERROR(__xludf.DUMMYFUNCTION("""COMPUTED_VALUE"""),2.019011000276E12)</f>
        <v>2019011000276</v>
      </c>
      <c r="G42" s="50" t="str">
        <f>IFERROR(__xludf.DUMMYFUNCTION("""COMPUTED_VALUE"""),"Inspección")</f>
        <v>Inspección</v>
      </c>
      <c r="H42" s="48" t="str">
        <f>IFERROR(__xludf.DUMMYFUNCTION("""COMPUTED_VALUE"""),"Fortalecer los mecanismos de seguimiento y control de la actividad pesquera y de la acuicultura.")</f>
        <v>Fortalecer los mecanismos de seguimiento y control de la actividad pesquera y de la acuicultura.</v>
      </c>
      <c r="I42" s="48" t="str">
        <f>IFERROR(__xludf.DUMMYFUNCTION("""COMPUTED_VALUE"""),"Servicio de inspección, vigilancia y control de la pesca y la acuicultura")</f>
        <v>Servicio de inspección, vigilancia y control de la pesca y la acuicultura</v>
      </c>
      <c r="J42" s="48" t="str">
        <f>IFERROR(__xludf.DUMMYFUNCTION("""COMPUTED_VALUE"""),"Realizar los operativos de inspección, vigilancia y control.")</f>
        <v>Realizar los operativos de inspección, vigilancia y control.</v>
      </c>
      <c r="K42" s="51" t="str">
        <f>IFERROR(__xludf.DUMMYFUNCTION("""COMPUTED_VALUE"""),"Producto")</f>
        <v>Producto</v>
      </c>
      <c r="L42" s="51" t="str">
        <f>IFERROR(__xludf.DUMMYFUNCTION("""COMPUTED_VALUE"""),"Eficacia")</f>
        <v>Eficacia</v>
      </c>
      <c r="M42" s="51" t="str">
        <f>IFERROR(__xludf.DUMMYFUNCTION("""COMPUTED_VALUE"""),"Número")</f>
        <v>Número</v>
      </c>
      <c r="N42" s="52" t="str">
        <f>IFERROR(__xludf.DUMMYFUNCTION("""COMPUTED_VALUE"""),"Operativos de inspección, vigilancia y control realizados")</f>
        <v>Operativos de inspección, vigilancia y control realizados</v>
      </c>
      <c r="O42" s="53">
        <f>IFERROR(__xludf.DUMMYFUNCTION("""COMPUTED_VALUE"""),157.0)</f>
        <v>157</v>
      </c>
      <c r="P42" s="78">
        <f>IFERROR(__xludf.DUMMYFUNCTION("""COMPUTED_VALUE"""),380.0)</f>
        <v>380</v>
      </c>
      <c r="Q42" s="79" t="str">
        <f>IFERROR(__xludf.DUMMYFUNCTION("""COMPUTED_VALUE"""),"Realizar los operativos de inspección, vigilancia y control realizados por la DTIV a nivel nacional")</f>
        <v>Realizar los operativos de inspección, vigilancia y control realizados por la DTIV a nivel nacional</v>
      </c>
      <c r="R42" s="79" t="str">
        <f>IFERROR(__xludf.DUMMYFUNCTION("""COMPUTED_VALUE"""),"Anual")</f>
        <v>Anual</v>
      </c>
      <c r="S42" s="78">
        <f>IFERROR(__xludf.DUMMYFUNCTION("""COMPUTED_VALUE"""),70.0)</f>
        <v>70</v>
      </c>
      <c r="T42" s="78">
        <f>IFERROR(__xludf.DUMMYFUNCTION("""COMPUTED_VALUE"""),106.0)</f>
        <v>106</v>
      </c>
      <c r="U42" s="78">
        <f>IFERROR(__xludf.DUMMYFUNCTION("""COMPUTED_VALUE"""),106.0)</f>
        <v>106</v>
      </c>
      <c r="V42" s="78">
        <f>IFERROR(__xludf.DUMMYFUNCTION("""COMPUTED_VALUE"""),98.0)</f>
        <v>98</v>
      </c>
      <c r="W42" s="56" t="str">
        <f>IFERROR(__xludf.DUMMYFUNCTION("""COMPUTED_VALUE"""),"Dirección Técnica de Inspección y Vigilancia")</f>
        <v>Dirección Técnica de Inspección y Vigilancia</v>
      </c>
      <c r="X42" s="57" t="str">
        <f>IFERROR(__xludf.DUMMYFUNCTION("""COMPUTED_VALUE"""),"Nelcy Villa")</f>
        <v>Nelcy Villa</v>
      </c>
      <c r="Y42" s="47" t="str">
        <f>IFERROR(__xludf.DUMMYFUNCTION("""COMPUTED_VALUE"""),"Directora técnica de inspección y vigilancia")</f>
        <v>Directora técnica de inspección y vigilancia</v>
      </c>
      <c r="Z42" s="57" t="str">
        <f>IFERROR(__xludf.DUMMYFUNCTION("""COMPUTED_VALUE"""),"nelcy.villa@aunap.gov.co")</f>
        <v>nelcy.villa@aunap.gov.co</v>
      </c>
      <c r="AA42" s="47" t="str">
        <f>IFERROR(__xludf.DUMMYFUNCTION("""COMPUTED_VALUE"""),"Humanos, Físicos, Financieros, Tecnológicos")</f>
        <v>Humanos, Físicos, Financieros, Tecnológicos</v>
      </c>
      <c r="AB42" s="47" t="str">
        <f>IFERROR(__xludf.DUMMYFUNCTION("""COMPUTED_VALUE"""),"No asociado")</f>
        <v>No asociado</v>
      </c>
      <c r="AC42"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42" s="47" t="str">
        <f>IFERROR(__xludf.DUMMYFUNCTION("""COMPUTED_VALUE"""),"Gestión con valores para resultados")</f>
        <v>Gestión con valores para resultados</v>
      </c>
      <c r="AE42" s="47" t="str">
        <f>IFERROR(__xludf.DUMMYFUNCTION("""COMPUTED_VALUE"""),"Fortalecimiento Organizacional y Simplificación de Procesos")</f>
        <v>Fortalecimiento Organizacional y Simplificación de Procesos</v>
      </c>
      <c r="AF42" s="47" t="str">
        <f>IFERROR(__xludf.DUMMYFUNCTION("""COMPUTED_VALUE"""),"12. Producción y consumo responsable")</f>
        <v>12. Producción y consumo responsable</v>
      </c>
      <c r="AG42" s="58">
        <f>IFERROR(__xludf.DUMMYFUNCTION("""COMPUTED_VALUE"""),117.0)</f>
        <v>117</v>
      </c>
      <c r="AH42" s="59" t="str">
        <f>IFERROR(__xludf.DUMMYFUNCTION("""COMPUTED_VALUE"""),"Teniendo en cuenta el ingraso de la nueva Contratista a aopoyar el tema de operativos, se aumento la actividad.")</f>
        <v>Teniendo en cuenta el ingraso de la nueva Contratista a aopoyar el tema de operativos, se aumento la actividad.</v>
      </c>
      <c r="AI42" s="81" t="str">
        <f>IFERROR(__xludf.DUMMYFUNCTION("""COMPUTED_VALUE"""),"https://drive.google.com/drive/folders/1pocybs9uS02d7fcFywingDBySKgSwIAG?usp=sharing")</f>
        <v>https://drive.google.com/drive/folders/1pocybs9uS02d7fcFywingDBySKgSwIAG?usp=sharing</v>
      </c>
      <c r="AJ42" s="59">
        <f>IFERROR(__xludf.DUMMYFUNCTION("""COMPUTED_VALUE"""),380.0)</f>
        <v>380</v>
      </c>
      <c r="AK42" s="59" t="str">
        <f>IFERROR(__xludf.DUMMYFUNCTION("""COMPUTED_VALUE"""),"Cumplido")</f>
        <v>Cumplido</v>
      </c>
      <c r="AL42" s="59">
        <f>IFERROR(__xludf.DUMMYFUNCTION("""COMPUTED_VALUE"""),44582.0)</f>
        <v>44582</v>
      </c>
      <c r="AM42" s="60"/>
      <c r="AN42" s="61" t="str">
        <f>IFERROR(IF((AO42+1)&lt;2,Alertas!$B$2&amp;TEXT(AO42,"0%")&amp;Alertas!$D$2, IF((AO42+1)=2,Alertas!$B$3,IF((AO42+1)&gt;2,Alertas!$B$4&amp;TEXT(AO42,"0%")&amp;Alertas!$D$4,AO42+1))),"Sin meta para el segundo trimestre")</f>
        <v>La ejecución de la meta registrada se encuentra por encima de la meta programada en la formulación del plan de acción para el segundo trimestre, su porcentaje de cumplimiento es 110%,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42" s="62">
        <f t="shared" si="2"/>
        <v>1.103773585</v>
      </c>
      <c r="AP42" s="61" t="str">
        <f t="shared" si="3"/>
        <v>La ejecución de la meta registrada se encuentra por encima de la meta programada en la formulación del plan de acción para el segundo trimestre, su porcentaje de cumplimiento es 110%,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42" s="63"/>
      <c r="AR42" s="64"/>
      <c r="AS42" s="65"/>
      <c r="AT42" s="65"/>
      <c r="AU42" s="66"/>
      <c r="AV42" s="67"/>
      <c r="AW42" s="68"/>
      <c r="AX42" s="63"/>
      <c r="AY42" s="64"/>
      <c r="AZ42" s="69"/>
      <c r="BA42" s="65"/>
      <c r="BB42" s="70"/>
      <c r="BC42" s="71"/>
      <c r="BD42" s="72"/>
      <c r="BE42" s="73"/>
      <c r="BF42" s="64"/>
      <c r="BG42" s="69"/>
      <c r="BH42" s="65"/>
      <c r="BI42" s="66"/>
      <c r="BJ42" s="71"/>
      <c r="BK42" s="72"/>
      <c r="BL42" s="74"/>
      <c r="BN42" s="5" t="str">
        <f t="shared" si="23"/>
        <v>1</v>
      </c>
      <c r="BP42" s="5"/>
    </row>
    <row r="43" ht="37.5" customHeight="1">
      <c r="A43" s="45"/>
      <c r="B43" s="46">
        <f>IFERROR(__xludf.DUMMYFUNCTION("""COMPUTED_VALUE"""),41.0)</f>
        <v>41</v>
      </c>
      <c r="C43" s="47" t="str">
        <f>IFERROR(__xludf.DUMMYFUNCTION("""COMPUTED_VALUE"""),"Gestión de la inspección y vigilancia")</f>
        <v>Gestión de la inspección y vigilancia</v>
      </c>
      <c r="D43" s="48" t="str">
        <f>IFERROR(__xludf.DUMMYFUNCTION("""COMPUTED_VALUE"""),"Dirección Técnica de Inspección y Vigilancia")</f>
        <v>Dirección Técnica de Inspección y Vigilancia</v>
      </c>
      <c r="E43"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43" s="49">
        <f>IFERROR(__xludf.DUMMYFUNCTION("""COMPUTED_VALUE"""),2.019011000276E12)</f>
        <v>2019011000276</v>
      </c>
      <c r="G43" s="50" t="str">
        <f>IFERROR(__xludf.DUMMYFUNCTION("""COMPUTED_VALUE"""),"Inspección")</f>
        <v>Inspección</v>
      </c>
      <c r="H43" s="48" t="str">
        <f>IFERROR(__xludf.DUMMYFUNCTION("""COMPUTED_VALUE"""),"Fortalecer los mecanismos de seguimiento y control de la actividad pesquera y de la acuicultura.")</f>
        <v>Fortalecer los mecanismos de seguimiento y control de la actividad pesquera y de la acuicultura.</v>
      </c>
      <c r="I43" s="48" t="str">
        <f>IFERROR(__xludf.DUMMYFUNCTION("""COMPUTED_VALUE"""),"Servicio de inspección, vigilancia y control de la pesca y la acuicultura")</f>
        <v>Servicio de inspección, vigilancia y control de la pesca y la acuicultura</v>
      </c>
      <c r="J43" s="48" t="str">
        <f>IFERROR(__xludf.DUMMYFUNCTION("""COMPUTED_VALUE"""),"Realizar seguimiento a los procesos y procedimientos del área.")</f>
        <v>Realizar seguimiento a los procesos y procedimientos del área.</v>
      </c>
      <c r="K43" s="51" t="str">
        <f>IFERROR(__xludf.DUMMYFUNCTION("""COMPUTED_VALUE"""),"Gestión del área")</f>
        <v>Gestión del área</v>
      </c>
      <c r="L43" s="51" t="str">
        <f>IFERROR(__xludf.DUMMYFUNCTION("""COMPUTED_VALUE"""),"Eficacia")</f>
        <v>Eficacia</v>
      </c>
      <c r="M43" s="51" t="str">
        <f>IFERROR(__xludf.DUMMYFUNCTION("""COMPUTED_VALUE"""),"Número")</f>
        <v>Número</v>
      </c>
      <c r="N43" s="52" t="str">
        <f>IFERROR(__xludf.DUMMYFUNCTION("""COMPUTED_VALUE"""),"Informes de seguimiento realizados sobre la implementación de los procesos de la DTIV para el control de la pesca y de la acuicultura a nivel nacional")</f>
        <v>Informes de seguimiento realizados sobre la implementación de los procesos de la DTIV para el control de la pesca y de la acuicultura a nivel nacional</v>
      </c>
      <c r="O43" s="53"/>
      <c r="P43" s="54">
        <f>IFERROR(__xludf.DUMMYFUNCTION("""COMPUTED_VALUE"""),3.0)</f>
        <v>3</v>
      </c>
      <c r="Q43" s="55" t="str">
        <f>IFERROR(__xludf.DUMMYFUNCTION("""COMPUTED_VALUE"""),"Realizar informe de seguimiento a la implementación de los procesos de la DTIV para el control de la pesca y de la acuicultura a nivel nacional")</f>
        <v>Realizar informe de seguimiento a la implementación de los procesos de la DTIV para el control de la pesca y de la acuicultura a nivel nacional</v>
      </c>
      <c r="R43" s="14" t="str">
        <f>IFERROR(__xludf.DUMMYFUNCTION("""COMPUTED_VALUE"""),"Trimestral")</f>
        <v>Trimestral</v>
      </c>
      <c r="S43" s="54">
        <f>IFERROR(__xludf.DUMMYFUNCTION("""COMPUTED_VALUE"""),0.0)</f>
        <v>0</v>
      </c>
      <c r="T43" s="54">
        <f>IFERROR(__xludf.DUMMYFUNCTION("""COMPUTED_VALUE"""),1.0)</f>
        <v>1</v>
      </c>
      <c r="U43" s="54">
        <f>IFERROR(__xludf.DUMMYFUNCTION("""COMPUTED_VALUE"""),1.0)</f>
        <v>1</v>
      </c>
      <c r="V43" s="54">
        <f>IFERROR(__xludf.DUMMYFUNCTION("""COMPUTED_VALUE"""),1.0)</f>
        <v>1</v>
      </c>
      <c r="W43" s="56" t="str">
        <f>IFERROR(__xludf.DUMMYFUNCTION("""COMPUTED_VALUE"""),"Dirección Técnica de Inspección y Vigilancia")</f>
        <v>Dirección Técnica de Inspección y Vigilancia</v>
      </c>
      <c r="X43" s="57" t="str">
        <f>IFERROR(__xludf.DUMMYFUNCTION("""COMPUTED_VALUE"""),"Nelcy Villa")</f>
        <v>Nelcy Villa</v>
      </c>
      <c r="Y43" s="47" t="str">
        <f>IFERROR(__xludf.DUMMYFUNCTION("""COMPUTED_VALUE"""),"Directora técnica de inspección y vigilancia")</f>
        <v>Directora técnica de inspección y vigilancia</v>
      </c>
      <c r="Z43" s="57" t="str">
        <f>IFERROR(__xludf.DUMMYFUNCTION("""COMPUTED_VALUE"""),"nelcy.villa@aunap.gov.co")</f>
        <v>nelcy.villa@aunap.gov.co</v>
      </c>
      <c r="AA43" s="47" t="str">
        <f>IFERROR(__xludf.DUMMYFUNCTION("""COMPUTED_VALUE"""),"Humanos, Físicos, Financieros, Tecnológicos")</f>
        <v>Humanos, Físicos, Financieros, Tecnológicos</v>
      </c>
      <c r="AB43" s="47" t="str">
        <f>IFERROR(__xludf.DUMMYFUNCTION("""COMPUTED_VALUE"""),"No asociado")</f>
        <v>No asociado</v>
      </c>
      <c r="AC43"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43" s="47" t="str">
        <f>IFERROR(__xludf.DUMMYFUNCTION("""COMPUTED_VALUE"""),"Gestión con valores para resultados")</f>
        <v>Gestión con valores para resultados</v>
      </c>
      <c r="AE43" s="47" t="str">
        <f>IFERROR(__xludf.DUMMYFUNCTION("""COMPUTED_VALUE"""),"Fortalecimiento Organizacional y Simplificación de Procesos")</f>
        <v>Fortalecimiento Organizacional y Simplificación de Procesos</v>
      </c>
      <c r="AF43" s="47" t="str">
        <f>IFERROR(__xludf.DUMMYFUNCTION("""COMPUTED_VALUE"""),"12. Producción y consumo responsable")</f>
        <v>12. Producción y consumo responsable</v>
      </c>
      <c r="AG43" s="58">
        <f>IFERROR(__xludf.DUMMYFUNCTION("""COMPUTED_VALUE"""),1.0)</f>
        <v>1</v>
      </c>
      <c r="AH43" s="59" t="str">
        <f>IFERROR(__xludf.DUMMYFUNCTION("""COMPUTED_VALUE"""),"Se dío cumplimiento de la actividad 100%")</f>
        <v>Se dío cumplimiento de la actividad 100%</v>
      </c>
      <c r="AI43" s="81" t="str">
        <f>IFERROR(__xludf.DUMMYFUNCTION("""COMPUTED_VALUE"""),"https://drive.google.com/drive/folders/1Pcab42Xifb71zhcwfTmfo95M_NIPwI-Q?usp=sharing")</f>
        <v>https://drive.google.com/drive/folders/1Pcab42Xifb71zhcwfTmfo95M_NIPwI-Q?usp=sharing</v>
      </c>
      <c r="AJ43" s="59">
        <f>IFERROR(__xludf.DUMMYFUNCTION("""COMPUTED_VALUE"""),2.0)</f>
        <v>2</v>
      </c>
      <c r="AK43" s="59" t="str">
        <f>IFERROR(__xludf.DUMMYFUNCTION("""COMPUTED_VALUE"""),"Para el cumplimiento de esta activida, se implemento la Estrategia de la nueva Directora Tecnica.")</f>
        <v>Para el cumplimiento de esta activida, se implemento la Estrategia de la nueva Directora Tecnica.</v>
      </c>
      <c r="AL43" s="59">
        <f>IFERROR(__xludf.DUMMYFUNCTION("""COMPUTED_VALUE"""),44582.0)</f>
        <v>44582</v>
      </c>
      <c r="AM43" s="60"/>
      <c r="AN43" s="61" t="str">
        <f>IFERROR(IF((AO43+1)&lt;2,Alertas!$B$2&amp;TEXT(AO43,"0%")&amp;Alertas!$D$2, IF((AO43+1)=2,Alertas!$B$3,IF((AO43+1)&gt;2,Alertas!$B$4&amp;TEXT(AO43,"0%")&amp;Alertas!$D$4,AO43+1))),"Sin meta para el segundo trimestre")</f>
        <v>La ejecución de la meta registrada se encuentra acorde a la meta programada en la formulación del plan de acción para el segundo trimestre</v>
      </c>
      <c r="AO43" s="62">
        <f t="shared" si="2"/>
        <v>1</v>
      </c>
      <c r="AP43" s="61" t="str">
        <f t="shared" si="3"/>
        <v>La ejecución de la meta registrada se encuentra acorde a la meta programada en la formulación del plan de acción para el segundo trimestre.</v>
      </c>
      <c r="AQ43" s="63"/>
      <c r="AR43" s="64"/>
      <c r="AS43" s="65"/>
      <c r="AT43" s="65"/>
      <c r="AU43" s="66"/>
      <c r="AV43" s="67"/>
      <c r="AW43" s="68"/>
      <c r="AX43" s="63"/>
      <c r="AY43" s="64"/>
      <c r="AZ43" s="69"/>
      <c r="BA43" s="65"/>
      <c r="BB43" s="70"/>
      <c r="BC43" s="71"/>
      <c r="BD43" s="72"/>
      <c r="BE43" s="73"/>
      <c r="BF43" s="64"/>
      <c r="BG43" s="69"/>
      <c r="BH43" s="65"/>
      <c r="BI43" s="66"/>
      <c r="BJ43" s="71"/>
      <c r="BK43" s="72"/>
      <c r="BL43" s="74"/>
      <c r="BN43" s="5" t="str">
        <f t="shared" si="23"/>
        <v>0</v>
      </c>
      <c r="BP43" s="5"/>
    </row>
    <row r="44" ht="37.5" customHeight="1">
      <c r="A44" s="45"/>
      <c r="B44" s="46">
        <f>IFERROR(__xludf.DUMMYFUNCTION("""COMPUTED_VALUE"""),42.0)</f>
        <v>42</v>
      </c>
      <c r="C44" s="47" t="str">
        <f>IFERROR(__xludf.DUMMYFUNCTION("""COMPUTED_VALUE"""),"Gestión de la inspección y vigilancia")</f>
        <v>Gestión de la inspección y vigilancia</v>
      </c>
      <c r="D44" s="48" t="str">
        <f>IFERROR(__xludf.DUMMYFUNCTION("""COMPUTED_VALUE"""),"Dirección Técnica de Inspección y Vigilancia")</f>
        <v>Dirección Técnica de Inspección y Vigilancia</v>
      </c>
      <c r="E44"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44" s="49">
        <f>IFERROR(__xludf.DUMMYFUNCTION("""COMPUTED_VALUE"""),2.019011000276E12)</f>
        <v>2019011000276</v>
      </c>
      <c r="G44" s="50" t="str">
        <f>IFERROR(__xludf.DUMMYFUNCTION("""COMPUTED_VALUE"""),"Inspección")</f>
        <v>Inspección</v>
      </c>
      <c r="H44" s="48" t="str">
        <f>IFERROR(__xludf.DUMMYFUNCTION("""COMPUTED_VALUE"""),"Fortalecer los mecanismos de seguimiento y control de la actividad pesquera y de la acuicultura.")</f>
        <v>Fortalecer los mecanismos de seguimiento y control de la actividad pesquera y de la acuicultura.</v>
      </c>
      <c r="I44" s="48" t="str">
        <f>IFERROR(__xludf.DUMMYFUNCTION("""COMPUTED_VALUE"""),"Servicio de inspección, vigilancia y control de la pesca y la acuicultura")</f>
        <v>Servicio de inspección, vigilancia y control de la pesca y la acuicultura</v>
      </c>
      <c r="J44" s="48" t="str">
        <f>IFERROR(__xludf.DUMMYFUNCTION("""COMPUTED_VALUE"""),"Participar en la elaboración de las medidas de ordenación y control.")</f>
        <v>Participar en la elaboración de las medidas de ordenación y control.</v>
      </c>
      <c r="K44" s="51" t="str">
        <f>IFERROR(__xludf.DUMMYFUNCTION("""COMPUTED_VALUE"""),"Gestión del área")</f>
        <v>Gestión del área</v>
      </c>
      <c r="L44" s="51" t="str">
        <f>IFERROR(__xludf.DUMMYFUNCTION("""COMPUTED_VALUE"""),"Eficacia")</f>
        <v>Eficacia</v>
      </c>
      <c r="M44" s="51" t="str">
        <f>IFERROR(__xludf.DUMMYFUNCTION("""COMPUTED_VALUE"""),"Número")</f>
        <v>Número</v>
      </c>
      <c r="N44" s="52" t="str">
        <f>IFERROR(__xludf.DUMMYFUNCTION("""COMPUTED_VALUE"""),"Documento propuesta de las cuotas globales de pesca realizados")</f>
        <v>Documento propuesta de las cuotas globales de pesca realizados</v>
      </c>
      <c r="O44" s="53"/>
      <c r="P44" s="54">
        <f>IFERROR(__xludf.DUMMYFUNCTION("""COMPUTED_VALUE"""),1.0)</f>
        <v>1</v>
      </c>
      <c r="Q44" s="55" t="str">
        <f>IFERROR(__xludf.DUMMYFUNCTION("""COMPUTED_VALUE"""),"Elaborar documento propuesta de las cuotas globales de pesca como insumo para la emisión del acto administrativo.")</f>
        <v>Elaborar documento propuesta de las cuotas globales de pesca como insumo para la emisión del acto administrativo.</v>
      </c>
      <c r="R44" s="14" t="str">
        <f>IFERROR(__xludf.DUMMYFUNCTION("""COMPUTED_VALUE"""),"Anual")</f>
        <v>Anual</v>
      </c>
      <c r="S44" s="54">
        <f>IFERROR(__xludf.DUMMYFUNCTION("""COMPUTED_VALUE"""),0.0)</f>
        <v>0</v>
      </c>
      <c r="T44" s="54">
        <f>IFERROR(__xludf.DUMMYFUNCTION("""COMPUTED_VALUE"""),0.0)</f>
        <v>0</v>
      </c>
      <c r="U44" s="54">
        <f>IFERROR(__xludf.DUMMYFUNCTION("""COMPUTED_VALUE"""),1.0)</f>
        <v>1</v>
      </c>
      <c r="V44" s="54">
        <f>IFERROR(__xludf.DUMMYFUNCTION("""COMPUTED_VALUE"""),0.0)</f>
        <v>0</v>
      </c>
      <c r="W44" s="56" t="str">
        <f>IFERROR(__xludf.DUMMYFUNCTION("""COMPUTED_VALUE"""),"Dirección Técnica de Inspección y Vigilancia")</f>
        <v>Dirección Técnica de Inspección y Vigilancia</v>
      </c>
      <c r="X44" s="57" t="str">
        <f>IFERROR(__xludf.DUMMYFUNCTION("""COMPUTED_VALUE"""),"Nelcy Villa")</f>
        <v>Nelcy Villa</v>
      </c>
      <c r="Y44" s="47" t="str">
        <f>IFERROR(__xludf.DUMMYFUNCTION("""COMPUTED_VALUE"""),"Directora técnica de inspección y vigilancia")</f>
        <v>Directora técnica de inspección y vigilancia</v>
      </c>
      <c r="Z44" s="57" t="str">
        <f>IFERROR(__xludf.DUMMYFUNCTION("""COMPUTED_VALUE"""),"nelcy.villa@aunap.gov.co")</f>
        <v>nelcy.villa@aunap.gov.co</v>
      </c>
      <c r="AA44" s="47" t="str">
        <f>IFERROR(__xludf.DUMMYFUNCTION("""COMPUTED_VALUE"""),"Humanos, Físicos, Financieros, Tecnológicos")</f>
        <v>Humanos, Físicos, Financieros, Tecnológicos</v>
      </c>
      <c r="AB44" s="47" t="str">
        <f>IFERROR(__xludf.DUMMYFUNCTION("""COMPUTED_VALUE"""),"No asociado")</f>
        <v>No asociado</v>
      </c>
      <c r="AC44"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44" s="47" t="str">
        <f>IFERROR(__xludf.DUMMYFUNCTION("""COMPUTED_VALUE"""),"Gestión con valores para resultados")</f>
        <v>Gestión con valores para resultados</v>
      </c>
      <c r="AE44" s="47" t="str">
        <f>IFERROR(__xludf.DUMMYFUNCTION("""COMPUTED_VALUE"""),"Fortalecimiento Organizacional y Simplificación de Procesos")</f>
        <v>Fortalecimiento Organizacional y Simplificación de Procesos</v>
      </c>
      <c r="AF44" s="47" t="str">
        <f>IFERROR(__xludf.DUMMYFUNCTION("""COMPUTED_VALUE"""),"12. Producción y consumo responsable")</f>
        <v>12. Producción y consumo responsable</v>
      </c>
      <c r="AG44" s="58">
        <f>IFERROR(__xludf.DUMMYFUNCTION("""COMPUTED_VALUE"""),0.0)</f>
        <v>0</v>
      </c>
      <c r="AH44" s="59" t="str">
        <f>IFERROR(__xludf.DUMMYFUNCTION("""COMPUTED_VALUE"""),"N/A")</f>
        <v>N/A</v>
      </c>
      <c r="AI44" s="59" t="str">
        <f>IFERROR(__xludf.DUMMYFUNCTION("""COMPUTED_VALUE"""),"N/A")</f>
        <v>N/A</v>
      </c>
      <c r="AJ44" s="59">
        <f>IFERROR(__xludf.DUMMYFUNCTION("""COMPUTED_VALUE"""),0.0)</f>
        <v>0</v>
      </c>
      <c r="AK44" s="59" t="str">
        <f>IFERROR(__xludf.DUMMYFUNCTION("""COMPUTED_VALUE"""),"N/A")</f>
        <v>N/A</v>
      </c>
      <c r="AL44" s="59">
        <f>IFERROR(__xludf.DUMMYFUNCTION("""COMPUTED_VALUE"""),44582.0)</f>
        <v>44582</v>
      </c>
      <c r="AM44" s="60"/>
      <c r="AN44" s="61" t="str">
        <f>IFERROR(IF((AO44+1)&lt;2,Alertas!$B$2&amp;TEXT(AO44,"0%")&amp;Alertas!$D$2, IF((AO44+1)=2,Alertas!$B$3,IF((AO44+1)&gt;2,Alertas!$B$4&amp;TEXT(AO44,"0%")&amp;Alertas!$D$4,AO44+1))),"Sin meta para el segundo trimestre")</f>
        <v>Sin meta para el segundo trimestre</v>
      </c>
      <c r="AO44" s="62" t="str">
        <f t="shared" si="2"/>
        <v>-</v>
      </c>
      <c r="AP44" s="61" t="str">
        <f t="shared" si="3"/>
        <v>Sin meta para el segundo trimestre.</v>
      </c>
      <c r="AQ44" s="63"/>
      <c r="AR44" s="64"/>
      <c r="AS44" s="65"/>
      <c r="AT44" s="65"/>
      <c r="AU44" s="66"/>
      <c r="AV44" s="67"/>
      <c r="AW44" s="68"/>
      <c r="AX44" s="63"/>
      <c r="AY44" s="64"/>
      <c r="AZ44" s="69"/>
      <c r="BA44" s="65"/>
      <c r="BB44" s="70"/>
      <c r="BC44" s="71"/>
      <c r="BD44" s="72"/>
      <c r="BE44" s="73"/>
      <c r="BF44" s="64"/>
      <c r="BG44" s="69"/>
      <c r="BH44" s="65"/>
      <c r="BI44" s="66"/>
      <c r="BJ44" s="71"/>
      <c r="BK44" s="72"/>
      <c r="BL44" s="74"/>
      <c r="BN44" s="5" t="str">
        <f t="shared" si="23"/>
        <v>-</v>
      </c>
      <c r="BP44" s="5"/>
    </row>
    <row r="45" ht="37.5" customHeight="1">
      <c r="A45" s="45"/>
      <c r="B45" s="46">
        <f>IFERROR(__xludf.DUMMYFUNCTION("""COMPUTED_VALUE"""),43.0)</f>
        <v>43</v>
      </c>
      <c r="C45" s="47" t="str">
        <f>IFERROR(__xludf.DUMMYFUNCTION("""COMPUTED_VALUE"""),"Gestión de la inspección y vigilancia")</f>
        <v>Gestión de la inspección y vigilancia</v>
      </c>
      <c r="D45" s="48" t="str">
        <f>IFERROR(__xludf.DUMMYFUNCTION("""COMPUTED_VALUE"""),"Dirección Técnica de Inspección y Vigilancia")</f>
        <v>Dirección Técnica de Inspección y Vigilancia</v>
      </c>
      <c r="E45"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45" s="49">
        <f>IFERROR(__xludf.DUMMYFUNCTION("""COMPUTED_VALUE"""),2.019011000276E12)</f>
        <v>2019011000276</v>
      </c>
      <c r="G45" s="50" t="str">
        <f>IFERROR(__xludf.DUMMYFUNCTION("""COMPUTED_VALUE"""),"Inspección")</f>
        <v>Inspección</v>
      </c>
      <c r="H45" s="48" t="str">
        <f>IFERROR(__xludf.DUMMYFUNCTION("""COMPUTED_VALUE"""),"Fortalecer los mecanismos de seguimiento y control de la actividad pesquera y de la acuicultura.")</f>
        <v>Fortalecer los mecanismos de seguimiento y control de la actividad pesquera y de la acuicultura.</v>
      </c>
      <c r="I45" s="48" t="str">
        <f>IFERROR(__xludf.DUMMYFUNCTION("""COMPUTED_VALUE"""),"Servicio de inspección, vigilancia y control de la pesca y la acuicultura")</f>
        <v>Servicio de inspección, vigilancia y control de la pesca y la acuicultura</v>
      </c>
      <c r="J45" s="48" t="str">
        <f>IFERROR(__xludf.DUMMYFUNCTION("""COMPUTED_VALUE"""),"Realizar seguimiento y actualización al registro general de pesca.")</f>
        <v>Realizar seguimiento y actualización al registro general de pesca.</v>
      </c>
      <c r="K45" s="51" t="str">
        <f>IFERROR(__xludf.DUMMYFUNCTION("""COMPUTED_VALUE"""),"Gestión del área")</f>
        <v>Gestión del área</v>
      </c>
      <c r="L45" s="51" t="str">
        <f>IFERROR(__xludf.DUMMYFUNCTION("""COMPUTED_VALUE"""),"Eficacia")</f>
        <v>Eficacia</v>
      </c>
      <c r="M45" s="51" t="str">
        <f>IFERROR(__xludf.DUMMYFUNCTION("""COMPUTED_VALUE"""),"Número")</f>
        <v>Número</v>
      </c>
      <c r="N45" s="52" t="str">
        <f>IFERROR(__xludf.DUMMYFUNCTION("""COMPUTED_VALUE"""),"Actualizaciones realizadas a la base de datos del Registro General de Pesca.
")</f>
        <v>Actualizaciones realizadas a la base de datos del Registro General de Pesca.
</v>
      </c>
      <c r="O45" s="53"/>
      <c r="P45" s="54">
        <f>IFERROR(__xludf.DUMMYFUNCTION("""COMPUTED_VALUE"""),12.0)</f>
        <v>12</v>
      </c>
      <c r="Q45" s="55" t="str">
        <f>IFERROR(__xludf.DUMMYFUNCTION("""COMPUTED_VALUE"""),"Actualizar las bases de datos para el seguimiento de los permisionarios en el registro general de pesca - RGP")</f>
        <v>Actualizar las bases de datos para el seguimiento de los permisionarios en el registro general de pesca - RGP</v>
      </c>
      <c r="R45" s="14" t="str">
        <f>IFERROR(__xludf.DUMMYFUNCTION("""COMPUTED_VALUE"""),"Mensual")</f>
        <v>Mensual</v>
      </c>
      <c r="S45" s="54">
        <f>IFERROR(__xludf.DUMMYFUNCTION("""COMPUTED_VALUE"""),3.0)</f>
        <v>3</v>
      </c>
      <c r="T45" s="54">
        <f>IFERROR(__xludf.DUMMYFUNCTION("""COMPUTED_VALUE"""),3.0)</f>
        <v>3</v>
      </c>
      <c r="U45" s="54">
        <f>IFERROR(__xludf.DUMMYFUNCTION("""COMPUTED_VALUE"""),3.0)</f>
        <v>3</v>
      </c>
      <c r="V45" s="54">
        <f>IFERROR(__xludf.DUMMYFUNCTION("""COMPUTED_VALUE"""),3.0)</f>
        <v>3</v>
      </c>
      <c r="W45" s="56" t="str">
        <f>IFERROR(__xludf.DUMMYFUNCTION("""COMPUTED_VALUE"""),"Dirección Técnica de Inspección y Vigilancia")</f>
        <v>Dirección Técnica de Inspección y Vigilancia</v>
      </c>
      <c r="X45" s="57" t="str">
        <f>IFERROR(__xludf.DUMMYFUNCTION("""COMPUTED_VALUE"""),"Nelcy Villa")</f>
        <v>Nelcy Villa</v>
      </c>
      <c r="Y45" s="47" t="str">
        <f>IFERROR(__xludf.DUMMYFUNCTION("""COMPUTED_VALUE"""),"Directora técnica de inspección y vigilancia")</f>
        <v>Directora técnica de inspección y vigilancia</v>
      </c>
      <c r="Z45" s="57" t="str">
        <f>IFERROR(__xludf.DUMMYFUNCTION("""COMPUTED_VALUE"""),"nelcy.villa@aunap.gov.co")</f>
        <v>nelcy.villa@aunap.gov.co</v>
      </c>
      <c r="AA45" s="47" t="str">
        <f>IFERROR(__xludf.DUMMYFUNCTION("""COMPUTED_VALUE"""),"Humanos, Físicos, Financieros, Tecnológicos")</f>
        <v>Humanos, Físicos, Financieros, Tecnológicos</v>
      </c>
      <c r="AB45" s="47" t="str">
        <f>IFERROR(__xludf.DUMMYFUNCTION("""COMPUTED_VALUE"""),"No asociado")</f>
        <v>No asociado</v>
      </c>
      <c r="AC45"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45" s="47" t="str">
        <f>IFERROR(__xludf.DUMMYFUNCTION("""COMPUTED_VALUE"""),"Gestión con valores para resultados")</f>
        <v>Gestión con valores para resultados</v>
      </c>
      <c r="AE45" s="47" t="str">
        <f>IFERROR(__xludf.DUMMYFUNCTION("""COMPUTED_VALUE"""),"Fortalecimiento Organizacional y Simplificación de Procesos")</f>
        <v>Fortalecimiento Organizacional y Simplificación de Procesos</v>
      </c>
      <c r="AF45" s="47" t="str">
        <f>IFERROR(__xludf.DUMMYFUNCTION("""COMPUTED_VALUE"""),"12. Producción y consumo responsable")</f>
        <v>12. Producción y consumo responsable</v>
      </c>
      <c r="AG45" s="58">
        <f>IFERROR(__xludf.DUMMYFUNCTION("""COMPUTED_VALUE"""),3.0)</f>
        <v>3</v>
      </c>
      <c r="AH45" s="59" t="str">
        <f>IFERROR(__xludf.DUMMYFUNCTION("""COMPUTED_VALUE"""),"Se dio cumplimiento a esta actividad 100%")</f>
        <v>Se dio cumplimiento a esta actividad 100%</v>
      </c>
      <c r="AI45" s="77" t="str">
        <f>IFERROR(__xludf.DUMMYFUNCTION("""COMPUTED_VALUE"""),"https://drive.google.com/drive/folders/1UkEn016ZnnggLD-nTydbstwYZEWzKHmz?usp=sharing")</f>
        <v>https://drive.google.com/drive/folders/1UkEn016ZnnggLD-nTydbstwYZEWzKHmz?usp=sharing</v>
      </c>
      <c r="AJ45" s="59">
        <f>IFERROR(__xludf.DUMMYFUNCTION("""COMPUTED_VALUE"""),12.0)</f>
        <v>12</v>
      </c>
      <c r="AK45" s="59" t="str">
        <f>IFERROR(__xludf.DUMMYFUNCTION("""COMPUTED_VALUE"""),"Se cumplio la meta")</f>
        <v>Se cumplio la meta</v>
      </c>
      <c r="AL45" s="59">
        <f>IFERROR(__xludf.DUMMYFUNCTION("""COMPUTED_VALUE"""),44582.0)</f>
        <v>44582</v>
      </c>
      <c r="AM45" s="60"/>
      <c r="AN45" s="61" t="str">
        <f>IFERROR(IF((AO45+1)&lt;2,Alertas!$B$2&amp;TEXT(AO45,"0%")&amp;Alertas!$D$2, IF((AO45+1)=2,Alertas!$B$3,IF((AO45+1)&gt;2,Alertas!$B$4&amp;TEXT(AO45,"0%")&amp;Alertas!$D$4,AO45+1))),"Sin meta para el segundo trimestre")</f>
        <v>La ejecución de la meta registrada se encuentra acorde a la meta programada en la formulación del plan de acción para el segundo trimestre</v>
      </c>
      <c r="AO45" s="62">
        <f t="shared" si="2"/>
        <v>1</v>
      </c>
      <c r="AP45" s="61" t="str">
        <f t="shared" si="3"/>
        <v>La ejecución de la meta registrada se encuentra acorde a la meta programada en la formulación del plan de acción para el segundo trimestre.</v>
      </c>
      <c r="AQ45" s="63"/>
      <c r="AR45" s="64"/>
      <c r="AS45" s="65"/>
      <c r="AT45" s="65"/>
      <c r="AU45" s="66"/>
      <c r="AV45" s="67"/>
      <c r="AW45" s="68"/>
      <c r="AX45" s="63"/>
      <c r="AY45" s="64"/>
      <c r="AZ45" s="69"/>
      <c r="BA45" s="65"/>
      <c r="BB45" s="70"/>
      <c r="BC45" s="71"/>
      <c r="BD45" s="72"/>
      <c r="BE45" s="73"/>
      <c r="BF45" s="64"/>
      <c r="BG45" s="69"/>
      <c r="BH45" s="65"/>
      <c r="BI45" s="66"/>
      <c r="BJ45" s="71"/>
      <c r="BK45" s="72"/>
      <c r="BL45" s="74"/>
      <c r="BN45" s="5" t="str">
        <f t="shared" si="23"/>
        <v>0</v>
      </c>
      <c r="BP45" s="5"/>
    </row>
    <row r="46" ht="37.5" customHeight="1">
      <c r="A46" s="45"/>
      <c r="B46" s="46">
        <f>IFERROR(__xludf.DUMMYFUNCTION("""COMPUTED_VALUE"""),44.0)</f>
        <v>44</v>
      </c>
      <c r="C46" s="47" t="str">
        <f>IFERROR(__xludf.DUMMYFUNCTION("""COMPUTED_VALUE"""),"Gestión de la inspección y vigilancia")</f>
        <v>Gestión de la inspección y vigilancia</v>
      </c>
      <c r="D46" s="48" t="str">
        <f>IFERROR(__xludf.DUMMYFUNCTION("""COMPUTED_VALUE"""),"Dirección Técnica de Inspección y Vigilancia")</f>
        <v>Dirección Técnica de Inspección y Vigilancia</v>
      </c>
      <c r="E46" s="48" t="str">
        <f>IFERROR(__xludf.DUMMYFUNCTION("""COMPUTED_VALUE"""),"Fortalecimiento del servicio estadístico pesquero colombiano a nivel nacional")</f>
        <v>Fortalecimiento del servicio estadístico pesquero colombiano a nivel nacional</v>
      </c>
      <c r="F46" s="49">
        <f>IFERROR(__xludf.DUMMYFUNCTION("""COMPUTED_VALUE"""),2.019011000275E12)</f>
        <v>2019011000275</v>
      </c>
      <c r="G46" s="50" t="str">
        <f>IFERROR(__xludf.DUMMYFUNCTION("""COMPUTED_VALUE"""),"Sepec")</f>
        <v>Sepec</v>
      </c>
      <c r="H46" s="48" t="str">
        <f>IFERROR(__xludf.DUMMYFUNCTION("""COMPUTED_VALUE"""),"Fortalecer los mecanismos de recolección y análisis de la información estadística de la actividad pesquera y de la acuicultura.")</f>
        <v>Fortalecer los mecanismos de recolección y análisis de la información estadística de la actividad pesquera y de la acuicultura.</v>
      </c>
      <c r="I46" s="48" t="str">
        <f>IFERROR(__xludf.DUMMYFUNCTION("""COMPUTED_VALUE"""),"_Servicio de análisis de Información para la planificación pesquera y de la acuicultura")</f>
        <v>_Servicio de análisis de Información para la planificación pesquera y de la acuicultura</v>
      </c>
      <c r="J46" s="48" t="str">
        <f>IFERROR(__xludf.DUMMYFUNCTION("""COMPUTED_VALUE"""),"Analizar la información estadística de la pesca y la acuicultura.")</f>
        <v>Analizar la información estadística de la pesca y la acuicultura.</v>
      </c>
      <c r="K46" s="51" t="str">
        <f>IFERROR(__xludf.DUMMYFUNCTION("""COMPUTED_VALUE"""),"Producto")</f>
        <v>Producto</v>
      </c>
      <c r="L46" s="51" t="str">
        <f>IFERROR(__xludf.DUMMYFUNCTION("""COMPUTED_VALUE"""),"Eficacia")</f>
        <v>Eficacia</v>
      </c>
      <c r="M46" s="51" t="str">
        <f>IFERROR(__xludf.DUMMYFUNCTION("""COMPUTED_VALUE"""),"Número")</f>
        <v>Número</v>
      </c>
      <c r="N46" s="52" t="str">
        <f>IFERROR(__xludf.DUMMYFUNCTION("""COMPUTED_VALUE"""),"Análisis generados")</f>
        <v>Análisis generados</v>
      </c>
      <c r="O46" s="53">
        <f>IFERROR(__xludf.DUMMYFUNCTION("""COMPUTED_VALUE"""),3.0)</f>
        <v>3</v>
      </c>
      <c r="P46" s="54">
        <f>IFERROR(__xludf.DUMMYFUNCTION("""COMPUTED_VALUE"""),5.0)</f>
        <v>5</v>
      </c>
      <c r="Q46" s="55" t="str">
        <f>IFERROR(__xludf.DUMMYFUNCTION("""COMPUTED_VALUE"""),"Realizar el seguimiento de la actualización a las bases de datos, análisis generados de los componentes del Servicio Estadístico Pesquero Colombiano - SEPEC")</f>
        <v>Realizar el seguimiento de la actualización a las bases de datos, análisis generados de los componentes del Servicio Estadístico Pesquero Colombiano - SEPEC</v>
      </c>
      <c r="R46" s="14" t="str">
        <f>IFERROR(__xludf.DUMMYFUNCTION("""COMPUTED_VALUE"""),"Bimestral")</f>
        <v>Bimestral</v>
      </c>
      <c r="S46" s="54">
        <f>IFERROR(__xludf.DUMMYFUNCTION("""COMPUTED_VALUE"""),1.0)</f>
        <v>1</v>
      </c>
      <c r="T46" s="54">
        <f>IFERROR(__xludf.DUMMYFUNCTION("""COMPUTED_VALUE"""),1.0)</f>
        <v>1</v>
      </c>
      <c r="U46" s="54">
        <f>IFERROR(__xludf.DUMMYFUNCTION("""COMPUTED_VALUE"""),2.0)</f>
        <v>2</v>
      </c>
      <c r="V46" s="54">
        <f>IFERROR(__xludf.DUMMYFUNCTION("""COMPUTED_VALUE"""),1.0)</f>
        <v>1</v>
      </c>
      <c r="W46" s="56" t="str">
        <f>IFERROR(__xludf.DUMMYFUNCTION("""COMPUTED_VALUE"""),"Dirección Técnica de Inspección y Vigilancia")</f>
        <v>Dirección Técnica de Inspección y Vigilancia</v>
      </c>
      <c r="X46" s="57" t="str">
        <f>IFERROR(__xludf.DUMMYFUNCTION("""COMPUTED_VALUE"""),"Nelcy Villa")</f>
        <v>Nelcy Villa</v>
      </c>
      <c r="Y46" s="47" t="str">
        <f>IFERROR(__xludf.DUMMYFUNCTION("""COMPUTED_VALUE"""),"Directora técnica de inspección y vigilancia")</f>
        <v>Directora técnica de inspección y vigilancia</v>
      </c>
      <c r="Z46" s="57" t="str">
        <f>IFERROR(__xludf.DUMMYFUNCTION("""COMPUTED_VALUE"""),"nelcy.villa@aunap.gov.co")</f>
        <v>nelcy.villa@aunap.gov.co</v>
      </c>
      <c r="AA46" s="47" t="str">
        <f>IFERROR(__xludf.DUMMYFUNCTION("""COMPUTED_VALUE"""),"Humanos, Físicos, Financieros, Tecnológicos")</f>
        <v>Humanos, Físicos, Financieros, Tecnológicos</v>
      </c>
      <c r="AB46" s="47" t="str">
        <f>IFERROR(__xludf.DUMMYFUNCTION("""COMPUTED_VALUE"""),"No asociado")</f>
        <v>No asociado</v>
      </c>
      <c r="AC46"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46" s="47" t="str">
        <f>IFERROR(__xludf.DUMMYFUNCTION("""COMPUTED_VALUE"""),"Gestión con valores para resultados")</f>
        <v>Gestión con valores para resultados</v>
      </c>
      <c r="AE46" s="47" t="str">
        <f>IFERROR(__xludf.DUMMYFUNCTION("""COMPUTED_VALUE"""),"Fortalecimiento Organizacional y Simplificación de Procesos")</f>
        <v>Fortalecimiento Organizacional y Simplificación de Procesos</v>
      </c>
      <c r="AF46" s="47" t="str">
        <f>IFERROR(__xludf.DUMMYFUNCTION("""COMPUTED_VALUE"""),"12. Producción y consumo responsable")</f>
        <v>12. Producción y consumo responsable</v>
      </c>
      <c r="AG46" s="58">
        <f>IFERROR(__xludf.DUMMYFUNCTION("""COMPUTED_VALUE"""),1.0)</f>
        <v>1</v>
      </c>
      <c r="AH46" s="59" t="str">
        <f>IFERROR(__xludf.DUMMYFUNCTION("""COMPUTED_VALUE"""),"Se dio el cumplimiento el 100%")</f>
        <v>Se dio el cumplimiento el 100%</v>
      </c>
      <c r="AI46" s="81" t="str">
        <f>IFERROR(__xludf.DUMMYFUNCTION("""COMPUTED_VALUE"""),"https://drive.google.com/drive/folders/1ZFbNnWmHfqzwADyeZ3h6dTVw0YPvl_yZ?usp=sharing")</f>
        <v>https://drive.google.com/drive/folders/1ZFbNnWmHfqzwADyeZ3h6dTVw0YPvl_yZ?usp=sharing</v>
      </c>
      <c r="AJ46" s="59">
        <f>IFERROR(__xludf.DUMMYFUNCTION("""COMPUTED_VALUE"""),5.0)</f>
        <v>5</v>
      </c>
      <c r="AK46" s="59" t="str">
        <f>IFERROR(__xludf.DUMMYFUNCTION("""COMPUTED_VALUE"""),"Se cumplio la meta")</f>
        <v>Se cumplio la meta</v>
      </c>
      <c r="AL46" s="59">
        <f>IFERROR(__xludf.DUMMYFUNCTION("""COMPUTED_VALUE"""),44582.0)</f>
        <v>44582</v>
      </c>
      <c r="AM46" s="60"/>
      <c r="AN46" s="61" t="str">
        <f>IFERROR(IF((AO46+1)&lt;2,Alertas!$B$2&amp;TEXT(AO46,"0%")&amp;Alertas!$D$2, IF((AO46+1)=2,Alertas!$B$3,IF((AO46+1)&gt;2,Alertas!$B$4&amp;TEXT(AO46,"0%")&amp;Alertas!$D$4,AO46+1))),"Sin meta para el segundo trimestre")</f>
        <v>La ejecución de la meta registrada se encuentra acorde a la meta programada en la formulación del plan de acción para el segundo trimestre</v>
      </c>
      <c r="AO46" s="62">
        <f t="shared" si="2"/>
        <v>1</v>
      </c>
      <c r="AP46" s="61" t="str">
        <f t="shared" si="3"/>
        <v>La ejecución de la meta registrada se encuentra acorde a la meta programada en la formulación del plan de acción para el segundo trimestre.</v>
      </c>
      <c r="AQ46" s="63"/>
      <c r="AR46" s="64"/>
      <c r="AS46" s="65"/>
      <c r="AT46" s="65"/>
      <c r="AU46" s="66"/>
      <c r="AV46" s="67"/>
      <c r="AW46" s="68"/>
      <c r="AX46" s="63"/>
      <c r="AY46" s="64"/>
      <c r="AZ46" s="69"/>
      <c r="BA46" s="65"/>
      <c r="BB46" s="70"/>
      <c r="BC46" s="71"/>
      <c r="BD46" s="72"/>
      <c r="BE46" s="73"/>
      <c r="BF46" s="64"/>
      <c r="BG46" s="69"/>
      <c r="BH46" s="65"/>
      <c r="BI46" s="66"/>
      <c r="BJ46" s="71"/>
      <c r="BK46" s="72"/>
      <c r="BL46" s="74"/>
      <c r="BN46" s="5" t="str">
        <f t="shared" si="23"/>
        <v>0</v>
      </c>
      <c r="BP46" s="5"/>
    </row>
    <row r="47" ht="37.5" customHeight="1">
      <c r="A47" s="45"/>
      <c r="B47" s="46">
        <f>IFERROR(__xludf.DUMMYFUNCTION("""COMPUTED_VALUE"""),45.0)</f>
        <v>45</v>
      </c>
      <c r="C47" s="47" t="str">
        <f>IFERROR(__xludf.DUMMYFUNCTION("""COMPUTED_VALUE"""),"Gestión de la inspección y vigilancia")</f>
        <v>Gestión de la inspección y vigilancia</v>
      </c>
      <c r="D47" s="48" t="str">
        <f>IFERROR(__xludf.DUMMYFUNCTION("""COMPUTED_VALUE"""),"Dirección Técnica de Inspección y Vigilancia")</f>
        <v>Dirección Técnica de Inspección y Vigilancia</v>
      </c>
      <c r="E47"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47" s="49">
        <f>IFERROR(__xludf.DUMMYFUNCTION("""COMPUTED_VALUE"""),2.019011000276E12)</f>
        <v>2019011000276</v>
      </c>
      <c r="G47" s="50" t="str">
        <f>IFERROR(__xludf.DUMMYFUNCTION("""COMPUTED_VALUE"""),"Inspección")</f>
        <v>Inspección</v>
      </c>
      <c r="H47" s="48" t="str">
        <f>IFERROR(__xludf.DUMMYFUNCTION("""COMPUTED_VALUE"""),"Fortalecer los mecanismos de seguimiento y control de la actividad pesquera y de la acuicultura.")</f>
        <v>Fortalecer los mecanismos de seguimiento y control de la actividad pesquera y de la acuicultura.</v>
      </c>
      <c r="I47" s="48" t="str">
        <f>IFERROR(__xludf.DUMMYFUNCTION("""COMPUTED_VALUE"""),"Servicio de inspección, vigilancia y control de la pesca y la acuicultura")</f>
        <v>Servicio de inspección, vigilancia y control de la pesca y la acuicultura</v>
      </c>
      <c r="J47" s="48" t="str">
        <f>IFERROR(__xludf.DUMMYFUNCTION("""COMPUTED_VALUE"""),"Realizar seguimiento a los procesos y procedimientos del área.")</f>
        <v>Realizar seguimiento a los procesos y procedimientos del área.</v>
      </c>
      <c r="K47" s="51" t="str">
        <f>IFERROR(__xludf.DUMMYFUNCTION("""COMPUTED_VALUE"""),"Gestión del área")</f>
        <v>Gestión del área</v>
      </c>
      <c r="L47" s="51" t="str">
        <f>IFERROR(__xludf.DUMMYFUNCTION("""COMPUTED_VALUE"""),"Eficacia")</f>
        <v>Eficacia</v>
      </c>
      <c r="M47" s="51" t="str">
        <f>IFERROR(__xludf.DUMMYFUNCTION("""COMPUTED_VALUE"""),"Número")</f>
        <v>Número</v>
      </c>
      <c r="N47" s="52" t="str">
        <f>IFERROR(__xludf.DUMMYFUNCTION("""COMPUTED_VALUE"""),"Informes reportados a la oficina de comunicaciones sobre los operativos de inspección, vigilancia y control realizados.")</f>
        <v>Informes reportados a la oficina de comunicaciones sobre los operativos de inspección, vigilancia y control realizados.</v>
      </c>
      <c r="O47" s="53"/>
      <c r="P47" s="54">
        <f>IFERROR(__xludf.DUMMYFUNCTION("""COMPUTED_VALUE"""),8.0)</f>
        <v>8</v>
      </c>
      <c r="Q47" s="55" t="str">
        <f>IFERROR(__xludf.DUMMYFUNCTION("""COMPUTED_VALUE"""),"Reportar la información de los operativos de inspección, vigilancia y control realizados para su divulgacion.")</f>
        <v>Reportar la información de los operativos de inspección, vigilancia y control realizados para su divulgacion.</v>
      </c>
      <c r="R47" s="14" t="str">
        <f>IFERROR(__xludf.DUMMYFUNCTION("""COMPUTED_VALUE"""),"Mensual")</f>
        <v>Mensual</v>
      </c>
      <c r="S47" s="54">
        <f>IFERROR(__xludf.DUMMYFUNCTION("""COMPUTED_VALUE"""),1.0)</f>
        <v>1</v>
      </c>
      <c r="T47" s="54">
        <f>IFERROR(__xludf.DUMMYFUNCTION("""COMPUTED_VALUE"""),0.0)</f>
        <v>0</v>
      </c>
      <c r="U47" s="54">
        <f>IFERROR(__xludf.DUMMYFUNCTION("""COMPUTED_VALUE"""),4.0)</f>
        <v>4</v>
      </c>
      <c r="V47" s="54">
        <f>IFERROR(__xludf.DUMMYFUNCTION("""COMPUTED_VALUE"""),3.0)</f>
        <v>3</v>
      </c>
      <c r="W47" s="56" t="str">
        <f>IFERROR(__xludf.DUMMYFUNCTION("""COMPUTED_VALUE"""),"Dirección Técnica de Inspección y Vigilancia")</f>
        <v>Dirección Técnica de Inspección y Vigilancia</v>
      </c>
      <c r="X47" s="57" t="str">
        <f>IFERROR(__xludf.DUMMYFUNCTION("""COMPUTED_VALUE"""),"Nelcy Villa")</f>
        <v>Nelcy Villa</v>
      </c>
      <c r="Y47" s="47" t="str">
        <f>IFERROR(__xludf.DUMMYFUNCTION("""COMPUTED_VALUE"""),"Directora técnica de inspección y vigilancia")</f>
        <v>Directora técnica de inspección y vigilancia</v>
      </c>
      <c r="Z47" s="57" t="str">
        <f>IFERROR(__xludf.DUMMYFUNCTION("""COMPUTED_VALUE"""),"nelcy.villa@aunap.gov.co")</f>
        <v>nelcy.villa@aunap.gov.co</v>
      </c>
      <c r="AA47" s="47" t="str">
        <f>IFERROR(__xludf.DUMMYFUNCTION("""COMPUTED_VALUE"""),"Humanos, Físicos, Financieros, Tecnológicos")</f>
        <v>Humanos, Físicos, Financieros, Tecnológicos</v>
      </c>
      <c r="AB47" s="47" t="str">
        <f>IFERROR(__xludf.DUMMYFUNCTION("""COMPUTED_VALUE"""),"No asociado")</f>
        <v>No asociado</v>
      </c>
      <c r="AC47"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47" s="47" t="str">
        <f>IFERROR(__xludf.DUMMYFUNCTION("""COMPUTED_VALUE"""),"Gestión con valores para resultados")</f>
        <v>Gestión con valores para resultados</v>
      </c>
      <c r="AE47" s="47" t="str">
        <f>IFERROR(__xludf.DUMMYFUNCTION("""COMPUTED_VALUE"""),"Fortalecimiento Organizacional y Simplificación de Procesos")</f>
        <v>Fortalecimiento Organizacional y Simplificación de Procesos</v>
      </c>
      <c r="AF47" s="47" t="str">
        <f>IFERROR(__xludf.DUMMYFUNCTION("""COMPUTED_VALUE"""),"12. Producción y consumo responsable")</f>
        <v>12. Producción y consumo responsable</v>
      </c>
      <c r="AG47" s="58">
        <f>IFERROR(__xludf.DUMMYFUNCTION("""COMPUTED_VALUE"""),3.0)</f>
        <v>3</v>
      </c>
      <c r="AH47" s="59" t="str">
        <f>IFERROR(__xludf.DUMMYFUNCTION("""COMPUTED_VALUE"""),"se dio cumplimiento a la actividad.")</f>
        <v>se dio cumplimiento a la actividad.</v>
      </c>
      <c r="AI47" s="81" t="str">
        <f>IFERROR(__xludf.DUMMYFUNCTION("""COMPUTED_VALUE"""),"https://drive.google.com/drive/folders/1_H1edwoqztlDFf4TLB8j_KgzdrpKE_3u?usp=sharing")</f>
        <v>https://drive.google.com/drive/folders/1_H1edwoqztlDFf4TLB8j_KgzdrpKE_3u?usp=sharing</v>
      </c>
      <c r="AJ47" s="59">
        <f>IFERROR(__xludf.DUMMYFUNCTION("""COMPUTED_VALUE"""),8.0)</f>
        <v>8</v>
      </c>
      <c r="AK47" s="59" t="str">
        <f>IFERROR(__xludf.DUMMYFUNCTION("""COMPUTED_VALUE"""),"Se cumplio la meta")</f>
        <v>Se cumplio la meta</v>
      </c>
      <c r="AL47" s="59">
        <f>IFERROR(__xludf.DUMMYFUNCTION("""COMPUTED_VALUE"""),44582.0)</f>
        <v>44582</v>
      </c>
      <c r="AM47" s="60"/>
      <c r="AN47" s="61" t="str">
        <f>IFERROR(IF((AO47+1)&lt;2,Alertas!$B$2&amp;TEXT(AO47,"0%")&amp;Alertas!$D$2, IF((AO47+1)=2,Alertas!$B$3,IF((AO47+1)&gt;2,Alertas!$B$4&amp;TEXT(AO47,"0%")&amp;Alertas!$D$4,AO47+1))),"Sin meta para el segundo trimestre")</f>
        <v>La ejecución de la meta registrada se encuentra por encima de la meta programada en la formulación del plan de acción para el segundo trimestre, su porcentaje de cumplimiento es 400%,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47" s="62">
        <f t="shared" si="2"/>
        <v>4</v>
      </c>
      <c r="AP47" s="61" t="str">
        <f t="shared" si="3"/>
        <v>La ejecución de la meta registrada se encuentra por encima de la meta programada en la formulación del plan de acción para el segundo trimestre, su porcentaje de cumplimiento es 400%,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47" s="63"/>
      <c r="AR47" s="64"/>
      <c r="AS47" s="65"/>
      <c r="AT47" s="65"/>
      <c r="AU47" s="66"/>
      <c r="AV47" s="67"/>
      <c r="AW47" s="68"/>
      <c r="AX47" s="63"/>
      <c r="AY47" s="64"/>
      <c r="AZ47" s="69"/>
      <c r="BA47" s="65"/>
      <c r="BB47" s="70"/>
      <c r="BC47" s="71"/>
      <c r="BD47" s="72"/>
      <c r="BE47" s="73"/>
      <c r="BF47" s="64"/>
      <c r="BG47" s="69"/>
      <c r="BH47" s="65"/>
      <c r="BI47" s="66"/>
      <c r="BJ47" s="71"/>
      <c r="BK47" s="72"/>
      <c r="BL47" s="74"/>
      <c r="BN47" s="5" t="str">
        <f t="shared" si="23"/>
        <v>1</v>
      </c>
      <c r="BP47" s="5"/>
    </row>
    <row r="48" ht="37.5" customHeight="1">
      <c r="A48" s="45"/>
      <c r="B48" s="46">
        <f>IFERROR(__xludf.DUMMYFUNCTION("""COMPUTED_VALUE"""),46.0)</f>
        <v>46</v>
      </c>
      <c r="C48" s="47" t="str">
        <f>IFERROR(__xludf.DUMMYFUNCTION("""COMPUTED_VALUE"""),"Gestión financiera")</f>
        <v>Gestión financiera</v>
      </c>
      <c r="D48" s="48" t="str">
        <f>IFERROR(__xludf.DUMMYFUNCTION("""COMPUTED_VALUE"""),"Financiera")</f>
        <v>Financiera</v>
      </c>
      <c r="E48" s="48" t="str">
        <f>IFERROR(__xludf.DUMMYFUNCTION("""COMPUTED_VALUE"""),"Fortalecimiento de la capacidad de gestión de la autoridad nacional de acuicultura y pesca - aunap nacional")</f>
        <v>Fortalecimiento de la capacidad de gestión de la autoridad nacional de acuicultura y pesca - aunap nacional</v>
      </c>
      <c r="F48" s="49">
        <f>IFERROR(__xludf.DUMMYFUNCTION("""COMPUTED_VALUE"""),2.018011000241E12)</f>
        <v>2018011000241</v>
      </c>
      <c r="G48" s="50" t="str">
        <f>IFERROR(__xludf.DUMMYFUNCTION("""COMPUTED_VALUE"""),"Fortalecimiento")</f>
        <v>Fortalecimiento</v>
      </c>
      <c r="H48" s="48" t="str">
        <f>IFERROR(__xludf.DUMMYFUNCTION("""COMPUTED_VALUE"""),"Fortalecer los sistemas de gestión de la Entidad")</f>
        <v>Fortalecer los sistemas de gestión de la Entidad</v>
      </c>
      <c r="I48" s="48" t="str">
        <f>IFERROR(__xludf.DUMMYFUNCTION("""COMPUTED_VALUE"""),"Servicio de Implementación Sistemas de Gestión")</f>
        <v>Servicio de Implementación Sistemas de Gestión</v>
      </c>
      <c r="J48"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48" s="51" t="str">
        <f>IFERROR(__xludf.DUMMYFUNCTION("""COMPUTED_VALUE"""),"Gestión del área")</f>
        <v>Gestión del área</v>
      </c>
      <c r="L48" s="51" t="str">
        <f>IFERROR(__xludf.DUMMYFUNCTION("""COMPUTED_VALUE"""),"Eficacia")</f>
        <v>Eficacia</v>
      </c>
      <c r="M48" s="51" t="str">
        <f>IFERROR(__xludf.DUMMYFUNCTION("""COMPUTED_VALUE"""),"Número")</f>
        <v>Número</v>
      </c>
      <c r="N48" s="52" t="str">
        <f>IFERROR(__xludf.DUMMYFUNCTION("""COMPUTED_VALUE"""),"Número de estados financieros elaborados, presentados, transmitidos y publicados/Número de Estados financieros programados para elaboración, presentación, transmición y publicación")</f>
        <v>Número de estados financieros elaborados, presentados, transmitidos y publicados/Número de Estados financieros programados para elaboración, presentación, transmición y publicación</v>
      </c>
      <c r="O48" s="53"/>
      <c r="P48" s="54">
        <f>IFERROR(__xludf.DUMMYFUNCTION("""COMPUTED_VALUE"""),12.0)</f>
        <v>12</v>
      </c>
      <c r="Q48" s="55" t="str">
        <f>IFERROR(__xludf.DUMMYFUNCTION("""COMPUTED_VALUE"""),"Elaboración, presentación, transmisión y publicación de estados financieros con la periodicidad requerida, de conformidad con el nuevo Marco Normativo y Conceptual para Entidades de Gobierno, entes de control o terceros que lo requieran. Será publicado en"&amp;" pagina web. (Publicaciones)")</f>
        <v>Elaboración, presentación, transmisión y publicación de estados financieros con la periodicidad requerida, de conformidad con el nuevo Marco Normativo y Conceptual para Entidades de Gobierno, entes de control o terceros que lo requieran. Será publicado en pagina web. (Publicaciones)</v>
      </c>
      <c r="R48" s="14" t="str">
        <f>IFERROR(__xludf.DUMMYFUNCTION("""COMPUTED_VALUE"""),"Mensual")</f>
        <v>Mensual</v>
      </c>
      <c r="S48" s="54">
        <f>IFERROR(__xludf.DUMMYFUNCTION("""COMPUTED_VALUE"""),3.0)</f>
        <v>3</v>
      </c>
      <c r="T48" s="54">
        <f>IFERROR(__xludf.DUMMYFUNCTION("""COMPUTED_VALUE"""),3.0)</f>
        <v>3</v>
      </c>
      <c r="U48" s="54">
        <f>IFERROR(__xludf.DUMMYFUNCTION("""COMPUTED_VALUE"""),3.0)</f>
        <v>3</v>
      </c>
      <c r="V48" s="54">
        <f>IFERROR(__xludf.DUMMYFUNCTION("""COMPUTED_VALUE"""),3.0)</f>
        <v>3</v>
      </c>
      <c r="W48" s="56" t="str">
        <f>IFERROR(__xludf.DUMMYFUNCTION("""COMPUTED_VALUE"""),"Financiera")</f>
        <v>Financiera</v>
      </c>
      <c r="X48" s="57" t="str">
        <f>IFERROR(__xludf.DUMMYFUNCTION("""COMPUTED_VALUE"""),"Sharol Natalia Mora")</f>
        <v>Sharol Natalia Mora</v>
      </c>
      <c r="Y48" s="47" t="str">
        <f>IFERROR(__xludf.DUMMYFUNCTION("""COMPUTED_VALUE"""),"Coordinador Financiero")</f>
        <v>Coordinador Financiero</v>
      </c>
      <c r="Z48" s="57" t="str">
        <f>IFERROR(__xludf.DUMMYFUNCTION("""COMPUTED_VALUE"""),"natalia.mora@aunap.gov.co")</f>
        <v>natalia.mora@aunap.gov.co</v>
      </c>
      <c r="AA48" s="47" t="str">
        <f>IFERROR(__xludf.DUMMYFUNCTION("""COMPUTED_VALUE"""),"Humanos, Físicos, Financieros, Tecnológicos")</f>
        <v>Humanos, Físicos, Financieros, Tecnológicos</v>
      </c>
      <c r="AB48" s="47" t="str">
        <f>IFERROR(__xludf.DUMMYFUNCTION("""COMPUTED_VALUE"""),"Plan Anticorrupción y de Atención al Ciudadano - PAAC")</f>
        <v>Plan Anticorrupción y de Atención al Ciudadano - PAAC</v>
      </c>
      <c r="AC48" s="47" t="str">
        <f>IFERROR(__xludf.DUMMYFUNCTION("""COMPUTED_VALUE"""),"Llegar con actividades de pesca y acuicultura a todas las regiones")</f>
        <v>Llegar con actividades de pesca y acuicultura a todas las regiones</v>
      </c>
      <c r="AD48" s="47" t="str">
        <f>IFERROR(__xludf.DUMMYFUNCTION("""COMPUTED_VALUE"""),"Información y comunicación")</f>
        <v>Información y comunicación</v>
      </c>
      <c r="AE48" s="47" t="str">
        <f>IFERROR(__xludf.DUMMYFUNCTION("""COMPUTED_VALUE"""),"Transparencia, acceso a la información pública y lucha contra la corrupción")</f>
        <v>Transparencia, acceso a la información pública y lucha contra la corrupción</v>
      </c>
      <c r="AF48" s="47" t="str">
        <f>IFERROR(__xludf.DUMMYFUNCTION("""COMPUTED_VALUE"""),"16. Paz, justicia e instituciones sólidas")</f>
        <v>16. Paz, justicia e instituciones sólidas</v>
      </c>
      <c r="AG48" s="58">
        <f>IFERROR(__xludf.DUMMYFUNCTION("""COMPUTED_VALUE"""),3.0)</f>
        <v>3</v>
      </c>
      <c r="AH48" s="59" t="str">
        <f>IFERROR(__xludf.DUMMYFUNCTION("""COMPUTED_VALUE"""),"Publicacion en la pagina web los estados financieros. Por actualización y migración de la pagina web, la información se encuentra en sección vieja transparencia.")</f>
        <v>Publicacion en la pagina web los estados financieros. Por actualización y migración de la pagina web, la información se encuentra en sección vieja transparencia.</v>
      </c>
      <c r="AI48" s="81" t="str">
        <f>IFERROR(__xludf.DUMMYFUNCTION("""COMPUTED_VALUE"""),"https://www.aunap.gov.co/presupuesto/estados-financieros/")</f>
        <v>https://www.aunap.gov.co/presupuesto/estados-financieros/</v>
      </c>
      <c r="AJ48" s="59">
        <f>IFERROR(__xludf.DUMMYFUNCTION("""COMPUTED_VALUE"""),12.0)</f>
        <v>12</v>
      </c>
      <c r="AK48" s="59" t="str">
        <f>IFERROR(__xludf.DUMMYFUNCTION("""COMPUTED_VALUE"""),"SE DIO CUMPLIMIENTO A LOS ESTABLECIDO EN LA META DE LA VIGENCIA 2021")</f>
        <v>SE DIO CUMPLIMIENTO A LOS ESTABLECIDO EN LA META DE LA VIGENCIA 2021</v>
      </c>
      <c r="AL48" s="59">
        <f>IFERROR(__xludf.DUMMYFUNCTION("""COMPUTED_VALUE"""),44582.0)</f>
        <v>44582</v>
      </c>
      <c r="AM48" s="60"/>
      <c r="AN48" s="61" t="str">
        <f>IFERROR(IF((AO48+1)&lt;2,Alertas!$B$2&amp;TEXT(AO48,"0%")&amp;Alertas!$D$2, IF((AO48+1)=2,Alertas!$B$3,IF((AO48+1)&gt;2,Alertas!$B$4&amp;TEXT(AO48,"0%")&amp;Alertas!$D$4,AO48+1))),"Sin meta para el segundo trimestre")</f>
        <v>La ejecución de la meta registrada se encuentra acorde a la meta programada en la formulación del plan de acción para el segundo trimestre</v>
      </c>
      <c r="AO48" s="62">
        <f t="shared" si="2"/>
        <v>1</v>
      </c>
      <c r="AP48" s="61" t="str">
        <f t="shared" si="3"/>
        <v>La ejecución de la meta registrada se encuentra acorde a la meta programada en la formulación del plan de acción para el segundo trimestre.</v>
      </c>
      <c r="AQ48" s="63"/>
      <c r="AR48" s="64"/>
      <c r="AS48" s="65"/>
      <c r="AT48" s="65"/>
      <c r="AU48" s="66"/>
      <c r="AV48" s="67"/>
      <c r="AW48" s="68"/>
      <c r="AX48" s="63"/>
      <c r="AY48" s="64"/>
      <c r="AZ48" s="69"/>
      <c r="BA48" s="65"/>
      <c r="BB48" s="70"/>
      <c r="BC48" s="71"/>
      <c r="BD48" s="72"/>
      <c r="BE48" s="73"/>
      <c r="BF48" s="64"/>
      <c r="BG48" s="69"/>
      <c r="BH48" s="65"/>
      <c r="BI48" s="66"/>
      <c r="BJ48" s="71"/>
      <c r="BK48" s="72"/>
      <c r="BL48" s="74"/>
      <c r="BN48" s="5" t="str">
        <f t="shared" si="23"/>
        <v>0</v>
      </c>
      <c r="BP48" s="5"/>
    </row>
    <row r="49" ht="37.5" customHeight="1">
      <c r="A49" s="45"/>
      <c r="B49" s="46">
        <f>IFERROR(__xludf.DUMMYFUNCTION("""COMPUTED_VALUE"""),47.0)</f>
        <v>47</v>
      </c>
      <c r="C49" s="47" t="str">
        <f>IFERROR(__xludf.DUMMYFUNCTION("""COMPUTED_VALUE"""),"Gestión financiera")</f>
        <v>Gestión financiera</v>
      </c>
      <c r="D49" s="48" t="str">
        <f>IFERROR(__xludf.DUMMYFUNCTION("""COMPUTED_VALUE"""),"Financiera")</f>
        <v>Financiera</v>
      </c>
      <c r="E49" s="48" t="str">
        <f>IFERROR(__xludf.DUMMYFUNCTION("""COMPUTED_VALUE"""),"Fortalecimiento de la capacidad de gestión de la autoridad nacional de acuicultura y pesca - aunap nacional")</f>
        <v>Fortalecimiento de la capacidad de gestión de la autoridad nacional de acuicultura y pesca - aunap nacional</v>
      </c>
      <c r="F49" s="49">
        <f>IFERROR(__xludf.DUMMYFUNCTION("""COMPUTED_VALUE"""),2.018011000241E12)</f>
        <v>2018011000241</v>
      </c>
      <c r="G49" s="50" t="str">
        <f>IFERROR(__xludf.DUMMYFUNCTION("""COMPUTED_VALUE"""),"Fortalecimiento")</f>
        <v>Fortalecimiento</v>
      </c>
      <c r="H49" s="48" t="str">
        <f>IFERROR(__xludf.DUMMYFUNCTION("""COMPUTED_VALUE"""),"Fortalecer los sistemas de gestión de la Entidad")</f>
        <v>Fortalecer los sistemas de gestión de la Entidad</v>
      </c>
      <c r="I49" s="48" t="str">
        <f>IFERROR(__xludf.DUMMYFUNCTION("""COMPUTED_VALUE"""),"Servicio de Implementación Sistemas de Gestión")</f>
        <v>Servicio de Implementación Sistemas de Gestión</v>
      </c>
      <c r="J49"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49" s="51" t="str">
        <f>IFERROR(__xludf.DUMMYFUNCTION("""COMPUTED_VALUE"""),"Gestión del área")</f>
        <v>Gestión del área</v>
      </c>
      <c r="L49" s="51" t="str">
        <f>IFERROR(__xludf.DUMMYFUNCTION("""COMPUTED_VALUE"""),"Eficacia")</f>
        <v>Eficacia</v>
      </c>
      <c r="M49" s="51" t="str">
        <f>IFERROR(__xludf.DUMMYFUNCTION("""COMPUTED_VALUE"""),"Número")</f>
        <v>Número</v>
      </c>
      <c r="N49" s="52" t="str">
        <f>IFERROR(__xludf.DUMMYFUNCTION("""COMPUTED_VALUE"""),"Número de publicaciones  de estados financieros realizadas")</f>
        <v>Número de publicaciones  de estados financieros realizadas</v>
      </c>
      <c r="O49" s="53"/>
      <c r="P49" s="54">
        <f>IFERROR(__xludf.DUMMYFUNCTION("""COMPUTED_VALUE"""),12.0)</f>
        <v>12</v>
      </c>
      <c r="Q49" s="55" t="str">
        <f>IFERROR(__xludf.DUMMYFUNCTION("""COMPUTED_VALUE"""),"Elaboración, presentación, transmisión y publicación de estados financieros con la periodicidad requerida, de conformidad con el nuevo Marco Normativo y Conceptual para Entidades de Gobierno, entes de control o terceros que lo requieran. Será publicado en"&amp;" pagina web. (Publicaciones)")</f>
        <v>Elaboración, presentación, transmisión y publicación de estados financieros con la periodicidad requerida, de conformidad con el nuevo Marco Normativo y Conceptual para Entidades de Gobierno, entes de control o terceros que lo requieran. Será publicado en pagina web. (Publicaciones)</v>
      </c>
      <c r="R49" s="14" t="str">
        <f>IFERROR(__xludf.DUMMYFUNCTION("""COMPUTED_VALUE"""),"Mensual")</f>
        <v>Mensual</v>
      </c>
      <c r="S49" s="54">
        <f>IFERROR(__xludf.DUMMYFUNCTION("""COMPUTED_VALUE"""),3.0)</f>
        <v>3</v>
      </c>
      <c r="T49" s="54">
        <f>IFERROR(__xludf.DUMMYFUNCTION("""COMPUTED_VALUE"""),3.0)</f>
        <v>3</v>
      </c>
      <c r="U49" s="54">
        <f>IFERROR(__xludf.DUMMYFUNCTION("""COMPUTED_VALUE"""),3.0)</f>
        <v>3</v>
      </c>
      <c r="V49" s="54">
        <f>IFERROR(__xludf.DUMMYFUNCTION("""COMPUTED_VALUE"""),3.0)</f>
        <v>3</v>
      </c>
      <c r="W49" s="56" t="str">
        <f>IFERROR(__xludf.DUMMYFUNCTION("""COMPUTED_VALUE"""),"Financiera")</f>
        <v>Financiera</v>
      </c>
      <c r="X49" s="57" t="str">
        <f>IFERROR(__xludf.DUMMYFUNCTION("""COMPUTED_VALUE"""),"Sharol Natalia Mora")</f>
        <v>Sharol Natalia Mora</v>
      </c>
      <c r="Y49" s="47" t="str">
        <f>IFERROR(__xludf.DUMMYFUNCTION("""COMPUTED_VALUE"""),"Coordinador Financiero")</f>
        <v>Coordinador Financiero</v>
      </c>
      <c r="Z49" s="57" t="str">
        <f>IFERROR(__xludf.DUMMYFUNCTION("""COMPUTED_VALUE"""),"natalia.mora@aunap.gov.co")</f>
        <v>natalia.mora@aunap.gov.co</v>
      </c>
      <c r="AA49" s="47" t="str">
        <f>IFERROR(__xludf.DUMMYFUNCTION("""COMPUTED_VALUE"""),"Humanos, Físicos, Financieros, Tecnológicos")</f>
        <v>Humanos, Físicos, Financieros, Tecnológicos</v>
      </c>
      <c r="AB49" s="47" t="str">
        <f>IFERROR(__xludf.DUMMYFUNCTION("""COMPUTED_VALUE"""),"Plan Anticorrupción y de Atención al Ciudadano - PAAC")</f>
        <v>Plan Anticorrupción y de Atención al Ciudadano - PAAC</v>
      </c>
      <c r="AC49" s="47" t="str">
        <f>IFERROR(__xludf.DUMMYFUNCTION("""COMPUTED_VALUE"""),"Llegar con actividades de pesca y acuicultura a todas las regiones")</f>
        <v>Llegar con actividades de pesca y acuicultura a todas las regiones</v>
      </c>
      <c r="AD49" s="47" t="str">
        <f>IFERROR(__xludf.DUMMYFUNCTION("""COMPUTED_VALUE"""),"Información y comunicación")</f>
        <v>Información y comunicación</v>
      </c>
      <c r="AE49" s="47" t="str">
        <f>IFERROR(__xludf.DUMMYFUNCTION("""COMPUTED_VALUE"""),"Transparencia, acceso a la información pública y lucha contra la corrupción")</f>
        <v>Transparencia, acceso a la información pública y lucha contra la corrupción</v>
      </c>
      <c r="AF49" s="47" t="str">
        <f>IFERROR(__xludf.DUMMYFUNCTION("""COMPUTED_VALUE"""),"16. Paz, justicia e instituciones sólidas")</f>
        <v>16. Paz, justicia e instituciones sólidas</v>
      </c>
      <c r="AG49" s="58">
        <f>IFERROR(__xludf.DUMMYFUNCTION("""COMPUTED_VALUE"""),3.0)</f>
        <v>3</v>
      </c>
      <c r="AH49" s="59" t="str">
        <f>IFERROR(__xludf.DUMMYFUNCTION("""COMPUTED_VALUE"""),"Publicacion en la pagina web los estados financieros. Por actualización y migración de la pagina web, la información se encuentra en sección vieja transparencia.")</f>
        <v>Publicacion en la pagina web los estados financieros. Por actualización y migración de la pagina web, la información se encuentra en sección vieja transparencia.</v>
      </c>
      <c r="AI49" s="81" t="str">
        <f>IFERROR(__xludf.DUMMYFUNCTION("""COMPUTED_VALUE"""),"https://www.aunap.gov.co/presupuesto/estados-financieros/")</f>
        <v>https://www.aunap.gov.co/presupuesto/estados-financieros/</v>
      </c>
      <c r="AJ49" s="59">
        <f>IFERROR(__xludf.DUMMYFUNCTION("""COMPUTED_VALUE"""),12.0)</f>
        <v>12</v>
      </c>
      <c r="AK49" s="59" t="str">
        <f>IFERROR(__xludf.DUMMYFUNCTION("""COMPUTED_VALUE"""),"SE DIO CUMPLIMIENTO A LOS ESTABLECIDO EN LA META DE LA VIGENCIA 2021")</f>
        <v>SE DIO CUMPLIMIENTO A LOS ESTABLECIDO EN LA META DE LA VIGENCIA 2021</v>
      </c>
      <c r="AL49" s="59">
        <f>IFERROR(__xludf.DUMMYFUNCTION("""COMPUTED_VALUE"""),44582.0)</f>
        <v>44582</v>
      </c>
      <c r="AM49" s="60"/>
      <c r="AN49" s="61" t="str">
        <f>IFERROR(IF((AO49+1)&lt;2,Alertas!$B$2&amp;TEXT(AO49,"0%")&amp;Alertas!$D$2, IF((AO49+1)=2,Alertas!$B$3,IF((AO49+1)&gt;2,Alertas!$B$4&amp;TEXT(AO49,"0%")&amp;Alertas!$D$4,AO49+1))),"Sin meta para el segundo trimestre")</f>
        <v>La ejecución de la meta registrada se encuentra acorde a la meta programada en la formulación del plan de acción para el segundo trimestre</v>
      </c>
      <c r="AO49" s="62">
        <f t="shared" si="2"/>
        <v>1</v>
      </c>
      <c r="AP49" s="61" t="str">
        <f t="shared" si="3"/>
        <v>La ejecución de la meta registrada se encuentra acorde a la meta programada en la formulación del plan de acción para el segundo trimestre.</v>
      </c>
      <c r="AQ49" s="63"/>
      <c r="AR49" s="64"/>
      <c r="AS49" s="65"/>
      <c r="AT49" s="65"/>
      <c r="AU49" s="66"/>
      <c r="AV49" s="67"/>
      <c r="AW49" s="68"/>
      <c r="AX49" s="63"/>
      <c r="AY49" s="64"/>
      <c r="AZ49" s="69"/>
      <c r="BA49" s="65"/>
      <c r="BB49" s="70"/>
      <c r="BC49" s="71"/>
      <c r="BD49" s="72"/>
      <c r="BE49" s="73"/>
      <c r="BF49" s="64"/>
      <c r="BG49" s="69"/>
      <c r="BH49" s="65"/>
      <c r="BI49" s="66"/>
      <c r="BJ49" s="71"/>
      <c r="BK49" s="72"/>
      <c r="BL49" s="74"/>
      <c r="BN49" s="5" t="str">
        <f t="shared" si="23"/>
        <v>0</v>
      </c>
      <c r="BP49" s="5"/>
    </row>
    <row r="50" ht="37.5" customHeight="1">
      <c r="A50" s="45"/>
      <c r="B50" s="46">
        <f>IFERROR(__xludf.DUMMYFUNCTION("""COMPUTED_VALUE"""),48.0)</f>
        <v>48</v>
      </c>
      <c r="C50" s="47" t="str">
        <f>IFERROR(__xludf.DUMMYFUNCTION("""COMPUTED_VALUE"""),"Gestión financiera")</f>
        <v>Gestión financiera</v>
      </c>
      <c r="D50" s="48" t="str">
        <f>IFERROR(__xludf.DUMMYFUNCTION("""COMPUTED_VALUE"""),"Financiera")</f>
        <v>Financiera</v>
      </c>
      <c r="E50" s="48" t="str">
        <f>IFERROR(__xludf.DUMMYFUNCTION("""COMPUTED_VALUE"""),"Fortalecimiento de la capacidad de gestión de la autoridad nacional de acuicultura y pesca - aunap nacional")</f>
        <v>Fortalecimiento de la capacidad de gestión de la autoridad nacional de acuicultura y pesca - aunap nacional</v>
      </c>
      <c r="F50" s="49">
        <f>IFERROR(__xludf.DUMMYFUNCTION("""COMPUTED_VALUE"""),2.018011000241E12)</f>
        <v>2018011000241</v>
      </c>
      <c r="G50" s="50" t="str">
        <f>IFERROR(__xludf.DUMMYFUNCTION("""COMPUTED_VALUE"""),"Fortalecimiento")</f>
        <v>Fortalecimiento</v>
      </c>
      <c r="H50" s="48" t="str">
        <f>IFERROR(__xludf.DUMMYFUNCTION("""COMPUTED_VALUE"""),"Fortalecer los sistemas de gestión de la Entidad")</f>
        <v>Fortalecer los sistemas de gestión de la Entidad</v>
      </c>
      <c r="I50" s="48" t="str">
        <f>IFERROR(__xludf.DUMMYFUNCTION("""COMPUTED_VALUE"""),"Servicio de Implementación Sistemas de Gestión")</f>
        <v>Servicio de Implementación Sistemas de Gestión</v>
      </c>
      <c r="J50"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50" s="51" t="str">
        <f>IFERROR(__xludf.DUMMYFUNCTION("""COMPUTED_VALUE"""),"Gestión del área")</f>
        <v>Gestión del área</v>
      </c>
      <c r="L50" s="51" t="str">
        <f>IFERROR(__xludf.DUMMYFUNCTION("""COMPUTED_VALUE"""),"Eficacia")</f>
        <v>Eficacia</v>
      </c>
      <c r="M50" s="51" t="str">
        <f>IFERROR(__xludf.DUMMYFUNCTION("""COMPUTED_VALUE"""),"Número")</f>
        <v>Número</v>
      </c>
      <c r="N50" s="52" t="str">
        <f>IFERROR(__xludf.DUMMYFUNCTION("""COMPUTED_VALUE"""),"Número de controles de ejecución presupuestal realizados")</f>
        <v>Número de controles de ejecución presupuestal realizados</v>
      </c>
      <c r="O50" s="53"/>
      <c r="P50" s="54">
        <f>IFERROR(__xludf.DUMMYFUNCTION("""COMPUTED_VALUE"""),12.0)</f>
        <v>12</v>
      </c>
      <c r="Q50" s="55" t="str">
        <f>IFERROR(__xludf.DUMMYFUNCTION("""COMPUTED_VALUE"""),"Realizar el  control y registro de las operaciones financieras de acuerdo con los recursos disponibles de la entidad. Integra las actividades relacionadas con la adquisición de bienes y servicios, la gestión de proyectos de inversión  y el registro de la "&amp;"ejecución del presupuesto.(publicaciones )")</f>
        <v>Realizar el  control y registro de las operaciones financieras de acuerdo con los recursos disponibles de la entidad. Integra las actividades relacionadas con la adquisición de bienes y servicios, la gestión de proyectos de inversión  y el registro de la ejecución del presupuesto.(publicaciones )</v>
      </c>
      <c r="R50" s="14" t="str">
        <f>IFERROR(__xludf.DUMMYFUNCTION("""COMPUTED_VALUE"""),"Mensual")</f>
        <v>Mensual</v>
      </c>
      <c r="S50" s="54">
        <f>IFERROR(__xludf.DUMMYFUNCTION("""COMPUTED_VALUE"""),3.0)</f>
        <v>3</v>
      </c>
      <c r="T50" s="54">
        <f>IFERROR(__xludf.DUMMYFUNCTION("""COMPUTED_VALUE"""),3.0)</f>
        <v>3</v>
      </c>
      <c r="U50" s="54">
        <f>IFERROR(__xludf.DUMMYFUNCTION("""COMPUTED_VALUE"""),3.0)</f>
        <v>3</v>
      </c>
      <c r="V50" s="54">
        <f>IFERROR(__xludf.DUMMYFUNCTION("""COMPUTED_VALUE"""),3.0)</f>
        <v>3</v>
      </c>
      <c r="W50" s="56" t="str">
        <f>IFERROR(__xludf.DUMMYFUNCTION("""COMPUTED_VALUE"""),"Financiera")</f>
        <v>Financiera</v>
      </c>
      <c r="X50" s="57" t="str">
        <f>IFERROR(__xludf.DUMMYFUNCTION("""COMPUTED_VALUE"""),"Sharol Natalia Mora")</f>
        <v>Sharol Natalia Mora</v>
      </c>
      <c r="Y50" s="47" t="str">
        <f>IFERROR(__xludf.DUMMYFUNCTION("""COMPUTED_VALUE"""),"Coordinador Financiero")</f>
        <v>Coordinador Financiero</v>
      </c>
      <c r="Z50" s="57" t="str">
        <f>IFERROR(__xludf.DUMMYFUNCTION("""COMPUTED_VALUE"""),"natalia.mora@aunap.gov.co")</f>
        <v>natalia.mora@aunap.gov.co</v>
      </c>
      <c r="AA50" s="47" t="str">
        <f>IFERROR(__xludf.DUMMYFUNCTION("""COMPUTED_VALUE"""),"Humanos, Físicos, Financieros, Tecnológicos")</f>
        <v>Humanos, Físicos, Financieros, Tecnológicos</v>
      </c>
      <c r="AB50" s="47" t="str">
        <f>IFERROR(__xludf.DUMMYFUNCTION("""COMPUTED_VALUE"""),"Plan Anticorrupción y de Atención al Ciudadano - PAAC")</f>
        <v>Plan Anticorrupción y de Atención al Ciudadano - PAAC</v>
      </c>
      <c r="AC50" s="47" t="str">
        <f>IFERROR(__xludf.DUMMYFUNCTION("""COMPUTED_VALUE"""),"Llegar con actividades de pesca y acuicultura a todas las regiones")</f>
        <v>Llegar con actividades de pesca y acuicultura a todas las regiones</v>
      </c>
      <c r="AD50" s="47" t="str">
        <f>IFERROR(__xludf.DUMMYFUNCTION("""COMPUTED_VALUE"""),"Información y comunicación")</f>
        <v>Información y comunicación</v>
      </c>
      <c r="AE50" s="47" t="str">
        <f>IFERROR(__xludf.DUMMYFUNCTION("""COMPUTED_VALUE"""),"Gestión Presupuestal y Eficiencia del Gasto Público")</f>
        <v>Gestión Presupuestal y Eficiencia del Gasto Público</v>
      </c>
      <c r="AF50" s="47" t="str">
        <f>IFERROR(__xludf.DUMMYFUNCTION("""COMPUTED_VALUE"""),"16. Paz, justicia e instituciones sólidas")</f>
        <v>16. Paz, justicia e instituciones sólidas</v>
      </c>
      <c r="AG50" s="58">
        <f>IFERROR(__xludf.DUMMYFUNCTION("""COMPUTED_VALUE"""),3.0)</f>
        <v>3</v>
      </c>
      <c r="AH50" s="59" t="str">
        <f>IFERROR(__xludf.DUMMYFUNCTION("""COMPUTED_VALUE"""),"Publicación de ejecucion presupuestal pagina web.Por actualización y migración de la pagina web, la información se encuentra en sección vieja transparencia.")</f>
        <v>Publicación de ejecucion presupuestal pagina web.Por actualización y migración de la pagina web, la información se encuentra en sección vieja transparencia.</v>
      </c>
      <c r="AI50" s="77" t="str">
        <f>IFERROR(__xludf.DUMMYFUNCTION("""COMPUTED_VALUE"""),"https://www.aunap.gov.co/presupuesto/presupuesto-general-asignado/ejecucion-presupuesto-2021/")</f>
        <v>https://www.aunap.gov.co/presupuesto/presupuesto-general-asignado/ejecucion-presupuesto-2021/</v>
      </c>
      <c r="AJ50" s="59">
        <f>IFERROR(__xludf.DUMMYFUNCTION("""COMPUTED_VALUE"""),12.0)</f>
        <v>12</v>
      </c>
      <c r="AK50" s="59" t="str">
        <f>IFERROR(__xludf.DUMMYFUNCTION("""COMPUTED_VALUE"""),"SE DIO CUMPLIMIENTO A LOS ESTABLECIDO EN LA META DE LA VIGENCIA 2021 DE LA EJECUCION PRESUPUESTAL")</f>
        <v>SE DIO CUMPLIMIENTO A LOS ESTABLECIDO EN LA META DE LA VIGENCIA 2021 DE LA EJECUCION PRESUPUESTAL</v>
      </c>
      <c r="AL50" s="59">
        <f>IFERROR(__xludf.DUMMYFUNCTION("""COMPUTED_VALUE"""),44582.0)</f>
        <v>44582</v>
      </c>
      <c r="AM50" s="60"/>
      <c r="AN50" s="61" t="str">
        <f>IFERROR(IF((AO50+1)&lt;2,Alertas!$B$2&amp;TEXT(AO50,"0%")&amp;Alertas!$D$2, IF((AO50+1)=2,Alertas!$B$3,IF((AO50+1)&gt;2,Alertas!$B$4&amp;TEXT(AO50,"0%")&amp;Alertas!$D$4,AO50+1))),"Sin meta para el segundo trimestre")</f>
        <v>La ejecución de la meta registrada se encuentra acorde a la meta programada en la formulación del plan de acción para el segundo trimestre</v>
      </c>
      <c r="AO50" s="62">
        <f t="shared" si="2"/>
        <v>1</v>
      </c>
      <c r="AP50" s="61" t="str">
        <f t="shared" si="3"/>
        <v>La ejecución de la meta registrada se encuentra acorde a la meta programada en la formulación del plan de acción para el segundo trimestre.</v>
      </c>
      <c r="AQ50" s="63"/>
      <c r="AR50" s="64"/>
      <c r="AS50" s="65"/>
      <c r="AT50" s="65"/>
      <c r="AU50" s="66"/>
      <c r="AV50" s="67"/>
      <c r="AW50" s="68"/>
      <c r="AX50" s="63"/>
      <c r="AY50" s="64"/>
      <c r="AZ50" s="69"/>
      <c r="BA50" s="65"/>
      <c r="BB50" s="70"/>
      <c r="BC50" s="71"/>
      <c r="BD50" s="72"/>
      <c r="BE50" s="73"/>
      <c r="BF50" s="64"/>
      <c r="BG50" s="69"/>
      <c r="BH50" s="65"/>
      <c r="BI50" s="66"/>
      <c r="BJ50" s="71"/>
      <c r="BK50" s="72"/>
      <c r="BL50" s="74"/>
      <c r="BN50" s="5" t="str">
        <f t="shared" si="23"/>
        <v>0</v>
      </c>
      <c r="BP50" s="5"/>
    </row>
    <row r="51" ht="37.5" customHeight="1">
      <c r="A51" s="45"/>
      <c r="B51" s="46">
        <f>IFERROR(__xludf.DUMMYFUNCTION("""COMPUTED_VALUE"""),49.0)</f>
        <v>49</v>
      </c>
      <c r="C51" s="47" t="str">
        <f>IFERROR(__xludf.DUMMYFUNCTION("""COMPUTED_VALUE"""),"Gestión documental")</f>
        <v>Gestión documental</v>
      </c>
      <c r="D51" s="48" t="str">
        <f>IFERROR(__xludf.DUMMYFUNCTION("""COMPUTED_VALUE"""),"Gestión Documental")</f>
        <v>Gestión Documental</v>
      </c>
      <c r="E51" s="48" t="str">
        <f>IFERROR(__xludf.DUMMYFUNCTION("""COMPUTED_VALUE"""),"Fortalecimiento de la capacidad de gestión de la autoridad nacional de acuicultura y pesca - aunap nacional")</f>
        <v>Fortalecimiento de la capacidad de gestión de la autoridad nacional de acuicultura y pesca - aunap nacional</v>
      </c>
      <c r="F51" s="49">
        <f>IFERROR(__xludf.DUMMYFUNCTION("""COMPUTED_VALUE"""),2.018011000241E12)</f>
        <v>2018011000241</v>
      </c>
      <c r="G51" s="50" t="str">
        <f>IFERROR(__xludf.DUMMYFUNCTION("""COMPUTED_VALUE"""),"Fortalecimiento")</f>
        <v>Fortalecimiento</v>
      </c>
      <c r="H51" s="48" t="str">
        <f>IFERROR(__xludf.DUMMYFUNCTION("""COMPUTED_VALUE"""),"Fortalecer los sistemas de gestión de la Entidad")</f>
        <v>Fortalecer los sistemas de gestión de la Entidad</v>
      </c>
      <c r="I51" s="48" t="str">
        <f>IFERROR(__xludf.DUMMYFUNCTION("""COMPUTED_VALUE"""),"Servicio de Gestión Documental")</f>
        <v>Servicio de Gestión Documental</v>
      </c>
      <c r="J51" s="48" t="str">
        <f>IFERROR(__xludf.DUMMYFUNCTION("""COMPUTED_VALUE"""),"Actualizar y mantener el Sistema de Gestión Documental")</f>
        <v>Actualizar y mantener el Sistema de Gestión Documental</v>
      </c>
      <c r="K51" s="51" t="str">
        <f>IFERROR(__xludf.DUMMYFUNCTION("""COMPUTED_VALUE"""),"Gestión del área")</f>
        <v>Gestión del área</v>
      </c>
      <c r="L51" s="51" t="str">
        <f>IFERROR(__xludf.DUMMYFUNCTION("""COMPUTED_VALUE"""),"Eficacia")</f>
        <v>Eficacia</v>
      </c>
      <c r="M51" s="51" t="str">
        <f>IFERROR(__xludf.DUMMYFUNCTION("""COMPUTED_VALUE"""),"Número")</f>
        <v>Número</v>
      </c>
      <c r="N51" s="52" t="str">
        <f>IFERROR(__xludf.DUMMYFUNCTION("""COMPUTED_VALUE"""),"Numero de intervenciones realizadas/Numero de intervenciones programadas")</f>
        <v>Numero de intervenciones realizadas/Numero de intervenciones programadas</v>
      </c>
      <c r="O51" s="53"/>
      <c r="P51" s="54">
        <f>IFERROR(__xludf.DUMMYFUNCTION("""COMPUTED_VALUE"""),2.0)</f>
        <v>2</v>
      </c>
      <c r="Q51" s="55" t="str">
        <f>IFERROR(__xludf.DUMMYFUNCTION("""COMPUTED_VALUE"""),"Realizar los inventarios de Archivo de Nivel Central")</f>
        <v>Realizar los inventarios de Archivo de Nivel Central</v>
      </c>
      <c r="R51" s="14" t="str">
        <f>IFERROR(__xludf.DUMMYFUNCTION("""COMPUTED_VALUE"""),"Semestral")</f>
        <v>Semestral</v>
      </c>
      <c r="S51" s="54">
        <f>IFERROR(__xludf.DUMMYFUNCTION("""COMPUTED_VALUE"""),0.0)</f>
        <v>0</v>
      </c>
      <c r="T51" s="54">
        <f>IFERROR(__xludf.DUMMYFUNCTION("""COMPUTED_VALUE"""),1.0)</f>
        <v>1</v>
      </c>
      <c r="U51" s="54">
        <f>IFERROR(__xludf.DUMMYFUNCTION("""COMPUTED_VALUE"""),0.0)</f>
        <v>0</v>
      </c>
      <c r="V51" s="54">
        <f>IFERROR(__xludf.DUMMYFUNCTION("""COMPUTED_VALUE"""),1.0)</f>
        <v>1</v>
      </c>
      <c r="W51" s="56" t="str">
        <f>IFERROR(__xludf.DUMMYFUNCTION("""COMPUTED_VALUE"""),"Gestión Documental")</f>
        <v>Gestión Documental</v>
      </c>
      <c r="X51" s="57" t="str">
        <f>IFERROR(__xludf.DUMMYFUNCTION("""COMPUTED_VALUE"""),"Gustavo Polo")</f>
        <v>Gustavo Polo</v>
      </c>
      <c r="Y51" s="47" t="str">
        <f>IFERROR(__xludf.DUMMYFUNCTION("""COMPUTED_VALUE"""),"Funcionario")</f>
        <v>Funcionario</v>
      </c>
      <c r="Z51" s="57" t="str">
        <f>IFERROR(__xludf.DUMMYFUNCTION("""COMPUTED_VALUE"""),"gustavo.polo@aunap.gov.co")</f>
        <v>gustavo.polo@aunap.gov.co</v>
      </c>
      <c r="AA51" s="47" t="str">
        <f>IFERROR(__xludf.DUMMYFUNCTION("""COMPUTED_VALUE"""),"Talento humano")</f>
        <v>Talento humano</v>
      </c>
      <c r="AB51" s="47" t="str">
        <f>IFERROR(__xludf.DUMMYFUNCTION("""COMPUTED_VALUE"""),"Plan Institucional de Archivos de la Entidad -PINAR")</f>
        <v>Plan Institucional de Archivos de la Entidad -PINAR</v>
      </c>
      <c r="AC51" s="47" t="str">
        <f>IFERROR(__xludf.DUMMYFUNCTION("""COMPUTED_VALUE"""),"Llegar con actividades de pesca y acuicultura a todas las regiones")</f>
        <v>Llegar con actividades de pesca y acuicultura a todas las regiones</v>
      </c>
      <c r="AD51" s="47" t="str">
        <f>IFERROR(__xludf.DUMMYFUNCTION("""COMPUTED_VALUE"""),"Información y comunicación")</f>
        <v>Información y comunicación</v>
      </c>
      <c r="AE51" s="47" t="str">
        <f>IFERROR(__xludf.DUMMYFUNCTION("""COMPUTED_VALUE"""),"Gestión Documental")</f>
        <v>Gestión Documental</v>
      </c>
      <c r="AF51" s="47" t="str">
        <f>IFERROR(__xludf.DUMMYFUNCTION("""COMPUTED_VALUE"""),"16. Paz, justicia e instituciones sólidas")</f>
        <v>16. Paz, justicia e instituciones sólidas</v>
      </c>
      <c r="AG51" s="58">
        <f>IFERROR(__xludf.DUMMYFUNCTION("""COMPUTED_VALUE"""),0.45)</f>
        <v>0.45</v>
      </c>
      <c r="AH51" s="59" t="str">
        <f>IFERROR(__xludf.DUMMYFUNCTION("""COMPUTED_VALUE"""),"Se realizaron los inventarios de las areas del nivel central ")</f>
        <v>Se realizaron los inventarios de las areas del nivel central </v>
      </c>
      <c r="AI51" s="77" t="str">
        <f>IFERROR(__xludf.DUMMYFUNCTION("""COMPUTED_VALUE"""),"https://drive.google.com/drive/folders/1PIxzsmn4zSL4I5ldCZAWVURrsoqD08p-?usp=sharing")</f>
        <v>https://drive.google.com/drive/folders/1PIxzsmn4zSL4I5ldCZAWVURrsoqD08p-?usp=sharing</v>
      </c>
      <c r="AJ51" s="59">
        <f>IFERROR(__xludf.DUMMYFUNCTION("""COMPUTED_VALUE"""),1.0)</f>
        <v>1</v>
      </c>
      <c r="AK51" s="59" t="str">
        <f>IFERROR(__xludf.DUMMYFUNCTION("""COMPUTED_VALUE"""),"Se cumplió con las actividades planeadas en el Plan Institucional ")</f>
        <v>Se cumplió con las actividades planeadas en el Plan Institucional </v>
      </c>
      <c r="AL51" s="59">
        <f>IFERROR(__xludf.DUMMYFUNCTION("""COMPUTED_VALUE"""),44582.0)</f>
        <v>44582</v>
      </c>
      <c r="AM51" s="60"/>
      <c r="AN51" s="61" t="str">
        <f>IFERROR(IF((AO51+1)&lt;2,Alertas!$B$2&amp;TEXT(AO51,"0%")&amp;Alertas!$D$2, IF((AO51+1)=2,Alertas!$B$3,IF((AO51+1)&gt;2,Alertas!$B$4&amp;TEXT(AO51,"0%")&amp;Alertas!$D$4,AO51+1))),"Sin meta para el segundo trimestre")</f>
        <v>La ejecución de la meta registrada se encuentra por debajo de la meta programada en la formulación del plan de acción para el segundo trimestre, su porcentaje de cumplimiento es 45%, lo cual indica un incumplimiento que puede ser entendido por los entes de control como falencias en el proceso de planeación y gestión de la dependencia. se recomienda realizar acciones para garantizar el cumplimiento de la meta durante lo que resta de vigencia</v>
      </c>
      <c r="AO51" s="62">
        <f t="shared" si="2"/>
        <v>0.45</v>
      </c>
      <c r="AP51" s="61" t="str">
        <f t="shared" si="3"/>
        <v>La ejecución de la meta registrada se encuentra por debajo de la meta programada en la formulación del plan de acción para el segundo trimestre, su porcentaje de cumplimiento es 45%, lo cual indica un incumplimiento que puede ser entendido por los entes de control como falencias en el proceso de planeación y gestión de la dependencia. se recomienda realizar acciones para garantizar el cumplimiento de la meta durante lo que resta de vigencia.</v>
      </c>
      <c r="AQ51" s="63"/>
      <c r="AR51" s="64"/>
      <c r="AS51" s="65"/>
      <c r="AT51" s="65"/>
      <c r="AU51" s="66"/>
      <c r="AV51" s="67"/>
      <c r="AW51" s="68"/>
      <c r="AX51" s="63"/>
      <c r="AY51" s="64"/>
      <c r="AZ51" s="69"/>
      <c r="BA51" s="65"/>
      <c r="BB51" s="70"/>
      <c r="BC51" s="71"/>
      <c r="BD51" s="72"/>
      <c r="BE51" s="73"/>
      <c r="BF51" s="64"/>
      <c r="BG51" s="69"/>
      <c r="BH51" s="65"/>
      <c r="BI51" s="66"/>
      <c r="BJ51" s="71"/>
      <c r="BK51" s="72"/>
      <c r="BL51" s="74"/>
      <c r="BN51" s="5" t="str">
        <f t="shared" si="23"/>
        <v>-1</v>
      </c>
      <c r="BP51" s="5"/>
    </row>
    <row r="52" ht="37.5" customHeight="1">
      <c r="A52" s="45"/>
      <c r="B52" s="46">
        <f>IFERROR(__xludf.DUMMYFUNCTION("""COMPUTED_VALUE"""),50.0)</f>
        <v>50</v>
      </c>
      <c r="C52" s="47" t="str">
        <f>IFERROR(__xludf.DUMMYFUNCTION("""COMPUTED_VALUE"""),"Gestión documental")</f>
        <v>Gestión documental</v>
      </c>
      <c r="D52" s="48" t="str">
        <f>IFERROR(__xludf.DUMMYFUNCTION("""COMPUTED_VALUE"""),"Gestión Documental")</f>
        <v>Gestión Documental</v>
      </c>
      <c r="E52" s="48" t="str">
        <f>IFERROR(__xludf.DUMMYFUNCTION("""COMPUTED_VALUE"""),"Fortalecimiento de la capacidad de gestión de la autoridad nacional de acuicultura y pesca - aunap nacional")</f>
        <v>Fortalecimiento de la capacidad de gestión de la autoridad nacional de acuicultura y pesca - aunap nacional</v>
      </c>
      <c r="F52" s="49">
        <f>IFERROR(__xludf.DUMMYFUNCTION("""COMPUTED_VALUE"""),2.018011000241E12)</f>
        <v>2018011000241</v>
      </c>
      <c r="G52" s="50" t="str">
        <f>IFERROR(__xludf.DUMMYFUNCTION("""COMPUTED_VALUE"""),"Fortalecimiento")</f>
        <v>Fortalecimiento</v>
      </c>
      <c r="H52" s="48" t="str">
        <f>IFERROR(__xludf.DUMMYFUNCTION("""COMPUTED_VALUE"""),"Fortalecer los sistemas de gestión de la Entidad")</f>
        <v>Fortalecer los sistemas de gestión de la Entidad</v>
      </c>
      <c r="I52" s="48" t="str">
        <f>IFERROR(__xludf.DUMMYFUNCTION("""COMPUTED_VALUE"""),"Servicio de Gestión Documental")</f>
        <v>Servicio de Gestión Documental</v>
      </c>
      <c r="J52" s="48" t="str">
        <f>IFERROR(__xludf.DUMMYFUNCTION("""COMPUTED_VALUE"""),"Actualizar y mantener el Sistema de Gestión Documental")</f>
        <v>Actualizar y mantener el Sistema de Gestión Documental</v>
      </c>
      <c r="K52" s="51" t="str">
        <f>IFERROR(__xludf.DUMMYFUNCTION("""COMPUTED_VALUE"""),"Gestión del área")</f>
        <v>Gestión del área</v>
      </c>
      <c r="L52" s="51" t="str">
        <f>IFERROR(__xludf.DUMMYFUNCTION("""COMPUTED_VALUE"""),"Eficacia")</f>
        <v>Eficacia</v>
      </c>
      <c r="M52" s="51" t="str">
        <f>IFERROR(__xludf.DUMMYFUNCTION("""COMPUTED_VALUE"""),"Número")</f>
        <v>Número</v>
      </c>
      <c r="N52" s="52" t="str">
        <f>IFERROR(__xludf.DUMMYFUNCTION("""COMPUTED_VALUE"""),"Numero de intervenciones realizadas/Numero de intervenciones programadas")</f>
        <v>Numero de intervenciones realizadas/Numero de intervenciones programadas</v>
      </c>
      <c r="O52" s="53"/>
      <c r="P52" s="54">
        <f>IFERROR(__xludf.DUMMYFUNCTION("""COMPUTED_VALUE"""),2.0)</f>
        <v>2</v>
      </c>
      <c r="Q52" s="55" t="str">
        <f>IFERROR(__xludf.DUMMYFUNCTION("""COMPUTED_VALUE"""),"Realizar la organizacion de los archivos de Gestion")</f>
        <v>Realizar la organizacion de los archivos de Gestion</v>
      </c>
      <c r="R52" s="14" t="str">
        <f>IFERROR(__xludf.DUMMYFUNCTION("""COMPUTED_VALUE"""),"Semestral")</f>
        <v>Semestral</v>
      </c>
      <c r="S52" s="54">
        <f>IFERROR(__xludf.DUMMYFUNCTION("""COMPUTED_VALUE"""),0.0)</f>
        <v>0</v>
      </c>
      <c r="T52" s="54">
        <f>IFERROR(__xludf.DUMMYFUNCTION("""COMPUTED_VALUE"""),1.0)</f>
        <v>1</v>
      </c>
      <c r="U52" s="54">
        <f>IFERROR(__xludf.DUMMYFUNCTION("""COMPUTED_VALUE"""),0.0)</f>
        <v>0</v>
      </c>
      <c r="V52" s="54">
        <f>IFERROR(__xludf.DUMMYFUNCTION("""COMPUTED_VALUE"""),1.0)</f>
        <v>1</v>
      </c>
      <c r="W52" s="56" t="str">
        <f>IFERROR(__xludf.DUMMYFUNCTION("""COMPUTED_VALUE"""),"Gestión Documental")</f>
        <v>Gestión Documental</v>
      </c>
      <c r="X52" s="57" t="str">
        <f>IFERROR(__xludf.DUMMYFUNCTION("""COMPUTED_VALUE"""),"Gustavo Polo")</f>
        <v>Gustavo Polo</v>
      </c>
      <c r="Y52" s="47" t="str">
        <f>IFERROR(__xludf.DUMMYFUNCTION("""COMPUTED_VALUE"""),"Funcionario")</f>
        <v>Funcionario</v>
      </c>
      <c r="Z52" s="57" t="str">
        <f>IFERROR(__xludf.DUMMYFUNCTION("""COMPUTED_VALUE"""),"gustavo.polo@aunap.gov.co")</f>
        <v>gustavo.polo@aunap.gov.co</v>
      </c>
      <c r="AA52" s="47" t="str">
        <f>IFERROR(__xludf.DUMMYFUNCTION("""COMPUTED_VALUE"""),"Talento humano")</f>
        <v>Talento humano</v>
      </c>
      <c r="AB52" s="47" t="str">
        <f>IFERROR(__xludf.DUMMYFUNCTION("""COMPUTED_VALUE"""),"Plan Institucional de Archivos de la Entidad -PINAR")</f>
        <v>Plan Institucional de Archivos de la Entidad -PINAR</v>
      </c>
      <c r="AC52" s="47" t="str">
        <f>IFERROR(__xludf.DUMMYFUNCTION("""COMPUTED_VALUE"""),"Llegar con actividades de pesca y acuicultura a todas las regiones")</f>
        <v>Llegar con actividades de pesca y acuicultura a todas las regiones</v>
      </c>
      <c r="AD52" s="47" t="str">
        <f>IFERROR(__xludf.DUMMYFUNCTION("""COMPUTED_VALUE"""),"Información y comunicación")</f>
        <v>Información y comunicación</v>
      </c>
      <c r="AE52" s="47" t="str">
        <f>IFERROR(__xludf.DUMMYFUNCTION("""COMPUTED_VALUE"""),"Gestión Documental")</f>
        <v>Gestión Documental</v>
      </c>
      <c r="AF52" s="47" t="str">
        <f>IFERROR(__xludf.DUMMYFUNCTION("""COMPUTED_VALUE"""),"16. Paz, justicia e instituciones sólidas")</f>
        <v>16. Paz, justicia e instituciones sólidas</v>
      </c>
      <c r="AG52" s="80">
        <f>IFERROR(__xludf.DUMMYFUNCTION("""COMPUTED_VALUE"""),0.45)</f>
        <v>0.45</v>
      </c>
      <c r="AH52" s="59" t="str">
        <f>IFERROR(__xludf.DUMMYFUNCTION("""COMPUTED_VALUE"""),"Se realizó la organización de los expedientes de acuerdo a las series y subseries documentales de las areas de nivel central")</f>
        <v>Se realizó la organización de los expedientes de acuerdo a las series y subseries documentales de las areas de nivel central</v>
      </c>
      <c r="AI52" s="77" t="str">
        <f>IFERROR(__xludf.DUMMYFUNCTION("""COMPUTED_VALUE"""),"https://drive.google.com/drive/folders/1PIxzsmn4zSL4I5ldCZAWVURrsoqD08p-?usp=sharingg")</f>
        <v>https://drive.google.com/drive/folders/1PIxzsmn4zSL4I5ldCZAWVURrsoqD08p-?usp=sharingg</v>
      </c>
      <c r="AJ52" s="59">
        <f>IFERROR(__xludf.DUMMYFUNCTION("""COMPUTED_VALUE"""),1.0)</f>
        <v>1</v>
      </c>
      <c r="AK52" s="59" t="str">
        <f>IFERROR(__xludf.DUMMYFUNCTION("""COMPUTED_VALUE"""),"Se cumplió con las actividades planeadas en el Plan Institucional ")</f>
        <v>Se cumplió con las actividades planeadas en el Plan Institucional </v>
      </c>
      <c r="AL52" s="59">
        <f>IFERROR(__xludf.DUMMYFUNCTION("""COMPUTED_VALUE"""),44582.0)</f>
        <v>44582</v>
      </c>
      <c r="AM52" s="60"/>
      <c r="AN52" s="61" t="str">
        <f>IFERROR(IF((AO52+1)&lt;2,Alertas!$B$2&amp;TEXT(AO52,"0%")&amp;Alertas!$D$2, IF((AO52+1)=2,Alertas!$B$3,IF((AO52+1)&gt;2,Alertas!$B$4&amp;TEXT(AO52,"0%")&amp;Alertas!$D$4,AO52+1))),"Sin meta para el segundo trimestre")</f>
        <v>La ejecución de la meta registrada se encuentra por debajo de la meta programada en la formulación del plan de acción para el segundo trimestre, su porcentaje de cumplimiento es 45%, lo cual indica un incumplimiento que puede ser entendido por los entes de control como falencias en el proceso de planeación y gestión de la dependencia. se recomienda realizar acciones para garantizar el cumplimiento de la meta durante lo que resta de vigencia</v>
      </c>
      <c r="AO52" s="62">
        <f t="shared" si="2"/>
        <v>0.45</v>
      </c>
      <c r="AP52" s="61" t="str">
        <f t="shared" si="3"/>
        <v>La ejecución de la meta registrada se encuentra por debajo de la meta programada en la formulación del plan de acción para el segundo trimestre, su porcentaje de cumplimiento es 45%, lo cual indica un incumplimiento que puede ser entendido por los entes de control como falencias en el proceso de planeación y gestión de la dependencia. se recomienda realizar acciones para garantizar el cumplimiento de la meta durante lo que resta de vigencia.</v>
      </c>
      <c r="AQ52" s="63"/>
      <c r="AR52" s="64"/>
      <c r="AS52" s="65"/>
      <c r="AT52" s="65"/>
      <c r="AU52" s="66"/>
      <c r="AV52" s="67"/>
      <c r="AW52" s="68"/>
      <c r="AX52" s="63"/>
      <c r="AY52" s="64"/>
      <c r="AZ52" s="69"/>
      <c r="BA52" s="65"/>
      <c r="BB52" s="70"/>
      <c r="BC52" s="71"/>
      <c r="BD52" s="72"/>
      <c r="BE52" s="73"/>
      <c r="BF52" s="64"/>
      <c r="BG52" s="69"/>
      <c r="BH52" s="65"/>
      <c r="BI52" s="66"/>
      <c r="BJ52" s="71"/>
      <c r="BK52" s="72"/>
      <c r="BL52" s="74"/>
      <c r="BN52" s="5" t="str">
        <f t="shared" si="23"/>
        <v>-1</v>
      </c>
      <c r="BP52" s="5"/>
    </row>
    <row r="53" ht="37.5" customHeight="1">
      <c r="A53" s="45"/>
      <c r="B53" s="46">
        <f>IFERROR(__xludf.DUMMYFUNCTION("""COMPUTED_VALUE"""),51.0)</f>
        <v>51</v>
      </c>
      <c r="C53" s="47" t="str">
        <f>IFERROR(__xludf.DUMMYFUNCTION("""COMPUTED_VALUE"""),"Gestión documental")</f>
        <v>Gestión documental</v>
      </c>
      <c r="D53" s="48" t="str">
        <f>IFERROR(__xludf.DUMMYFUNCTION("""COMPUTED_VALUE"""),"Gestión Documental")</f>
        <v>Gestión Documental</v>
      </c>
      <c r="E53" s="48" t="str">
        <f>IFERROR(__xludf.DUMMYFUNCTION("""COMPUTED_VALUE"""),"Fortalecimiento de la capacidad de gestión de la autoridad nacional de acuicultura y pesca - aunap nacional")</f>
        <v>Fortalecimiento de la capacidad de gestión de la autoridad nacional de acuicultura y pesca - aunap nacional</v>
      </c>
      <c r="F53" s="49">
        <f>IFERROR(__xludf.DUMMYFUNCTION("""COMPUTED_VALUE"""),2.018011000241E12)</f>
        <v>2018011000241</v>
      </c>
      <c r="G53" s="50" t="str">
        <f>IFERROR(__xludf.DUMMYFUNCTION("""COMPUTED_VALUE"""),"Fortalecimiento")</f>
        <v>Fortalecimiento</v>
      </c>
      <c r="H53" s="48" t="str">
        <f>IFERROR(__xludf.DUMMYFUNCTION("""COMPUTED_VALUE"""),"Fortalecer los sistemas de gestión de la Entidad")</f>
        <v>Fortalecer los sistemas de gestión de la Entidad</v>
      </c>
      <c r="I53" s="48" t="str">
        <f>IFERROR(__xludf.DUMMYFUNCTION("""COMPUTED_VALUE"""),"Servicio de Gestión Documental")</f>
        <v>Servicio de Gestión Documental</v>
      </c>
      <c r="J53" s="48" t="str">
        <f>IFERROR(__xludf.DUMMYFUNCTION("""COMPUTED_VALUE"""),"Actualizar y mantener el Sistema de Gestión Documental")</f>
        <v>Actualizar y mantener el Sistema de Gestión Documental</v>
      </c>
      <c r="K53" s="51" t="str">
        <f>IFERROR(__xludf.DUMMYFUNCTION("""COMPUTED_VALUE"""),"Gestión del área")</f>
        <v>Gestión del área</v>
      </c>
      <c r="L53" s="51" t="str">
        <f>IFERROR(__xludf.DUMMYFUNCTION("""COMPUTED_VALUE"""),"Eficacia")</f>
        <v>Eficacia</v>
      </c>
      <c r="M53" s="51" t="str">
        <f>IFERROR(__xludf.DUMMYFUNCTION("""COMPUTED_VALUE"""),"Número")</f>
        <v>Número</v>
      </c>
      <c r="N53" s="52" t="str">
        <f>IFERROR(__xludf.DUMMYFUNCTION("""COMPUTED_VALUE"""),"Numero de intervenciones realizadas/Numero de intervenciones programadas")</f>
        <v>Numero de intervenciones realizadas/Numero de intervenciones programadas</v>
      </c>
      <c r="O53" s="53"/>
      <c r="P53" s="54">
        <f>IFERROR(__xludf.DUMMYFUNCTION("""COMPUTED_VALUE"""),4.0)</f>
        <v>4</v>
      </c>
      <c r="Q53" s="55" t="str">
        <f>IFERROR(__xludf.DUMMYFUNCTION("""COMPUTED_VALUE"""),"Sensibilizacion a las areas de la AUNAP")</f>
        <v>Sensibilizacion a las areas de la AUNAP</v>
      </c>
      <c r="R53" s="14" t="str">
        <f>IFERROR(__xludf.DUMMYFUNCTION("""COMPUTED_VALUE"""),"Trimestral")</f>
        <v>Trimestral</v>
      </c>
      <c r="S53" s="54">
        <f>IFERROR(__xludf.DUMMYFUNCTION("""COMPUTED_VALUE"""),1.0)</f>
        <v>1</v>
      </c>
      <c r="T53" s="54">
        <f>IFERROR(__xludf.DUMMYFUNCTION("""COMPUTED_VALUE"""),1.0)</f>
        <v>1</v>
      </c>
      <c r="U53" s="54">
        <f>IFERROR(__xludf.DUMMYFUNCTION("""COMPUTED_VALUE"""),1.0)</f>
        <v>1</v>
      </c>
      <c r="V53" s="54">
        <f>IFERROR(__xludf.DUMMYFUNCTION("""COMPUTED_VALUE"""),1.0)</f>
        <v>1</v>
      </c>
      <c r="W53" s="56" t="str">
        <f>IFERROR(__xludf.DUMMYFUNCTION("""COMPUTED_VALUE"""),"Gestión Documental")</f>
        <v>Gestión Documental</v>
      </c>
      <c r="X53" s="57" t="str">
        <f>IFERROR(__xludf.DUMMYFUNCTION("""COMPUTED_VALUE"""),"Gustavo Polo")</f>
        <v>Gustavo Polo</v>
      </c>
      <c r="Y53" s="47" t="str">
        <f>IFERROR(__xludf.DUMMYFUNCTION("""COMPUTED_VALUE"""),"Funcionario")</f>
        <v>Funcionario</v>
      </c>
      <c r="Z53" s="57" t="str">
        <f>IFERROR(__xludf.DUMMYFUNCTION("""COMPUTED_VALUE"""),"gustavo.polo@aunap.gov.co")</f>
        <v>gustavo.polo@aunap.gov.co</v>
      </c>
      <c r="AA53" s="47" t="str">
        <f>IFERROR(__xludf.DUMMYFUNCTION("""COMPUTED_VALUE"""),"Talento humano")</f>
        <v>Talento humano</v>
      </c>
      <c r="AB53" s="47" t="str">
        <f>IFERROR(__xludf.DUMMYFUNCTION("""COMPUTED_VALUE"""),"Plan Institucional de Archivos de la Entidad -PINAR")</f>
        <v>Plan Institucional de Archivos de la Entidad -PINAR</v>
      </c>
      <c r="AC53" s="47" t="str">
        <f>IFERROR(__xludf.DUMMYFUNCTION("""COMPUTED_VALUE"""),"Llegar con actividades de pesca y acuicultura a todas las regiones")</f>
        <v>Llegar con actividades de pesca y acuicultura a todas las regiones</v>
      </c>
      <c r="AD53" s="47" t="str">
        <f>IFERROR(__xludf.DUMMYFUNCTION("""COMPUTED_VALUE"""),"Información y comunicación")</f>
        <v>Información y comunicación</v>
      </c>
      <c r="AE53" s="47" t="str">
        <f>IFERROR(__xludf.DUMMYFUNCTION("""COMPUTED_VALUE"""),"Gestión Documental")</f>
        <v>Gestión Documental</v>
      </c>
      <c r="AF53" s="47" t="str">
        <f>IFERROR(__xludf.DUMMYFUNCTION("""COMPUTED_VALUE"""),"16. Paz, justicia e instituciones sólidas")</f>
        <v>16. Paz, justicia e instituciones sólidas</v>
      </c>
      <c r="AG53" s="80">
        <f>IFERROR(__xludf.DUMMYFUNCTION("""COMPUTED_VALUE"""),0.25)</f>
        <v>0.25</v>
      </c>
      <c r="AH53" s="59" t="str">
        <f>IFERROR(__xludf.DUMMYFUNCTION("""COMPUTED_VALUE"""),"Se realizaron las sensibilizaciones a las areas ")</f>
        <v>Se realizaron las sensibilizaciones a las areas </v>
      </c>
      <c r="AI53" s="77" t="str">
        <f>IFERROR(__xludf.DUMMYFUNCTION("""COMPUTED_VALUE"""),"https://drive.google.com/drive/folders/1PIxzsmn4zSL4I5ldCZAWVURrsoqD08p-?usp=sharing")</f>
        <v>https://drive.google.com/drive/folders/1PIxzsmn4zSL4I5ldCZAWVURrsoqD08p-?usp=sharing</v>
      </c>
      <c r="AJ53" s="59">
        <f>IFERROR(__xludf.DUMMYFUNCTION("""COMPUTED_VALUE"""),1.0)</f>
        <v>1</v>
      </c>
      <c r="AK53" s="59" t="str">
        <f>IFERROR(__xludf.DUMMYFUNCTION("""COMPUTED_VALUE"""),"Se cumplió con las actividades planeadas en el Plan Institucional ")</f>
        <v>Se cumplió con las actividades planeadas en el Plan Institucional </v>
      </c>
      <c r="AL53" s="59">
        <f>IFERROR(__xludf.DUMMYFUNCTION("""COMPUTED_VALUE"""),44582.0)</f>
        <v>44582</v>
      </c>
      <c r="AM53" s="60"/>
      <c r="AN53" s="61" t="str">
        <f>IFERROR(IF((AO53+1)&lt;2,Alertas!$B$2&amp;TEXT(AO53,"0%")&amp;Alertas!$D$2, IF((AO53+1)=2,Alertas!$B$3,IF((AO53+1)&gt;2,Alertas!$B$4&amp;TEXT(AO53,"0%")&amp;Alertas!$D$4,AO53+1))),"Sin meta para el segundo trimestre")</f>
        <v>La ejecución de la meta registrada se encuentra por debajo de la meta programada en la formulación del plan de acción para el segundo trimestre, su porcentaje de cumplimiento es 25%, lo cual indica un incumplimiento que puede ser entendido por los entes de control como falencias en el proceso de planeación y gestión de la dependencia. se recomienda realizar acciones para garantizar el cumplimiento de la meta durante lo que resta de vigencia</v>
      </c>
      <c r="AO53" s="62">
        <f t="shared" si="2"/>
        <v>0.25</v>
      </c>
      <c r="AP53" s="61" t="str">
        <f t="shared" si="3"/>
        <v>La ejecución de la meta registrada se encuentra por debajo de la meta programada en la formulación del plan de acción para el segundo trimestre, su porcentaje de cumplimiento es 25%, lo cual indica un incumplimiento que puede ser entendido por los entes de control como falencias en el proceso de planeación y gestión de la dependencia. se recomienda realizar acciones para garantizar el cumplimiento de la meta durante lo que resta de vigencia.</v>
      </c>
      <c r="AQ53" s="63"/>
      <c r="AR53" s="64"/>
      <c r="AS53" s="65"/>
      <c r="AT53" s="65"/>
      <c r="AU53" s="66"/>
      <c r="AV53" s="67"/>
      <c r="AW53" s="68"/>
      <c r="AX53" s="63"/>
      <c r="AY53" s="64"/>
      <c r="AZ53" s="69"/>
      <c r="BA53" s="65"/>
      <c r="BB53" s="70"/>
      <c r="BC53" s="71"/>
      <c r="BD53" s="72"/>
      <c r="BE53" s="73"/>
      <c r="BF53" s="64"/>
      <c r="BG53" s="69"/>
      <c r="BH53" s="65"/>
      <c r="BI53" s="66"/>
      <c r="BJ53" s="71"/>
      <c r="BK53" s="72"/>
      <c r="BL53" s="74"/>
      <c r="BN53" s="5" t="str">
        <f t="shared" si="23"/>
        <v>-1</v>
      </c>
      <c r="BP53" s="5"/>
    </row>
    <row r="54" ht="37.5" customHeight="1">
      <c r="A54" s="45"/>
      <c r="B54" s="46">
        <f>IFERROR(__xludf.DUMMYFUNCTION("""COMPUTED_VALUE"""),52.0)</f>
        <v>52</v>
      </c>
      <c r="C54" s="47" t="str">
        <f>IFERROR(__xludf.DUMMYFUNCTION("""COMPUTED_VALUE"""),"Gestión jurídica")</f>
        <v>Gestión jurídica</v>
      </c>
      <c r="D54" s="48" t="str">
        <f>IFERROR(__xludf.DUMMYFUNCTION("""COMPUTED_VALUE"""),"Oficina Asesor Jurídica")</f>
        <v>Oficina Asesor Jurídica</v>
      </c>
      <c r="E54" s="48" t="str">
        <f>IFERROR(__xludf.DUMMYFUNCTION("""COMPUTED_VALUE"""),"Fortalecimiento de la capacidad de gestión de la autoridad nacional de acuicultura y pesca - aunap nacional")</f>
        <v>Fortalecimiento de la capacidad de gestión de la autoridad nacional de acuicultura y pesca - aunap nacional</v>
      </c>
      <c r="F54" s="49">
        <f>IFERROR(__xludf.DUMMYFUNCTION("""COMPUTED_VALUE"""),2.018011000241E12)</f>
        <v>2018011000241</v>
      </c>
      <c r="G54" s="50" t="str">
        <f>IFERROR(__xludf.DUMMYFUNCTION("""COMPUTED_VALUE"""),"Fortalecimiento")</f>
        <v>Fortalecimiento</v>
      </c>
      <c r="H54" s="48" t="str">
        <f>IFERROR(__xludf.DUMMYFUNCTION("""COMPUTED_VALUE"""),"Fortalecer los sistemas de gestión de la Entidad")</f>
        <v>Fortalecer los sistemas de gestión de la Entidad</v>
      </c>
      <c r="I54" s="48" t="str">
        <f>IFERROR(__xludf.DUMMYFUNCTION("""COMPUTED_VALUE"""),"Servicio de Implementación Sistemas de Gestión")</f>
        <v>Servicio de Implementación Sistemas de Gestión</v>
      </c>
      <c r="J54"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54" s="51" t="str">
        <f>IFERROR(__xludf.DUMMYFUNCTION("""COMPUTED_VALUE"""),"Gestión del área")</f>
        <v>Gestión del área</v>
      </c>
      <c r="L54" s="51" t="str">
        <f>IFERROR(__xludf.DUMMYFUNCTION("""COMPUTED_VALUE"""),"Efectividad")</f>
        <v>Efectividad</v>
      </c>
      <c r="M54" s="51" t="str">
        <f>IFERROR(__xludf.DUMMYFUNCTION("""COMPUTED_VALUE"""),"Porcentaje")</f>
        <v>Porcentaje</v>
      </c>
      <c r="N54" s="52" t="str">
        <f>IFERROR(__xludf.DUMMYFUNCTION("""COMPUTED_VALUE"""),"(Número de respuestas atendidas oportunamente a los procesos judiciales, PQRS y actuaciónes judiciales ./Número procesos judicales, PQRS, consultas, actuaciónes judiciales radicadas en la OAJ*100")</f>
        <v>(Número de respuestas atendidas oportunamente a los procesos judiciales, PQRS y actuaciónes judiciales ./Número procesos judicales, PQRS, consultas, actuaciónes judiciales radicadas en la OAJ*100</v>
      </c>
      <c r="O54" s="53"/>
      <c r="P54" s="54">
        <f>IFERROR(__xludf.DUMMYFUNCTION("""COMPUTED_VALUE"""),1.0)</f>
        <v>1</v>
      </c>
      <c r="Q54" s="55" t="str">
        <f>IFERROR(__xludf.DUMMYFUNCTION("""COMPUTED_VALUE"""),"Atender  oportunamente la representación judicial y extrajudicial en los procesos y actuaciones que se instauren en su contra o que esta deba promover  la entidad, las PQRS, consultas, actuaciónes judiciales radicadas en la OAJ.")</f>
        <v>Atender  oportunamente la representación judicial y extrajudicial en los procesos y actuaciones que se instauren en su contra o que esta deba promover  la entidad, las PQRS, consultas, actuaciónes judiciales radicadas en la OAJ.</v>
      </c>
      <c r="R54" s="14" t="str">
        <f>IFERROR(__xludf.DUMMYFUNCTION("""COMPUTED_VALUE"""),"Trimestral")</f>
        <v>Trimestral</v>
      </c>
      <c r="S54" s="54">
        <f>IFERROR(__xludf.DUMMYFUNCTION("""COMPUTED_VALUE"""),1.0)</f>
        <v>1</v>
      </c>
      <c r="T54" s="54">
        <f>IFERROR(__xludf.DUMMYFUNCTION("""COMPUTED_VALUE"""),1.0)</f>
        <v>1</v>
      </c>
      <c r="U54" s="54">
        <f>IFERROR(__xludf.DUMMYFUNCTION("""COMPUTED_VALUE"""),1.0)</f>
        <v>1</v>
      </c>
      <c r="V54" s="54">
        <f>IFERROR(__xludf.DUMMYFUNCTION("""COMPUTED_VALUE"""),1.0)</f>
        <v>1</v>
      </c>
      <c r="W54" s="56" t="str">
        <f>IFERROR(__xludf.DUMMYFUNCTION("""COMPUTED_VALUE"""),"Oficina Asesoria Juridica")</f>
        <v>Oficina Asesoria Juridica</v>
      </c>
      <c r="X54" s="57" t="str">
        <f>IFERROR(__xludf.DUMMYFUNCTION("""COMPUTED_VALUE"""),"Miguel Angel Ardila")</f>
        <v>Miguel Angel Ardila</v>
      </c>
      <c r="Y54" s="47" t="str">
        <f>IFERROR(__xludf.DUMMYFUNCTION("""COMPUTED_VALUE"""),"Jefe Oficina Asesora Juridica")</f>
        <v>Jefe Oficina Asesora Juridica</v>
      </c>
      <c r="Z54" s="57" t="str">
        <f>IFERROR(__xludf.DUMMYFUNCTION("""COMPUTED_VALUE"""),"miguel.ardila@aunap.gov.co")</f>
        <v>miguel.ardila@aunap.gov.co</v>
      </c>
      <c r="AA54" s="47" t="str">
        <f>IFERROR(__xludf.DUMMYFUNCTION("""COMPUTED_VALUE"""),"Humanos, Físicos, Financieros, Tecnológicos")</f>
        <v>Humanos, Físicos, Financieros, Tecnológicos</v>
      </c>
      <c r="AB54" s="47" t="str">
        <f>IFERROR(__xludf.DUMMYFUNCTION("""COMPUTED_VALUE"""),"No asociado")</f>
        <v>No asociado</v>
      </c>
      <c r="AC54" s="47" t="str">
        <f>IFERROR(__xludf.DUMMYFUNCTION("""COMPUTED_VALUE"""),"Propiciar la formalización de la pesca y la acuicultura")</f>
        <v>Propiciar la formalización de la pesca y la acuicultura</v>
      </c>
      <c r="AD54" s="47" t="str">
        <f>IFERROR(__xludf.DUMMYFUNCTION("""COMPUTED_VALUE"""),"Gestión con valores para resultados")</f>
        <v>Gestión con valores para resultados</v>
      </c>
      <c r="AE54" s="47" t="str">
        <f>IFERROR(__xludf.DUMMYFUNCTION("""COMPUTED_VALUE"""),"Defensa Jurídica")</f>
        <v>Defensa Jurídica</v>
      </c>
      <c r="AF54" s="47" t="str">
        <f>IFERROR(__xludf.DUMMYFUNCTION("""COMPUTED_VALUE"""),"16. Paz, justicia e instituciones sólidas")</f>
        <v>16. Paz, justicia e instituciones sólidas</v>
      </c>
      <c r="AG54" s="80">
        <f>IFERROR(__xludf.DUMMYFUNCTION("""COMPUTED_VALUE"""),1.0)</f>
        <v>1</v>
      </c>
      <c r="AH54" s="59" t="str">
        <f>IFERROR(__xludf.DUMMYFUNCTION("""COMPUTED_VALUE"""),"La Oficina Asesora Jurídica ha adelantado oportunamente la representación judicial y extrajudicial en los procesos y actuaciones que se instauren en su contra, así como las PQRS y consultas requeridas. ")</f>
        <v>La Oficina Asesora Jurídica ha adelantado oportunamente la representación judicial y extrajudicial en los procesos y actuaciones que se instauren en su contra, así como las PQRS y consultas requeridas. </v>
      </c>
      <c r="AI54" s="77" t="str">
        <f>IFERROR(__xludf.DUMMYFUNCTION("""COMPUTED_VALUE"""),"https://drive.google.com/drive/folders/1i3VQQms5w8zYUPp90L1xKnV7cZqVvV_-")</f>
        <v>https://drive.google.com/drive/folders/1i3VQQms5w8zYUPp90L1xKnV7cZqVvV_-</v>
      </c>
      <c r="AJ54" s="59">
        <f>IFERROR(__xludf.DUMMYFUNCTION("""COMPUTED_VALUE"""),1.0)</f>
        <v>1</v>
      </c>
      <c r="AK54" s="59" t="str">
        <f>IFERROR(__xludf.DUMMYFUNCTION("""COMPUTED_VALUE"""),"Se han atendido oportunamente, las PQRS, consultas y procesos judiciales en los cuales la entidad es parte. ")</f>
        <v>Se han atendido oportunamente, las PQRS, consultas y procesos judiciales en los cuales la entidad es parte. </v>
      </c>
      <c r="AL54" s="59">
        <f>IFERROR(__xludf.DUMMYFUNCTION("""COMPUTED_VALUE"""),44582.0)</f>
        <v>44582</v>
      </c>
      <c r="AM54" s="60"/>
      <c r="AN54" s="61" t="str">
        <f>IFERROR(IF((AO54+1)&lt;2,Alertas!$B$2&amp;TEXT(AO54,"0%")&amp;Alertas!$D$2, IF((AO54+1)=2,Alertas!$B$3,IF((AO54+1)&gt;2,Alertas!$B$4&amp;TEXT(AO54,"0%")&amp;Alertas!$D$4,AO54+1))),"Sin meta para el segundo trimestre")</f>
        <v>La ejecución de la meta registrada se encuentra acorde a la meta programada en la formulación del plan de acción para el segundo trimestre</v>
      </c>
      <c r="AO54" s="62">
        <f t="shared" si="2"/>
        <v>1</v>
      </c>
      <c r="AP54" s="61" t="str">
        <f t="shared" si="3"/>
        <v>La ejecución de la meta registrada se encuentra acorde a la meta programada en la formulación del plan de acción para el segundo trimestre.</v>
      </c>
      <c r="AQ54" s="63"/>
      <c r="AR54" s="64"/>
      <c r="AS54" s="65"/>
      <c r="AT54" s="65"/>
      <c r="AU54" s="66"/>
      <c r="AV54" s="67"/>
      <c r="AW54" s="68"/>
      <c r="AX54" s="63"/>
      <c r="AY54" s="64"/>
      <c r="AZ54" s="69"/>
      <c r="BA54" s="65"/>
      <c r="BB54" s="70"/>
      <c r="BC54" s="71"/>
      <c r="BD54" s="72"/>
      <c r="BE54" s="73"/>
      <c r="BF54" s="64"/>
      <c r="BG54" s="69"/>
      <c r="BH54" s="65"/>
      <c r="BI54" s="66"/>
      <c r="BJ54" s="71"/>
      <c r="BK54" s="72"/>
      <c r="BL54" s="74"/>
      <c r="BN54" s="5" t="str">
        <f t="shared" si="23"/>
        <v>0</v>
      </c>
      <c r="BP54" s="5"/>
    </row>
    <row r="55" ht="37.5" customHeight="1">
      <c r="A55" s="45"/>
      <c r="B55" s="46">
        <f>IFERROR(__xludf.DUMMYFUNCTION("""COMPUTED_VALUE"""),53.0)</f>
        <v>53</v>
      </c>
      <c r="C55" s="47" t="str">
        <f>IFERROR(__xludf.DUMMYFUNCTION("""COMPUTED_VALUE"""),"Gestión jurídica")</f>
        <v>Gestión jurídica</v>
      </c>
      <c r="D55" s="48" t="str">
        <f>IFERROR(__xludf.DUMMYFUNCTION("""COMPUTED_VALUE"""),"Oficina Asesor Jurídica")</f>
        <v>Oficina Asesor Jurídica</v>
      </c>
      <c r="E55" s="48" t="str">
        <f>IFERROR(__xludf.DUMMYFUNCTION("""COMPUTED_VALUE"""),"Fortalecimiento de la capacidad de gestión de la autoridad nacional de acuicultura y pesca - aunap nacional")</f>
        <v>Fortalecimiento de la capacidad de gestión de la autoridad nacional de acuicultura y pesca - aunap nacional</v>
      </c>
      <c r="F55" s="49">
        <f>IFERROR(__xludf.DUMMYFUNCTION("""COMPUTED_VALUE"""),2.018011000241E12)</f>
        <v>2018011000241</v>
      </c>
      <c r="G55" s="50" t="str">
        <f>IFERROR(__xludf.DUMMYFUNCTION("""COMPUTED_VALUE"""),"Fortalecimiento")</f>
        <v>Fortalecimiento</v>
      </c>
      <c r="H55" s="48" t="str">
        <f>IFERROR(__xludf.DUMMYFUNCTION("""COMPUTED_VALUE"""),"Fortalecer los sistemas de gestión de la Entidad")</f>
        <v>Fortalecer los sistemas de gestión de la Entidad</v>
      </c>
      <c r="I55" s="48" t="str">
        <f>IFERROR(__xludf.DUMMYFUNCTION("""COMPUTED_VALUE"""),"Servicio de Implementación Sistemas de Gestión")</f>
        <v>Servicio de Implementación Sistemas de Gestión</v>
      </c>
      <c r="J55"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55" s="51" t="str">
        <f>IFERROR(__xludf.DUMMYFUNCTION("""COMPUTED_VALUE"""),"Gestión del área")</f>
        <v>Gestión del área</v>
      </c>
      <c r="L55" s="51" t="str">
        <f>IFERROR(__xludf.DUMMYFUNCTION("""COMPUTED_VALUE"""),"Eficacia")</f>
        <v>Eficacia</v>
      </c>
      <c r="M55" s="51" t="str">
        <f>IFERROR(__xludf.DUMMYFUNCTION("""COMPUTED_VALUE"""),"Porcentaje")</f>
        <v>Porcentaje</v>
      </c>
      <c r="N55" s="52" t="str">
        <f>IFERROR(__xludf.DUMMYFUNCTION("""COMPUTED_VALUE"""),"Número de cobro persuasivo y/o coactivo atendidos/Número de procesos allegados a la OAJ por ente coactivo *100")</f>
        <v>Número de cobro persuasivo y/o coactivo atendidos/Número de procesos allegados a la OAJ por ente coactivo *100</v>
      </c>
      <c r="O55" s="53"/>
      <c r="P55" s="54">
        <f>IFERROR(__xludf.DUMMYFUNCTION("""COMPUTED_VALUE"""),1.0)</f>
        <v>1</v>
      </c>
      <c r="Q55" s="55" t="str">
        <f>IFERROR(__xludf.DUMMYFUNCTION("""COMPUTED_VALUE"""),"Coordinar el proceso de cobro persuasivo y/o coactivo de conformidad a la Resolucion 1708 del 5 de octubre de 2016 ""Reglamento Interno de Cartera y Manual de Cobro Coactivo"" suscrito por la Oficina Asesora Jurídica.")</f>
        <v>Coordinar el proceso de cobro persuasivo y/o coactivo de conformidad a la Resolucion 1708 del 5 de octubre de 2016 "Reglamento Interno de Cartera y Manual de Cobro Coactivo" suscrito por la Oficina Asesora Jurídica.</v>
      </c>
      <c r="R55" s="14" t="str">
        <f>IFERROR(__xludf.DUMMYFUNCTION("""COMPUTED_VALUE"""),"Trimestral")</f>
        <v>Trimestral</v>
      </c>
      <c r="S55" s="54">
        <f>IFERROR(__xludf.DUMMYFUNCTION("""COMPUTED_VALUE"""),1.0)</f>
        <v>1</v>
      </c>
      <c r="T55" s="54">
        <f>IFERROR(__xludf.DUMMYFUNCTION("""COMPUTED_VALUE"""),1.0)</f>
        <v>1</v>
      </c>
      <c r="U55" s="54">
        <f>IFERROR(__xludf.DUMMYFUNCTION("""COMPUTED_VALUE"""),1.0)</f>
        <v>1</v>
      </c>
      <c r="V55" s="54">
        <f>IFERROR(__xludf.DUMMYFUNCTION("""COMPUTED_VALUE"""),1.0)</f>
        <v>1</v>
      </c>
      <c r="W55" s="56" t="str">
        <f>IFERROR(__xludf.DUMMYFUNCTION("""COMPUTED_VALUE"""),"Oficina Asesoria Juridica")</f>
        <v>Oficina Asesoria Juridica</v>
      </c>
      <c r="X55" s="57" t="str">
        <f>IFERROR(__xludf.DUMMYFUNCTION("""COMPUTED_VALUE"""),"Miguel Angel Ardila")</f>
        <v>Miguel Angel Ardila</v>
      </c>
      <c r="Y55" s="47" t="str">
        <f>IFERROR(__xludf.DUMMYFUNCTION("""COMPUTED_VALUE"""),"Jefe Oficina Asesora Juridica")</f>
        <v>Jefe Oficina Asesora Juridica</v>
      </c>
      <c r="Z55" s="57" t="str">
        <f>IFERROR(__xludf.DUMMYFUNCTION("""COMPUTED_VALUE"""),"miguel.ardila@aunap.gov.co")</f>
        <v>miguel.ardila@aunap.gov.co</v>
      </c>
      <c r="AA55" s="47" t="str">
        <f>IFERROR(__xludf.DUMMYFUNCTION("""COMPUTED_VALUE"""),"Humanos, Físicos, Financieros, Tecnológicos")</f>
        <v>Humanos, Físicos, Financieros, Tecnológicos</v>
      </c>
      <c r="AB55" s="47" t="str">
        <f>IFERROR(__xludf.DUMMYFUNCTION("""COMPUTED_VALUE"""),"No asociado")</f>
        <v>No asociado</v>
      </c>
      <c r="AC55"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55" s="47" t="str">
        <f>IFERROR(__xludf.DUMMYFUNCTION("""COMPUTED_VALUE"""),"Gestión con valores para resultados")</f>
        <v>Gestión con valores para resultados</v>
      </c>
      <c r="AE55" s="47" t="str">
        <f>IFERROR(__xludf.DUMMYFUNCTION("""COMPUTED_VALUE"""),"Defensa Jurídica")</f>
        <v>Defensa Jurídica</v>
      </c>
      <c r="AF55" s="47" t="str">
        <f>IFERROR(__xludf.DUMMYFUNCTION("""COMPUTED_VALUE"""),"16. Paz, justicia e instituciones sólidas")</f>
        <v>16. Paz, justicia e instituciones sólidas</v>
      </c>
      <c r="AG55" s="80">
        <f>IFERROR(__xludf.DUMMYFUNCTION("""COMPUTED_VALUE"""),1.0)</f>
        <v>1</v>
      </c>
      <c r="AH55" s="59" t="str">
        <f>IFERROR(__xludf.DUMMYFUNCTION("""COMPUTED_VALUE"""),"La Oficina Asesora Jurídica ha adelantado el proceso de cobro coactivo y persuasivo de conformidad a la Resolucion 1708 del 5 de octubre de 2016 ""Reglamento Interno de Cartera y Manual de Cobro Coactivo"" ")</f>
        <v>La Oficina Asesora Jurídica ha adelantado el proceso de cobro coactivo y persuasivo de conformidad a la Resolucion 1708 del 5 de octubre de 2016 "Reglamento Interno de Cartera y Manual de Cobro Coactivo" </v>
      </c>
      <c r="AI55" s="81" t="str">
        <f>IFERROR(__xludf.DUMMYFUNCTION("""COMPUTED_VALUE"""),"https://drive.google.com/drive/folders/1u8YbH26Y-46Z6v3Uw602siWIb9lT8h6h")</f>
        <v>https://drive.google.com/drive/folders/1u8YbH26Y-46Z6v3Uw602siWIb9lT8h6h</v>
      </c>
      <c r="AJ55" s="59">
        <f>IFERROR(__xludf.DUMMYFUNCTION("""COMPUTED_VALUE"""),1.0)</f>
        <v>1</v>
      </c>
      <c r="AK55" s="59" t="str">
        <f>IFERROR(__xludf.DUMMYFUNCTION("""COMPUTED_VALUE"""),"Actualmente la Oficina tiene 28 procesos de cobro coactivo, los cuales han sido atendidos de forma oportuna, y por ello se evidencia su ejecución.")</f>
        <v>Actualmente la Oficina tiene 28 procesos de cobro coactivo, los cuales han sido atendidos de forma oportuna, y por ello se evidencia su ejecución.</v>
      </c>
      <c r="AL55" s="59">
        <f>IFERROR(__xludf.DUMMYFUNCTION("""COMPUTED_VALUE"""),44582.0)</f>
        <v>44582</v>
      </c>
      <c r="AM55" s="60"/>
      <c r="AN55" s="61" t="str">
        <f>IFERROR(IF((AO55+1)&lt;2,Alertas!$B$2&amp;TEXT(AO55,"0%")&amp;Alertas!$D$2, IF((AO55+1)=2,Alertas!$B$3,IF((AO55+1)&gt;2,Alertas!$B$4&amp;TEXT(AO55,"0%")&amp;Alertas!$D$4,AO55+1))),"Sin meta para el segundo trimestre")</f>
        <v>La ejecución de la meta registrada se encuentra acorde a la meta programada en la formulación del plan de acción para el segundo trimestre</v>
      </c>
      <c r="AO55" s="62">
        <f t="shared" si="2"/>
        <v>1</v>
      </c>
      <c r="AP55" s="61" t="str">
        <f t="shared" si="3"/>
        <v>La ejecución de la meta registrada se encuentra acorde a la meta programada en la formulación del plan de acción para el segundo trimestre.</v>
      </c>
      <c r="AQ55" s="63"/>
      <c r="AR55" s="64"/>
      <c r="AS55" s="65"/>
      <c r="AT55" s="65"/>
      <c r="AU55" s="66"/>
      <c r="AV55" s="67"/>
      <c r="AW55" s="68"/>
      <c r="AX55" s="63"/>
      <c r="AY55" s="64"/>
      <c r="AZ55" s="69"/>
      <c r="BA55" s="65"/>
      <c r="BB55" s="70"/>
      <c r="BC55" s="71"/>
      <c r="BD55" s="72"/>
      <c r="BE55" s="73"/>
      <c r="BF55" s="64"/>
      <c r="BG55" s="69"/>
      <c r="BH55" s="65"/>
      <c r="BI55" s="66"/>
      <c r="BJ55" s="71"/>
      <c r="BK55" s="72"/>
      <c r="BL55" s="74"/>
      <c r="BN55" s="5" t="str">
        <f t="shared" si="23"/>
        <v>0</v>
      </c>
      <c r="BP55" s="5"/>
    </row>
    <row r="56" ht="37.5" customHeight="1">
      <c r="A56" s="45"/>
      <c r="B56" s="46">
        <f>IFERROR(__xludf.DUMMYFUNCTION("""COMPUTED_VALUE"""),54.0)</f>
        <v>54</v>
      </c>
      <c r="C56" s="47" t="str">
        <f>IFERROR(__xludf.DUMMYFUNCTION("""COMPUTED_VALUE"""),"Gestión jurídica")</f>
        <v>Gestión jurídica</v>
      </c>
      <c r="D56" s="48" t="str">
        <f>IFERROR(__xludf.DUMMYFUNCTION("""COMPUTED_VALUE"""),"Oficina Asesor Jurídica")</f>
        <v>Oficina Asesor Jurídica</v>
      </c>
      <c r="E56" s="48" t="str">
        <f>IFERROR(__xludf.DUMMYFUNCTION("""COMPUTED_VALUE"""),"Fortalecimiento de la capacidad de gestión de la autoridad nacional de acuicultura y pesca - aunap nacional")</f>
        <v>Fortalecimiento de la capacidad de gestión de la autoridad nacional de acuicultura y pesca - aunap nacional</v>
      </c>
      <c r="F56" s="49">
        <f>IFERROR(__xludf.DUMMYFUNCTION("""COMPUTED_VALUE"""),2.018011000241E12)</f>
        <v>2018011000241</v>
      </c>
      <c r="G56" s="50" t="str">
        <f>IFERROR(__xludf.DUMMYFUNCTION("""COMPUTED_VALUE"""),"Fortalecimiento")</f>
        <v>Fortalecimiento</v>
      </c>
      <c r="H56" s="48" t="str">
        <f>IFERROR(__xludf.DUMMYFUNCTION("""COMPUTED_VALUE"""),"Fortalecer los sistemas de gestión de la Entidad")</f>
        <v>Fortalecer los sistemas de gestión de la Entidad</v>
      </c>
      <c r="I56" s="48" t="str">
        <f>IFERROR(__xludf.DUMMYFUNCTION("""COMPUTED_VALUE"""),"Servicio de Implementación Sistemas de Gestión")</f>
        <v>Servicio de Implementación Sistemas de Gestión</v>
      </c>
      <c r="J56"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56" s="51" t="str">
        <f>IFERROR(__xludf.DUMMYFUNCTION("""COMPUTED_VALUE"""),"Gestión del área")</f>
        <v>Gestión del área</v>
      </c>
      <c r="L56" s="51" t="str">
        <f>IFERROR(__xludf.DUMMYFUNCTION("""COMPUTED_VALUE"""),"Eficacia")</f>
        <v>Eficacia</v>
      </c>
      <c r="M56" s="51" t="str">
        <f>IFERROR(__xludf.DUMMYFUNCTION("""COMPUTED_VALUE"""),"Porcentaje")</f>
        <v>Porcentaje</v>
      </c>
      <c r="N56" s="52" t="str">
        <f>IFERROR(__xludf.DUMMYFUNCTION("""COMPUTED_VALUE"""),"Número de actos administrativos  revisados y Proyectados/ Número de solicitudes de revisión y proyección de actos administrativos por parte de la Dirección General y  demas areas AUNAP*100")</f>
        <v>Número de actos administrativos  revisados y Proyectados/ Número de solicitudes de revisión y proyección de actos administrativos por parte de la Dirección General y  demas areas AUNAP*100</v>
      </c>
      <c r="O56" s="53"/>
      <c r="P56" s="54">
        <f>IFERROR(__xludf.DUMMYFUNCTION("""COMPUTED_VALUE"""),1.0)</f>
        <v>1</v>
      </c>
      <c r="Q56" s="55" t="str">
        <f>IFERROR(__xludf.DUMMYFUNCTION("""COMPUTED_VALUE"""),"Proyectar y revisar los actos administrativos segun solicitud de la Dirección General, igualmente apoyo y acompañamiento juridico a las demas àreas de la entidad.")</f>
        <v>Proyectar y revisar los actos administrativos segun solicitud de la Dirección General, igualmente apoyo y acompañamiento juridico a las demas àreas de la entidad.</v>
      </c>
      <c r="R56" s="14" t="str">
        <f>IFERROR(__xludf.DUMMYFUNCTION("""COMPUTED_VALUE"""),"Trimestral")</f>
        <v>Trimestral</v>
      </c>
      <c r="S56" s="54">
        <f>IFERROR(__xludf.DUMMYFUNCTION("""COMPUTED_VALUE"""),1.0)</f>
        <v>1</v>
      </c>
      <c r="T56" s="54">
        <f>IFERROR(__xludf.DUMMYFUNCTION("""COMPUTED_VALUE"""),1.0)</f>
        <v>1</v>
      </c>
      <c r="U56" s="54">
        <f>IFERROR(__xludf.DUMMYFUNCTION("""COMPUTED_VALUE"""),1.0)</f>
        <v>1</v>
      </c>
      <c r="V56" s="54">
        <f>IFERROR(__xludf.DUMMYFUNCTION("""COMPUTED_VALUE"""),1.0)</f>
        <v>1</v>
      </c>
      <c r="W56" s="56" t="str">
        <f>IFERROR(__xludf.DUMMYFUNCTION("""COMPUTED_VALUE"""),"Oficina Asesoria Juridica")</f>
        <v>Oficina Asesoria Juridica</v>
      </c>
      <c r="X56" s="57" t="str">
        <f>IFERROR(__xludf.DUMMYFUNCTION("""COMPUTED_VALUE"""),"Miguel Angel Ardila")</f>
        <v>Miguel Angel Ardila</v>
      </c>
      <c r="Y56" s="47" t="str">
        <f>IFERROR(__xludf.DUMMYFUNCTION("""COMPUTED_VALUE"""),"Jefe Oficina Asesora Juridica")</f>
        <v>Jefe Oficina Asesora Juridica</v>
      </c>
      <c r="Z56" s="57" t="str">
        <f>IFERROR(__xludf.DUMMYFUNCTION("""COMPUTED_VALUE"""),"miguel.ardila@aunap.gov.co")</f>
        <v>miguel.ardila@aunap.gov.co</v>
      </c>
      <c r="AA56" s="47" t="str">
        <f>IFERROR(__xludf.DUMMYFUNCTION("""COMPUTED_VALUE"""),"Humanos, Físicos, Financieros, Tecnológicos")</f>
        <v>Humanos, Físicos, Financieros, Tecnológicos</v>
      </c>
      <c r="AB56" s="47" t="str">
        <f>IFERROR(__xludf.DUMMYFUNCTION("""COMPUTED_VALUE"""),"No asociado")</f>
        <v>No asociado</v>
      </c>
      <c r="AC56" s="47" t="str">
        <f>IFERROR(__xludf.DUMMYFUNCTION("""COMPUTED_VALUE"""),"Propiciar la formalización de la pesca y la acuicultura")</f>
        <v>Propiciar la formalización de la pesca y la acuicultura</v>
      </c>
      <c r="AD56" s="47" t="str">
        <f>IFERROR(__xludf.DUMMYFUNCTION("""COMPUTED_VALUE"""),"Gestión con valores para resultados")</f>
        <v>Gestión con valores para resultados</v>
      </c>
      <c r="AE56" s="47" t="str">
        <f>IFERROR(__xludf.DUMMYFUNCTION("""COMPUTED_VALUE"""),"Defensa Jurídica")</f>
        <v>Defensa Jurídica</v>
      </c>
      <c r="AF56" s="47" t="str">
        <f>IFERROR(__xludf.DUMMYFUNCTION("""COMPUTED_VALUE"""),"16. Paz, justicia e instituciones sólidas")</f>
        <v>16. Paz, justicia e instituciones sólidas</v>
      </c>
      <c r="AG56" s="80">
        <f>IFERROR(__xludf.DUMMYFUNCTION("""COMPUTED_VALUE"""),1.0)</f>
        <v>1</v>
      </c>
      <c r="AH56" s="59" t="str">
        <f>IFERROR(__xludf.DUMMYFUNCTION("""COMPUTED_VALUE"""),"La Oficina Asesora Jurídica, ha revisado y proyectado los actos administrativos requeridos por la Dirección General.")</f>
        <v>La Oficina Asesora Jurídica, ha revisado y proyectado los actos administrativos requeridos por la Dirección General.</v>
      </c>
      <c r="AI56" s="77" t="str">
        <f>IFERROR(__xludf.DUMMYFUNCTION("""COMPUTED_VALUE"""),"https://docs.google.com/spreadsheets/d/1DGzArBUHGy02sFBrVHTiPflUyFWjtMtT/edit#gid=281554361")</f>
        <v>https://docs.google.com/spreadsheets/d/1DGzArBUHGy02sFBrVHTiPflUyFWjtMtT/edit#gid=281554361</v>
      </c>
      <c r="AJ56" s="59">
        <f>IFERROR(__xludf.DUMMYFUNCTION("""COMPUTED_VALUE"""),1.0)</f>
        <v>1</v>
      </c>
      <c r="AK56" s="59" t="str">
        <f>IFERROR(__xludf.DUMMYFUNCTION("""COMPUTED_VALUE"""),"Dentro del cuatrimistre se requió la revisión de 45 resoluciones, las cuales fueron atendidos de manera oportuna. ")</f>
        <v>Dentro del cuatrimistre se requió la revisión de 45 resoluciones, las cuales fueron atendidos de manera oportuna. </v>
      </c>
      <c r="AL56" s="59">
        <f>IFERROR(__xludf.DUMMYFUNCTION("""COMPUTED_VALUE"""),44582.0)</f>
        <v>44582</v>
      </c>
      <c r="AM56" s="60"/>
      <c r="AN56" s="61" t="str">
        <f>IFERROR(IF((AO56+1)&lt;2,Alertas!$B$2&amp;TEXT(AO56,"0%")&amp;Alertas!$D$2, IF((AO56+1)=2,Alertas!$B$3,IF((AO56+1)&gt;2,Alertas!$B$4&amp;TEXT(AO56,"0%")&amp;Alertas!$D$4,AO56+1))),"Sin meta para el segundo trimestre")</f>
        <v>La ejecución de la meta registrada se encuentra acorde a la meta programada en la formulación del plan de acción para el segundo trimestre</v>
      </c>
      <c r="AO56" s="62">
        <f t="shared" si="2"/>
        <v>1</v>
      </c>
      <c r="AP56" s="61" t="str">
        <f t="shared" si="3"/>
        <v>La ejecución de la meta registrada se encuentra acorde a la meta programada en la formulación del plan de acción para el segundo trimestre.</v>
      </c>
      <c r="AQ56" s="63"/>
      <c r="AR56" s="64"/>
      <c r="AS56" s="65"/>
      <c r="AT56" s="65"/>
      <c r="AU56" s="66"/>
      <c r="AV56" s="67"/>
      <c r="AW56" s="68"/>
      <c r="AX56" s="63"/>
      <c r="AY56" s="64"/>
      <c r="AZ56" s="69"/>
      <c r="BA56" s="65"/>
      <c r="BB56" s="70"/>
      <c r="BC56" s="71"/>
      <c r="BD56" s="72"/>
      <c r="BE56" s="73"/>
      <c r="BF56" s="64"/>
      <c r="BG56" s="69"/>
      <c r="BH56" s="65"/>
      <c r="BI56" s="66"/>
      <c r="BJ56" s="71"/>
      <c r="BK56" s="72"/>
      <c r="BL56" s="74"/>
      <c r="BN56" s="5" t="str">
        <f t="shared" si="23"/>
        <v>0</v>
      </c>
      <c r="BP56" s="5"/>
    </row>
    <row r="57" ht="37.5" customHeight="1">
      <c r="A57" s="45"/>
      <c r="B57" s="46">
        <f>IFERROR(__xludf.DUMMYFUNCTION("""COMPUTED_VALUE"""),55.0)</f>
        <v>55</v>
      </c>
      <c r="C57" s="47" t="str">
        <f>IFERROR(__xludf.DUMMYFUNCTION("""COMPUTED_VALUE"""),"Gestión jurídica")</f>
        <v>Gestión jurídica</v>
      </c>
      <c r="D57" s="48" t="str">
        <f>IFERROR(__xludf.DUMMYFUNCTION("""COMPUTED_VALUE"""),"Oficina Asesor Jurídica")</f>
        <v>Oficina Asesor Jurídica</v>
      </c>
      <c r="E57" s="48" t="str">
        <f>IFERROR(__xludf.DUMMYFUNCTION("""COMPUTED_VALUE"""),"Fortalecimiento de la sostenibilidad del sector pesquero y de la acuicultura en el territorio nacional")</f>
        <v>Fortalecimiento de la sostenibilidad del sector pesquero y de la acuicultura en el territorio nacional</v>
      </c>
      <c r="F57" s="49">
        <f>IFERROR(__xludf.DUMMYFUNCTION("""COMPUTED_VALUE"""),2.01901100028E12)</f>
        <v>2019011000280</v>
      </c>
      <c r="G57" s="50" t="str">
        <f>IFERROR(__xludf.DUMMYFUNCTION("""COMPUTED_VALUE"""),"Sostenibilidad")</f>
        <v>Sostenibilidad</v>
      </c>
      <c r="H57" s="48" t="str">
        <f>IFERROR(__xludf.DUMMYFUNCTION("""COMPUTED_VALUE"""),"Mejorar las prácticas de pesca y de acuicultura.")</f>
        <v>Mejorar las prácticas de pesca y de acuicultura.</v>
      </c>
      <c r="I57" s="48" t="str">
        <f>IFERROR(__xludf.DUMMYFUNCTION("""COMPUTED_VALUE"""),"Servicios de apoyo al fomento de la pesca y la acuicultura")</f>
        <v>Servicios de apoyo al fomento de la pesca y la acuicultura</v>
      </c>
      <c r="J57" s="48" t="str">
        <f>IFERROR(__xludf.DUMMYFUNCTION("""COMPUTED_VALUE"""),"Generar acciones de fomento para la pesca, la acuicultura y sus actividades conexas.")</f>
        <v>Generar acciones de fomento para la pesca, la acuicultura y sus actividades conexas.</v>
      </c>
      <c r="K57" s="51" t="str">
        <f>IFERROR(__xludf.DUMMYFUNCTION("""COMPUTED_VALUE"""),"Gestión del área")</f>
        <v>Gestión del área</v>
      </c>
      <c r="L57" s="51" t="str">
        <f>IFERROR(__xludf.DUMMYFUNCTION("""COMPUTED_VALUE"""),"Eficacia")</f>
        <v>Eficacia</v>
      </c>
      <c r="M57" s="51" t="str">
        <f>IFERROR(__xludf.DUMMYFUNCTION("""COMPUTED_VALUE"""),"Porcentaje")</f>
        <v>Porcentaje</v>
      </c>
      <c r="N57" s="52" t="str">
        <f>IFERROR(__xludf.DUMMYFUNCTION("""COMPUTED_VALUE"""),"Número de proyectos de ley, conceptos o materias legales/Número revision y elaboracion de proyectos de ley , coceptos o materias legales * 100")</f>
        <v>Número de proyectos de ley, conceptos o materias legales/Número revision y elaboracion de proyectos de ley , coceptos o materias legales * 100</v>
      </c>
      <c r="O57" s="53"/>
      <c r="P57" s="54">
        <f>IFERROR(__xludf.DUMMYFUNCTION("""COMPUTED_VALUE"""),1.0)</f>
        <v>1</v>
      </c>
      <c r="Q57" s="55" t="str">
        <f>IFERROR(__xludf.DUMMYFUNCTION("""COMPUTED_VALUE"""),"Acompañamiento juridico en la elaboraciòn de los proyectos de ley, conceptos o materias legales y asesorar juridicamente al Director General y demàs istancias de la entidad")</f>
        <v>Acompañamiento juridico en la elaboraciòn de los proyectos de ley, conceptos o materias legales y asesorar juridicamente al Director General y demàs istancias de la entidad</v>
      </c>
      <c r="R57" s="14" t="str">
        <f>IFERROR(__xludf.DUMMYFUNCTION("""COMPUTED_VALUE"""),"Trimestral")</f>
        <v>Trimestral</v>
      </c>
      <c r="S57" s="54">
        <f>IFERROR(__xludf.DUMMYFUNCTION("""COMPUTED_VALUE"""),1.0)</f>
        <v>1</v>
      </c>
      <c r="T57" s="54">
        <f>IFERROR(__xludf.DUMMYFUNCTION("""COMPUTED_VALUE"""),1.0)</f>
        <v>1</v>
      </c>
      <c r="U57" s="54">
        <f>IFERROR(__xludf.DUMMYFUNCTION("""COMPUTED_VALUE"""),1.0)</f>
        <v>1</v>
      </c>
      <c r="V57" s="54">
        <f>IFERROR(__xludf.DUMMYFUNCTION("""COMPUTED_VALUE"""),1.0)</f>
        <v>1</v>
      </c>
      <c r="W57" s="56" t="str">
        <f>IFERROR(__xludf.DUMMYFUNCTION("""COMPUTED_VALUE"""),"Oficina Asesoria Juridica")</f>
        <v>Oficina Asesoria Juridica</v>
      </c>
      <c r="X57" s="57" t="str">
        <f>IFERROR(__xludf.DUMMYFUNCTION("""COMPUTED_VALUE"""),"Miguel Angel Ardila")</f>
        <v>Miguel Angel Ardila</v>
      </c>
      <c r="Y57" s="47" t="str">
        <f>IFERROR(__xludf.DUMMYFUNCTION("""COMPUTED_VALUE"""),"Jefe Oficina Asesora Juridica")</f>
        <v>Jefe Oficina Asesora Juridica</v>
      </c>
      <c r="Z57" s="57" t="str">
        <f>IFERROR(__xludf.DUMMYFUNCTION("""COMPUTED_VALUE"""),"miguel.ardila@aunap.gov.co")</f>
        <v>miguel.ardila@aunap.gov.co</v>
      </c>
      <c r="AA57" s="47" t="str">
        <f>IFERROR(__xludf.DUMMYFUNCTION("""COMPUTED_VALUE"""),"Humanos, Físicos, Financieros, Tecnológicos")</f>
        <v>Humanos, Físicos, Financieros, Tecnológicos</v>
      </c>
      <c r="AB57" s="47" t="str">
        <f>IFERROR(__xludf.DUMMYFUNCTION("""COMPUTED_VALUE"""),"No asociado")</f>
        <v>No asociado</v>
      </c>
      <c r="AC57" s="47" t="str">
        <f>IFERROR(__xludf.DUMMYFUNCTION("""COMPUTED_VALUE"""),"Propiciar la formalización de la pesca y la acuicultura")</f>
        <v>Propiciar la formalización de la pesca y la acuicultura</v>
      </c>
      <c r="AD57" s="47" t="str">
        <f>IFERROR(__xludf.DUMMYFUNCTION("""COMPUTED_VALUE"""),"Gestión con valores para resultados")</f>
        <v>Gestión con valores para resultados</v>
      </c>
      <c r="AE57" s="47" t="str">
        <f>IFERROR(__xludf.DUMMYFUNCTION("""COMPUTED_VALUE"""),"Defensa Jurídica")</f>
        <v>Defensa Jurídica</v>
      </c>
      <c r="AF57" s="47" t="str">
        <f>IFERROR(__xludf.DUMMYFUNCTION("""COMPUTED_VALUE"""),"16. Paz, justicia e instituciones sólidas")</f>
        <v>16. Paz, justicia e instituciones sólidas</v>
      </c>
      <c r="AG57" s="80">
        <f>IFERROR(__xludf.DUMMYFUNCTION("""COMPUTED_VALUE"""),1.0)</f>
        <v>1</v>
      </c>
      <c r="AH57" s="59" t="str">
        <f>IFERROR(__xludf.DUMMYFUNCTION("""COMPUTED_VALUE"""),"La Oficina Asesora Jurídica, ha participado de manera activa en la construcción de los proyectos de ley y ha atendido los requerimientos del Director General.")</f>
        <v>La Oficina Asesora Jurídica, ha participado de manera activa en la construcción de los proyectos de ley y ha atendido los requerimientos del Director General.</v>
      </c>
      <c r="AI57" s="77" t="str">
        <f>IFERROR(__xludf.DUMMYFUNCTION("""COMPUTED_VALUE"""),"https://drive.google.com/drive/folders/1aA0PrU4No-ZJgotdOnPMDO5u5Y_fBaO4")</f>
        <v>https://drive.google.com/drive/folders/1aA0PrU4No-ZJgotdOnPMDO5u5Y_fBaO4</v>
      </c>
      <c r="AJ57" s="59">
        <f>IFERROR(__xludf.DUMMYFUNCTION("""COMPUTED_VALUE"""),1.0)</f>
        <v>1</v>
      </c>
      <c r="AK57" s="59" t="str">
        <f>IFERROR(__xludf.DUMMYFUNCTION("""COMPUTED_VALUE"""),"Dentro del cuatrimistre se han atendido los requerimientos del Director General y se ha participado en la construcción de los proyectos de ley . ")</f>
        <v>Dentro del cuatrimistre se han atendido los requerimientos del Director General y se ha participado en la construcción de los proyectos de ley . </v>
      </c>
      <c r="AL57" s="59">
        <f>IFERROR(__xludf.DUMMYFUNCTION("""COMPUTED_VALUE"""),44582.0)</f>
        <v>44582</v>
      </c>
      <c r="AM57" s="60"/>
      <c r="AN57" s="61" t="str">
        <f>IFERROR(IF((AO57+1)&lt;2,Alertas!$B$2&amp;TEXT(AO57,"0%")&amp;Alertas!$D$2, IF((AO57+1)=2,Alertas!$B$3,IF((AO57+1)&gt;2,Alertas!$B$4&amp;TEXT(AO57,"0%")&amp;Alertas!$D$4,AO57+1))),"Sin meta para el segundo trimestre")</f>
        <v>La ejecución de la meta registrada se encuentra acorde a la meta programada en la formulación del plan de acción para el segundo trimestre</v>
      </c>
      <c r="AO57" s="62">
        <f t="shared" si="2"/>
        <v>1</v>
      </c>
      <c r="AP57" s="61" t="str">
        <f t="shared" si="3"/>
        <v>La ejecución de la meta registrada se encuentra acorde a la meta programada en la formulación del plan de acción para el segundo trimestre.</v>
      </c>
      <c r="AQ57" s="63"/>
      <c r="AR57" s="64"/>
      <c r="AS57" s="65"/>
      <c r="AT57" s="65"/>
      <c r="AU57" s="66"/>
      <c r="AV57" s="67"/>
      <c r="AW57" s="68"/>
      <c r="AX57" s="63"/>
      <c r="AY57" s="64"/>
      <c r="AZ57" s="69"/>
      <c r="BA57" s="65"/>
      <c r="BB57" s="70"/>
      <c r="BC57" s="71"/>
      <c r="BD57" s="72"/>
      <c r="BE57" s="73"/>
      <c r="BF57" s="64"/>
      <c r="BG57" s="69"/>
      <c r="BH57" s="65"/>
      <c r="BI57" s="66"/>
      <c r="BJ57" s="71"/>
      <c r="BK57" s="72"/>
      <c r="BL57" s="74"/>
      <c r="BN57" s="5" t="str">
        <f t="shared" si="23"/>
        <v>0</v>
      </c>
      <c r="BP57" s="5"/>
    </row>
    <row r="58" ht="37.5" customHeight="1">
      <c r="A58" s="45"/>
      <c r="B58" s="46">
        <f>IFERROR(__xludf.DUMMYFUNCTION("""COMPUTED_VALUE"""),56.0)</f>
        <v>56</v>
      </c>
      <c r="C58" s="47" t="str">
        <f>IFERROR(__xludf.DUMMYFUNCTION("""COMPUTED_VALUE"""),"Gestión jurídica")</f>
        <v>Gestión jurídica</v>
      </c>
      <c r="D58" s="48" t="str">
        <f>IFERROR(__xludf.DUMMYFUNCTION("""COMPUTED_VALUE"""),"Oficina Asesor Jurídica")</f>
        <v>Oficina Asesor Jurídica</v>
      </c>
      <c r="E58" s="48" t="str">
        <f>IFERROR(__xludf.DUMMYFUNCTION("""COMPUTED_VALUE"""),"Fortalecimiento de la capacidad de gestión de la autoridad nacional de acuicultura y pesca - aunap nacional")</f>
        <v>Fortalecimiento de la capacidad de gestión de la autoridad nacional de acuicultura y pesca - aunap nacional</v>
      </c>
      <c r="F58" s="49">
        <f>IFERROR(__xludf.DUMMYFUNCTION("""COMPUTED_VALUE"""),2.018011000241E12)</f>
        <v>2018011000241</v>
      </c>
      <c r="G58" s="50" t="str">
        <f>IFERROR(__xludf.DUMMYFUNCTION("""COMPUTED_VALUE"""),"Fortalecimiento")</f>
        <v>Fortalecimiento</v>
      </c>
      <c r="H58" s="48" t="str">
        <f>IFERROR(__xludf.DUMMYFUNCTION("""COMPUTED_VALUE"""),"Fortalecer los sistemas de gestión de la Entidad")</f>
        <v>Fortalecer los sistemas de gestión de la Entidad</v>
      </c>
      <c r="I58" s="48" t="str">
        <f>IFERROR(__xludf.DUMMYFUNCTION("""COMPUTED_VALUE"""),"Servicio de Implementación Sistemas de Gestión")</f>
        <v>Servicio de Implementación Sistemas de Gestión</v>
      </c>
      <c r="J58" s="48" t="str">
        <f>IFERROR(__xludf.DUMMYFUNCTION("""COMPUTED_VALUE"""),"Optimizar la gestión administrativa, operativa, de planeación, seguimiento y control de la Entidad, para mejorar el desempeño institucional y la prestación del servicio a nivel nacional")</f>
        <v>Optimizar la gestión administrativa, operativa, de planeación, seguimiento y control de la Entidad, para mejorar el desempeño institucional y la prestación del servicio a nivel nacional</v>
      </c>
      <c r="K58" s="51" t="str">
        <f>IFERROR(__xludf.DUMMYFUNCTION("""COMPUTED_VALUE"""),"Gestión del área")</f>
        <v>Gestión del área</v>
      </c>
      <c r="L58" s="51" t="str">
        <f>IFERROR(__xludf.DUMMYFUNCTION("""COMPUTED_VALUE"""),"Eficacia")</f>
        <v>Eficacia</v>
      </c>
      <c r="M58" s="51" t="str">
        <f>IFERROR(__xludf.DUMMYFUNCTION("""COMPUTED_VALUE"""),"Porcentaje")</f>
        <v>Porcentaje</v>
      </c>
      <c r="N58" s="52" t="str">
        <f>IFERROR(__xludf.DUMMYFUNCTION("""COMPUTED_VALUE"""),"Porcentaje del Sistema Unico de Gestión e Información de Actividad Litigiosa del Estado - eKOGUI actualizado con las piezas procesales.")</f>
        <v>Porcentaje del Sistema Unico de Gestión e Información de Actividad Litigiosa del Estado - eKOGUI actualizado con las piezas procesales.</v>
      </c>
      <c r="O58" s="53"/>
      <c r="P58" s="78">
        <f>IFERROR(__xludf.DUMMYFUNCTION("""COMPUTED_VALUE"""),1.0)</f>
        <v>1</v>
      </c>
      <c r="Q58" s="79" t="str">
        <f>IFERROR(__xludf.DUMMYFUNCTION("""COMPUTED_VALUE"""),"Seguimiento y actualizacion de las piezas procesales, provisiones y riesgos de cada uno de los procesos en la plataforma Sistema Unico de Gestión e Información de Actividad Litigiosa del Estado - eKOGUI. Asi mismo, participacion y toma de decisiones en el"&amp;" Comite de Conciliacion de la entidad.")</f>
        <v>Seguimiento y actualizacion de las piezas procesales, provisiones y riesgos de cada uno de los procesos en la plataforma Sistema Unico de Gestión e Información de Actividad Litigiosa del Estado - eKOGUI. Asi mismo, participacion y toma de decisiones en el Comite de Conciliacion de la entidad.</v>
      </c>
      <c r="R58" s="79" t="str">
        <f>IFERROR(__xludf.DUMMYFUNCTION("""COMPUTED_VALUE"""),"Trimestral")</f>
        <v>Trimestral</v>
      </c>
      <c r="S58" s="78">
        <f>IFERROR(__xludf.DUMMYFUNCTION("""COMPUTED_VALUE"""),1.0)</f>
        <v>1</v>
      </c>
      <c r="T58" s="78">
        <f>IFERROR(__xludf.DUMMYFUNCTION("""COMPUTED_VALUE"""),1.0)</f>
        <v>1</v>
      </c>
      <c r="U58" s="78">
        <f>IFERROR(__xludf.DUMMYFUNCTION("""COMPUTED_VALUE"""),1.0)</f>
        <v>1</v>
      </c>
      <c r="V58" s="78">
        <f>IFERROR(__xludf.DUMMYFUNCTION("""COMPUTED_VALUE"""),1.0)</f>
        <v>1</v>
      </c>
      <c r="W58" s="56" t="str">
        <f>IFERROR(__xludf.DUMMYFUNCTION("""COMPUTED_VALUE"""),"Oficina Asesoria Juridica")</f>
        <v>Oficina Asesoria Juridica</v>
      </c>
      <c r="X58" s="57" t="str">
        <f>IFERROR(__xludf.DUMMYFUNCTION("""COMPUTED_VALUE"""),"Miguel Angel Ardila")</f>
        <v>Miguel Angel Ardila</v>
      </c>
      <c r="Y58" s="47" t="str">
        <f>IFERROR(__xludf.DUMMYFUNCTION("""COMPUTED_VALUE"""),"Jefe Oficina Asesora Juridica")</f>
        <v>Jefe Oficina Asesora Juridica</v>
      </c>
      <c r="Z58" s="57" t="str">
        <f>IFERROR(__xludf.DUMMYFUNCTION("""COMPUTED_VALUE"""),"miguel.ardila@aunap.gov.co")</f>
        <v>miguel.ardila@aunap.gov.co</v>
      </c>
      <c r="AA58" s="47" t="str">
        <f>IFERROR(__xludf.DUMMYFUNCTION("""COMPUTED_VALUE"""),"Humanos, Físicos, Financieros, Tecnológicos")</f>
        <v>Humanos, Físicos, Financieros, Tecnológicos</v>
      </c>
      <c r="AB58" s="47" t="str">
        <f>IFERROR(__xludf.DUMMYFUNCTION("""COMPUTED_VALUE"""),"No asociado")</f>
        <v>No asociado</v>
      </c>
      <c r="AC58" s="47" t="str">
        <f>IFERROR(__xludf.DUMMYFUNCTION("""COMPUTED_VALUE"""),"Propiciar la formalización de la pesca y la acuicultura")</f>
        <v>Propiciar la formalización de la pesca y la acuicultura</v>
      </c>
      <c r="AD58" s="47" t="str">
        <f>IFERROR(__xludf.DUMMYFUNCTION("""COMPUTED_VALUE"""),"Gestión con valores para resultados")</f>
        <v>Gestión con valores para resultados</v>
      </c>
      <c r="AE58" s="47" t="str">
        <f>IFERROR(__xludf.DUMMYFUNCTION("""COMPUTED_VALUE"""),"Defensa Jurídica")</f>
        <v>Defensa Jurídica</v>
      </c>
      <c r="AF58" s="47" t="str">
        <f>IFERROR(__xludf.DUMMYFUNCTION("""COMPUTED_VALUE"""),"16. Paz, justicia e instituciones sólidas")</f>
        <v>16. Paz, justicia e instituciones sólidas</v>
      </c>
      <c r="AG58" s="80">
        <f>IFERROR(__xludf.DUMMYFUNCTION("""COMPUTED_VALUE"""),1.0)</f>
        <v>1</v>
      </c>
      <c r="AH58" s="59" t="str">
        <f>IFERROR(__xludf.DUMMYFUNCTION("""COMPUTED_VALUE"""),"La Oficina Asesora Jurídica, ha realizado la respectiva actualización de las fichas procesales, así como la provisión del  riesgo de cada uno de los procesos en la plataforma Sistema Unico de Gestión e Información de Actividad Litigiosa del Estado (eKOGUI"&amp;").")</f>
        <v>La Oficina Asesora Jurídica, ha realizado la respectiva actualización de las fichas procesales, así como la provisión del  riesgo de cada uno de los procesos en la plataforma Sistema Unico de Gestión e Información de Actividad Litigiosa del Estado (eKOGUI).</v>
      </c>
      <c r="AI58" s="77" t="str">
        <f>IFERROR(__xludf.DUMMYFUNCTION("""COMPUTED_VALUE"""),"https://drive.google.com/drive/folders/1g0_J6GkOcAihiro6pN1TCwb8yl9pwY9R")</f>
        <v>https://drive.google.com/drive/folders/1g0_J6GkOcAihiro6pN1TCwb8yl9pwY9R</v>
      </c>
      <c r="AJ58" s="59">
        <f>IFERROR(__xludf.DUMMYFUNCTION("""COMPUTED_VALUE"""),1.0)</f>
        <v>1</v>
      </c>
      <c r="AK58" s="59" t="str">
        <f>IFERROR(__xludf.DUMMYFUNCTION("""COMPUTED_VALUE"""),"Se ha actualizado las fichas procesales de la plataforma eKOGUI, así como su provisión contable.")</f>
        <v>Se ha actualizado las fichas procesales de la plataforma eKOGUI, así como su provisión contable.</v>
      </c>
      <c r="AL58" s="59">
        <f>IFERROR(__xludf.DUMMYFUNCTION("""COMPUTED_VALUE"""),44582.0)</f>
        <v>44582</v>
      </c>
      <c r="AM58" s="60"/>
      <c r="AN58" s="61" t="str">
        <f>IFERROR(IF((AO58+1)&lt;2,Alertas!$B$2&amp;TEXT(AO58,"0%")&amp;Alertas!$D$2, IF((AO58+1)=2,Alertas!$B$3,IF((AO58+1)&gt;2,Alertas!$B$4&amp;TEXT(AO58,"0%")&amp;Alertas!$D$4,AO58+1))),"Sin meta para el segundo trimestre")</f>
        <v>La ejecución de la meta registrada se encuentra acorde a la meta programada en la formulación del plan de acción para el segundo trimestre</v>
      </c>
      <c r="AO58" s="62">
        <f t="shared" si="2"/>
        <v>1</v>
      </c>
      <c r="AP58" s="61" t="str">
        <f t="shared" si="3"/>
        <v>La ejecución de la meta registrada se encuentra acorde a la meta programada en la formulación del plan de acción para el segundo trimestre.</v>
      </c>
      <c r="AQ58" s="63"/>
      <c r="AR58" s="64"/>
      <c r="AS58" s="65"/>
      <c r="AT58" s="65"/>
      <c r="AU58" s="66"/>
      <c r="AV58" s="67"/>
      <c r="AW58" s="68"/>
      <c r="AX58" s="63"/>
      <c r="AY58" s="64"/>
      <c r="AZ58" s="69"/>
      <c r="BA58" s="65"/>
      <c r="BB58" s="70"/>
      <c r="BC58" s="71"/>
      <c r="BD58" s="72"/>
      <c r="BE58" s="73"/>
      <c r="BF58" s="64"/>
      <c r="BG58" s="69"/>
      <c r="BH58" s="65"/>
      <c r="BI58" s="66"/>
      <c r="BJ58" s="71"/>
      <c r="BK58" s="72"/>
      <c r="BL58" s="74"/>
      <c r="BN58" s="5" t="str">
        <f t="shared" si="23"/>
        <v>0</v>
      </c>
      <c r="BP58" s="5"/>
    </row>
    <row r="59" ht="37.5" customHeight="1">
      <c r="A59" s="45"/>
      <c r="B59" s="46">
        <f>IFERROR(__xludf.DUMMYFUNCTION("""COMPUTED_VALUE"""),57.0)</f>
        <v>57</v>
      </c>
      <c r="C59" s="47" t="str">
        <f>IFERROR(__xludf.DUMMYFUNCTION("""COMPUTED_VALUE"""),"Gestión de la información y generación del conocimiento")</f>
        <v>Gestión de la información y generación del conocimiento</v>
      </c>
      <c r="D59" s="48" t="str">
        <f>IFERROR(__xludf.DUMMYFUNCTION("""COMPUTED_VALUE"""),"Oficina de Generación del Conocimiento y la Información")</f>
        <v>Oficina de Generación del Conocimiento y la Información</v>
      </c>
      <c r="E59"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59" s="49">
        <f>IFERROR(__xludf.DUMMYFUNCTION("""COMPUTED_VALUE"""),2.019011000277E12)</f>
        <v>2019011000277</v>
      </c>
      <c r="G59" s="50" t="str">
        <f>IFERROR(__xludf.DUMMYFUNCTION("""COMPUTED_VALUE"""),"Investigación")</f>
        <v>Investigación</v>
      </c>
      <c r="H59" s="48" t="str">
        <f>IFERROR(__xludf.DUMMYFUNCTION("""COMPUTED_VALUE"""),"Incrementar el conocimiento científico y técnico del estado de los recursos pesqueros y de la actividad pesquera")</f>
        <v>Incrementar el conocimiento científico y técnico del estado de los recursos pesqueros y de la actividad pesquera</v>
      </c>
      <c r="I59" s="48" t="str">
        <f>IFERROR(__xludf.DUMMYFUNCTION("""COMPUTED_VALUE"""),"Documentos de investigación")</f>
        <v>Documentos de investigación</v>
      </c>
      <c r="J59" s="48" t="str">
        <f>IFERROR(__xludf.DUMMYFUNCTION("""COMPUTED_VALUE"""),"Realizar cruceros de prospección, ubicación y potencialidad de recursos pesqueros marinos pelágicos y demersales en el pacífico y mar caribe")</f>
        <v>Realizar cruceros de prospección, ubicación y potencialidad de recursos pesqueros marinos pelágicos y demersales en el pacífico y mar caribe</v>
      </c>
      <c r="K59" s="51" t="str">
        <f>IFERROR(__xludf.DUMMYFUNCTION("""COMPUTED_VALUE"""),"Producto")</f>
        <v>Producto</v>
      </c>
      <c r="L59" s="51" t="str">
        <f>IFERROR(__xludf.DUMMYFUNCTION("""COMPUTED_VALUE"""),"Eficacia")</f>
        <v>Eficacia</v>
      </c>
      <c r="M59" s="51" t="str">
        <f>IFERROR(__xludf.DUMMYFUNCTION("""COMPUTED_VALUE"""),"Número")</f>
        <v>Número</v>
      </c>
      <c r="N59" s="52" t="str">
        <f>IFERROR(__xludf.DUMMYFUNCTION("""COMPUTED_VALUE"""),"Documentos de investigación elaborados")</f>
        <v>Documentos de investigación elaborados</v>
      </c>
      <c r="O59" s="53">
        <f>IFERROR(__xludf.DUMMYFUNCTION("""COMPUTED_VALUE"""),3.0)</f>
        <v>3</v>
      </c>
      <c r="P59" s="78">
        <f>IFERROR(__xludf.DUMMYFUNCTION("""COMPUTED_VALUE"""),3.0)</f>
        <v>3</v>
      </c>
      <c r="Q59" s="79" t="str">
        <f>IFERROR(__xludf.DUMMYFUNCTION("""COMPUTED_VALUE"""),"Construcción de documentos de investigacion con el fin de generar conocimiento sobre la evaluacion del recurso pesquero y de la actividad pesquera, realizadas desde la OGCI")</f>
        <v>Construcción de documentos de investigacion con el fin de generar conocimiento sobre la evaluacion del recurso pesquero y de la actividad pesquera, realizadas desde la OGCI</v>
      </c>
      <c r="R59" s="79" t="str">
        <f>IFERROR(__xludf.DUMMYFUNCTION("""COMPUTED_VALUE"""),"Anual")</f>
        <v>Anual</v>
      </c>
      <c r="S59" s="78">
        <f>IFERROR(__xludf.DUMMYFUNCTION("""COMPUTED_VALUE"""),0.0)</f>
        <v>0</v>
      </c>
      <c r="T59" s="78">
        <f>IFERROR(__xludf.DUMMYFUNCTION("""COMPUTED_VALUE"""),0.0)</f>
        <v>0</v>
      </c>
      <c r="U59" s="78">
        <f>IFERROR(__xludf.DUMMYFUNCTION("""COMPUTED_VALUE"""),0.0)</f>
        <v>0</v>
      </c>
      <c r="V59" s="78">
        <f>IFERROR(__xludf.DUMMYFUNCTION("""COMPUTED_VALUE"""),3.0)</f>
        <v>3</v>
      </c>
      <c r="W59" s="56" t="str">
        <f>IFERROR(__xludf.DUMMYFUNCTION("""COMPUTED_VALUE"""),"Oficina de Generación del Conocimiento y la Información")</f>
        <v>Oficina de Generación del Conocimiento y la Información</v>
      </c>
      <c r="X59" s="57" t="str">
        <f>IFERROR(__xludf.DUMMYFUNCTION("""COMPUTED_VALUE"""),"Maria Angarita Peñaranda")</f>
        <v>Maria Angarita Peñaranda</v>
      </c>
      <c r="Y59" s="47" t="str">
        <f>IFERROR(__xludf.DUMMYFUNCTION("""COMPUTED_VALUE"""),"Jefe Oficina")</f>
        <v>Jefe Oficina</v>
      </c>
      <c r="Z59" s="57" t="str">
        <f>IFERROR(__xludf.DUMMYFUNCTION("""COMPUTED_VALUE"""),"maria.angarita@aunap.gov.co")</f>
        <v>maria.angarita@aunap.gov.co</v>
      </c>
      <c r="AA59" s="47" t="str">
        <f>IFERROR(__xludf.DUMMYFUNCTION("""COMPUTED_VALUE"""),"Humanos, fisicos, financieros y tecnologicos")</f>
        <v>Humanos, fisicos, financieros y tecnologicos</v>
      </c>
      <c r="AB59" s="47" t="str">
        <f>IFERROR(__xludf.DUMMYFUNCTION("""COMPUTED_VALUE"""),"No asociado")</f>
        <v>No asociado</v>
      </c>
      <c r="AC59"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59" s="47" t="str">
        <f>IFERROR(__xludf.DUMMYFUNCTION("""COMPUTED_VALUE"""),"Gestión del conocimiento")</f>
        <v>Gestión del conocimiento</v>
      </c>
      <c r="AE59" s="47" t="str">
        <f>IFERROR(__xludf.DUMMYFUNCTION("""COMPUTED_VALUE"""),"Gestión del Conocimiento y la Innovación")</f>
        <v>Gestión del Conocimiento y la Innovación</v>
      </c>
      <c r="AF59" s="47" t="str">
        <f>IFERROR(__xludf.DUMMYFUNCTION("""COMPUTED_VALUE"""),"12. Producción y consumo responsable")</f>
        <v>12. Producción y consumo responsable</v>
      </c>
      <c r="AG59" s="80">
        <f>IFERROR(__xludf.DUMMYFUNCTION("""COMPUTED_VALUE"""),3.0)</f>
        <v>3</v>
      </c>
      <c r="AH59" s="59" t="str">
        <f>IFERROR(__xludf.DUMMYFUNCTION("""COMPUTED_VALUE"""),"Se adjuntan tres (3) documentos de investigacion con el fin de generar conocimiento sobre la evaluacion del recurso pesquero y de la actividad pesquera")</f>
        <v>Se adjuntan tres (3) documentos de investigacion con el fin de generar conocimiento sobre la evaluacion del recurso pesquero y de la actividad pesquera</v>
      </c>
      <c r="AI59" s="77" t="str">
        <f>IFERROR(__xludf.DUMMYFUNCTION("""COMPUTED_VALUE"""),"https://drive.google.com/drive/folders/1YnnHgo5Luy54h-sApi0gLnJ6yUtp4Lpm?usp=sharing")</f>
        <v>https://drive.google.com/drive/folders/1YnnHgo5Luy54h-sApi0gLnJ6yUtp4Lpm?usp=sharing</v>
      </c>
      <c r="AJ59" s="59">
        <f>IFERROR(__xludf.DUMMYFUNCTION("""COMPUTED_VALUE"""),3.0)</f>
        <v>3</v>
      </c>
      <c r="AK59" s="59" t="str">
        <f>IFERROR(__xludf.DUMMYFUNCTION("""COMPUTED_VALUE"""),"Se cumplio con la meta contemplada para esta accion")</f>
        <v>Se cumplio con la meta contemplada para esta accion</v>
      </c>
      <c r="AL59" s="59">
        <f>IFERROR(__xludf.DUMMYFUNCTION("""COMPUTED_VALUE"""),44582.0)</f>
        <v>44582</v>
      </c>
      <c r="AM59" s="60"/>
      <c r="AN59" s="61" t="str">
        <f>IFERROR(IF((AO59+1)&lt;2,Alertas!$B$2&amp;TEXT(AO59,"0%")&amp;Alertas!$D$2, IF((AO59+1)=2,Alertas!$B$3,IF((AO59+1)&gt;2,Alertas!$B$4&amp;TEXT(AO59,"0%")&amp;Alertas!$D$4,AO59+1))),"Sin meta para el segundo trimestre")</f>
        <v>La ejecución de la meta registrada se encuentra por encima de la meta programada en la formulación del plan de acción para el segundo trimestre, su porcentaje de cumplimiento es 400%,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59" s="62">
        <f t="shared" si="2"/>
        <v>4</v>
      </c>
      <c r="AP59" s="61" t="str">
        <f t="shared" si="3"/>
        <v>La ejecución de la meta registrada se encuentra por encima de la meta programada en la formulación del plan de acción para el segundo trimestre, su porcentaje de cumplimiento es 400%,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59" s="63"/>
      <c r="AR59" s="64"/>
      <c r="AS59" s="65"/>
      <c r="AT59" s="65"/>
      <c r="AU59" s="66"/>
      <c r="AV59" s="67"/>
      <c r="AW59" s="68"/>
      <c r="AX59" s="63"/>
      <c r="AY59" s="64"/>
      <c r="AZ59" s="69"/>
      <c r="BA59" s="65"/>
      <c r="BB59" s="70"/>
      <c r="BC59" s="71"/>
      <c r="BD59" s="72"/>
      <c r="BE59" s="73"/>
      <c r="BF59" s="64"/>
      <c r="BG59" s="69"/>
      <c r="BH59" s="65"/>
      <c r="BI59" s="66"/>
      <c r="BJ59" s="71"/>
      <c r="BK59" s="72"/>
      <c r="BL59" s="74"/>
      <c r="BN59" s="5" t="str">
        <f t="shared" si="23"/>
        <v>1</v>
      </c>
      <c r="BP59" s="5"/>
    </row>
    <row r="60" ht="37.5" customHeight="1">
      <c r="A60" s="45"/>
      <c r="B60" s="46">
        <f>IFERROR(__xludf.DUMMYFUNCTION("""COMPUTED_VALUE"""),58.0)</f>
        <v>58</v>
      </c>
      <c r="C60" s="47" t="str">
        <f>IFERROR(__xludf.DUMMYFUNCTION("""COMPUTED_VALUE"""),"Gestión de la información y generación del conocimiento")</f>
        <v>Gestión de la información y generación del conocimiento</v>
      </c>
      <c r="D60" s="48" t="str">
        <f>IFERROR(__xludf.DUMMYFUNCTION("""COMPUTED_VALUE"""),"Oficina de Generación del Conocimiento y la Información")</f>
        <v>Oficina de Generación del Conocimiento y la Información</v>
      </c>
      <c r="E60"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60" s="49">
        <f>IFERROR(__xludf.DUMMYFUNCTION("""COMPUTED_VALUE"""),2.019011000277E12)</f>
        <v>2019011000277</v>
      </c>
      <c r="G60" s="50" t="str">
        <f>IFERROR(__xludf.DUMMYFUNCTION("""COMPUTED_VALUE"""),"Investigación")</f>
        <v>Investigación</v>
      </c>
      <c r="H60" s="48" t="str">
        <f>IFERROR(__xludf.DUMMYFUNCTION("""COMPUTED_VALUE"""),"Incrementar el conocimiento científico y técnico del estado de los recursos pesqueros y de la actividad pesquera")</f>
        <v>Incrementar el conocimiento científico y técnico del estado de los recursos pesqueros y de la actividad pesquera</v>
      </c>
      <c r="I60" s="48" t="str">
        <f>IFERROR(__xludf.DUMMYFUNCTION("""COMPUTED_VALUE"""),"Documentos de investigación")</f>
        <v>Documentos de investigación</v>
      </c>
      <c r="J60" s="48" t="str">
        <f>IFERROR(__xludf.DUMMYFUNCTION("""COMPUTED_VALUE"""),"Evaluar el estado de aprovechamiento de los recursos pesqueros marinos, continentales y ornamentales en las cuencas hidrográficas del país")</f>
        <v>Evaluar el estado de aprovechamiento de los recursos pesqueros marinos, continentales y ornamentales en las cuencas hidrográficas del país</v>
      </c>
      <c r="K60" s="51" t="str">
        <f>IFERROR(__xludf.DUMMYFUNCTION("""COMPUTED_VALUE"""),"Producto")</f>
        <v>Producto</v>
      </c>
      <c r="L60" s="51" t="str">
        <f>IFERROR(__xludf.DUMMYFUNCTION("""COMPUTED_VALUE"""),"Eficacia")</f>
        <v>Eficacia</v>
      </c>
      <c r="M60" s="51" t="str">
        <f>IFERROR(__xludf.DUMMYFUNCTION("""COMPUTED_VALUE"""),"Número")</f>
        <v>Número</v>
      </c>
      <c r="N60" s="52" t="str">
        <f>IFERROR(__xludf.DUMMYFUNCTION("""COMPUTED_VALUE"""),"Documentos de investigación elaborados")</f>
        <v>Documentos de investigación elaborados</v>
      </c>
      <c r="O60" s="53">
        <f>IFERROR(__xludf.DUMMYFUNCTION("""COMPUTED_VALUE"""),3.0)</f>
        <v>3</v>
      </c>
      <c r="P60" s="78">
        <f>IFERROR(__xludf.DUMMYFUNCTION("""COMPUTED_VALUE"""),3.0)</f>
        <v>3</v>
      </c>
      <c r="Q60" s="79" t="str">
        <f>IFERROR(__xludf.DUMMYFUNCTION("""COMPUTED_VALUE"""),"Construcción de documentos de investigacion con el fin de generar conocimiento sobre la evaluacion del recurso pesquero y de la actividad pesquera, realizadas desde la OGCI")</f>
        <v>Construcción de documentos de investigacion con el fin de generar conocimiento sobre la evaluacion del recurso pesquero y de la actividad pesquera, realizadas desde la OGCI</v>
      </c>
      <c r="R60" s="79" t="str">
        <f>IFERROR(__xludf.DUMMYFUNCTION("""COMPUTED_VALUE"""),"Anual")</f>
        <v>Anual</v>
      </c>
      <c r="S60" s="78">
        <f>IFERROR(__xludf.DUMMYFUNCTION("""COMPUTED_VALUE"""),0.0)</f>
        <v>0</v>
      </c>
      <c r="T60" s="78">
        <f>IFERROR(__xludf.DUMMYFUNCTION("""COMPUTED_VALUE"""),0.0)</f>
        <v>0</v>
      </c>
      <c r="U60" s="78">
        <f>IFERROR(__xludf.DUMMYFUNCTION("""COMPUTED_VALUE"""),0.0)</f>
        <v>0</v>
      </c>
      <c r="V60" s="78">
        <f>IFERROR(__xludf.DUMMYFUNCTION("""COMPUTED_VALUE"""),3.0)</f>
        <v>3</v>
      </c>
      <c r="W60" s="56" t="str">
        <f>IFERROR(__xludf.DUMMYFUNCTION("""COMPUTED_VALUE"""),"Oficina de Generación del Conocimiento y la Información")</f>
        <v>Oficina de Generación del Conocimiento y la Información</v>
      </c>
      <c r="X60" s="57" t="str">
        <f>IFERROR(__xludf.DUMMYFUNCTION("""COMPUTED_VALUE"""),"Maria Angarita Peñaranda")</f>
        <v>Maria Angarita Peñaranda</v>
      </c>
      <c r="Y60" s="47" t="str">
        <f>IFERROR(__xludf.DUMMYFUNCTION("""COMPUTED_VALUE"""),"Jefe Oficina")</f>
        <v>Jefe Oficina</v>
      </c>
      <c r="Z60" s="57" t="str">
        <f>IFERROR(__xludf.DUMMYFUNCTION("""COMPUTED_VALUE"""),"maria.angarita@aunap.gov.co")</f>
        <v>maria.angarita@aunap.gov.co</v>
      </c>
      <c r="AA60" s="47" t="str">
        <f>IFERROR(__xludf.DUMMYFUNCTION("""COMPUTED_VALUE"""),"Humanos, fisicos, financieros y tecnologicos")</f>
        <v>Humanos, fisicos, financieros y tecnologicos</v>
      </c>
      <c r="AB60" s="47" t="str">
        <f>IFERROR(__xludf.DUMMYFUNCTION("""COMPUTED_VALUE"""),"No asociado")</f>
        <v>No asociado</v>
      </c>
      <c r="AC60"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60" s="47" t="str">
        <f>IFERROR(__xludf.DUMMYFUNCTION("""COMPUTED_VALUE"""),"Gestión del conocimiento")</f>
        <v>Gestión del conocimiento</v>
      </c>
      <c r="AE60" s="47" t="str">
        <f>IFERROR(__xludf.DUMMYFUNCTION("""COMPUTED_VALUE"""),"Gestión del Conocimiento y la Innovación")</f>
        <v>Gestión del Conocimiento y la Innovación</v>
      </c>
      <c r="AF60" s="47" t="str">
        <f>IFERROR(__xludf.DUMMYFUNCTION("""COMPUTED_VALUE"""),"12. Producción y consumo responsable")</f>
        <v>12. Producción y consumo responsable</v>
      </c>
      <c r="AG60" s="80">
        <f>IFERROR(__xludf.DUMMYFUNCTION("""COMPUTED_VALUE"""),3.0)</f>
        <v>3</v>
      </c>
      <c r="AH60" s="59" t="str">
        <f>IFERROR(__xludf.DUMMYFUNCTION("""COMPUTED_VALUE"""),"Se adjuntan tres (3) documentos de investigacion con el fin de generar conocimiento sobre la evaluacion del recurso pesquero y de la actividad pesquera")</f>
        <v>Se adjuntan tres (3) documentos de investigacion con el fin de generar conocimiento sobre la evaluacion del recurso pesquero y de la actividad pesquera</v>
      </c>
      <c r="AI60" s="77" t="str">
        <f>IFERROR(__xludf.DUMMYFUNCTION("""COMPUTED_VALUE"""),"https://drive.google.com/drive/folders/1j6VZ5R5DALYisVMB7gJE-Sf6Cxij0xPM?usp=sharing")</f>
        <v>https://drive.google.com/drive/folders/1j6VZ5R5DALYisVMB7gJE-Sf6Cxij0xPM?usp=sharing</v>
      </c>
      <c r="AJ60" s="59">
        <f>IFERROR(__xludf.DUMMYFUNCTION("""COMPUTED_VALUE"""),3.0)</f>
        <v>3</v>
      </c>
      <c r="AK60" s="59" t="str">
        <f>IFERROR(__xludf.DUMMYFUNCTION("""COMPUTED_VALUE"""),"Se cumplio con la meta contemplada para esta accion")</f>
        <v>Se cumplio con la meta contemplada para esta accion</v>
      </c>
      <c r="AL60" s="59">
        <f>IFERROR(__xludf.DUMMYFUNCTION("""COMPUTED_VALUE"""),44582.0)</f>
        <v>44582</v>
      </c>
      <c r="AM60" s="60"/>
      <c r="AN60" s="61" t="str">
        <f>IFERROR(IF((AO60+1)&lt;2,Alertas!$B$2&amp;TEXT(AO60,"0%")&amp;Alertas!$D$2, IF((AO60+1)=2,Alertas!$B$3,IF((AO60+1)&gt;2,Alertas!$B$4&amp;TEXT(AO60,"0%")&amp;Alertas!$D$4,AO60+1))),"Sin meta para el segundo trimestre")</f>
        <v>La ejecución de la meta registrada se encuentra por encima de la meta programada en la formulación del plan de acción para el segundo trimestre, su porcentaje de cumplimiento es 400%,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60" s="62">
        <f t="shared" si="2"/>
        <v>4</v>
      </c>
      <c r="AP60" s="61" t="str">
        <f t="shared" si="3"/>
        <v>La ejecución de la meta registrada se encuentra por encima de la meta programada en la formulación del plan de acción para el segundo trimestre, su porcentaje de cumplimiento es 400%,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60" s="63"/>
      <c r="AR60" s="64"/>
      <c r="AS60" s="65"/>
      <c r="AT60" s="65"/>
      <c r="AU60" s="66"/>
      <c r="AV60" s="67"/>
      <c r="AW60" s="68"/>
      <c r="AX60" s="63"/>
      <c r="AY60" s="64"/>
      <c r="AZ60" s="69"/>
      <c r="BA60" s="65"/>
      <c r="BB60" s="70"/>
      <c r="BC60" s="71"/>
      <c r="BD60" s="72"/>
      <c r="BE60" s="73"/>
      <c r="BF60" s="64"/>
      <c r="BG60" s="69"/>
      <c r="BH60" s="65"/>
      <c r="BI60" s="66"/>
      <c r="BJ60" s="71"/>
      <c r="BK60" s="72"/>
      <c r="BL60" s="74"/>
      <c r="BN60" s="5" t="str">
        <f t="shared" si="23"/>
        <v>1</v>
      </c>
      <c r="BP60" s="5"/>
    </row>
    <row r="61" ht="37.5" customHeight="1">
      <c r="A61" s="45"/>
      <c r="B61" s="46">
        <f>IFERROR(__xludf.DUMMYFUNCTION("""COMPUTED_VALUE"""),59.0)</f>
        <v>59</v>
      </c>
      <c r="C61" s="47" t="str">
        <f>IFERROR(__xludf.DUMMYFUNCTION("""COMPUTED_VALUE"""),"Gestión de la información y generación del conocimiento")</f>
        <v>Gestión de la información y generación del conocimiento</v>
      </c>
      <c r="D61" s="48" t="str">
        <f>IFERROR(__xludf.DUMMYFUNCTION("""COMPUTED_VALUE"""),"Oficina de Generación del Conocimiento y la Información")</f>
        <v>Oficina de Generación del Conocimiento y la Información</v>
      </c>
      <c r="E61"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61" s="49">
        <f>IFERROR(__xludf.DUMMYFUNCTION("""COMPUTED_VALUE"""),2.019011000277E12)</f>
        <v>2019011000277</v>
      </c>
      <c r="G61" s="50" t="str">
        <f>IFERROR(__xludf.DUMMYFUNCTION("""COMPUTED_VALUE"""),"Investigación")</f>
        <v>Investigación</v>
      </c>
      <c r="H61" s="48" t="str">
        <f>IFERROR(__xludf.DUMMYFUNCTION("""COMPUTED_VALUE"""),"Incrementar el conocimiento científico y técnico del estado de los recursos pesqueros y de la actividad pesquera")</f>
        <v>Incrementar el conocimiento científico y técnico del estado de los recursos pesqueros y de la actividad pesquera</v>
      </c>
      <c r="I61" s="48" t="str">
        <f>IFERROR(__xludf.DUMMYFUNCTION("""COMPUTED_VALUE"""),"Documentos de investigación")</f>
        <v>Documentos de investigación</v>
      </c>
      <c r="J61" s="48" t="str">
        <f>IFERROR(__xludf.DUMMYFUNCTION("""COMPUTED_VALUE"""),"Evaluar el estado de aprovechamiento de los recursos pesqueros marinos, continentales y ornamentales en las cuencas hidrográficas del país")</f>
        <v>Evaluar el estado de aprovechamiento de los recursos pesqueros marinos, continentales y ornamentales en las cuencas hidrográficas del país</v>
      </c>
      <c r="K61" s="51" t="str">
        <f>IFERROR(__xludf.DUMMYFUNCTION("""COMPUTED_VALUE"""),"Gestión del área")</f>
        <v>Gestión del área</v>
      </c>
      <c r="L61" s="51" t="str">
        <f>IFERROR(__xludf.DUMMYFUNCTION("""COMPUTED_VALUE"""),"Eficacia")</f>
        <v>Eficacia</v>
      </c>
      <c r="M61" s="51" t="str">
        <f>IFERROR(__xludf.DUMMYFUNCTION("""COMPUTED_VALUE"""),"Porcentaje")</f>
        <v>Porcentaje</v>
      </c>
      <c r="N61" s="52" t="str">
        <f>IFERROR(__xludf.DUMMYFUNCTION("""COMPUTED_VALUE"""),"Conceptos técnicos atendidos/Conceptos tecnicos solicitados")</f>
        <v>Conceptos técnicos atendidos/Conceptos tecnicos solicitados</v>
      </c>
      <c r="O61" s="53">
        <f>IFERROR(__xludf.DUMMYFUNCTION("""COMPUTED_VALUE"""),1.0)</f>
        <v>1</v>
      </c>
      <c r="P61" s="78">
        <f>IFERROR(__xludf.DUMMYFUNCTION("""COMPUTED_VALUE"""),1.0)</f>
        <v>1</v>
      </c>
      <c r="Q61" s="79" t="str">
        <f>IFERROR(__xludf.DUMMYFUNCTION("""COMPUTED_VALUE"""),"Emitir conceptos técnicos relacionados con la pesca, atendidos de acuerdo con las solicitudes recibidas.")</f>
        <v>Emitir conceptos técnicos relacionados con la pesca, atendidos de acuerdo con las solicitudes recibidas.</v>
      </c>
      <c r="R61" s="79" t="str">
        <f>IFERROR(__xludf.DUMMYFUNCTION("""COMPUTED_VALUE"""),"Trimestral")</f>
        <v>Trimestral</v>
      </c>
      <c r="S61" s="78">
        <f>IFERROR(__xludf.DUMMYFUNCTION("""COMPUTED_VALUE"""),1.0)</f>
        <v>1</v>
      </c>
      <c r="T61" s="78">
        <f>IFERROR(__xludf.DUMMYFUNCTION("""COMPUTED_VALUE"""),1.0)</f>
        <v>1</v>
      </c>
      <c r="U61" s="78">
        <f>IFERROR(__xludf.DUMMYFUNCTION("""COMPUTED_VALUE"""),1.0)</f>
        <v>1</v>
      </c>
      <c r="V61" s="78">
        <f>IFERROR(__xludf.DUMMYFUNCTION("""COMPUTED_VALUE"""),1.0)</f>
        <v>1</v>
      </c>
      <c r="W61" s="56" t="str">
        <f>IFERROR(__xludf.DUMMYFUNCTION("""COMPUTED_VALUE"""),"Oficina de Generación del Conocimiento y la Información")</f>
        <v>Oficina de Generación del Conocimiento y la Información</v>
      </c>
      <c r="X61" s="57" t="str">
        <f>IFERROR(__xludf.DUMMYFUNCTION("""COMPUTED_VALUE"""),"Maria Angarita Peñaranda")</f>
        <v>Maria Angarita Peñaranda</v>
      </c>
      <c r="Y61" s="47" t="str">
        <f>IFERROR(__xludf.DUMMYFUNCTION("""COMPUTED_VALUE"""),"Jefe Oficina")</f>
        <v>Jefe Oficina</v>
      </c>
      <c r="Z61" s="57" t="str">
        <f>IFERROR(__xludf.DUMMYFUNCTION("""COMPUTED_VALUE"""),"maria.angarita@aunap.gov.co")</f>
        <v>maria.angarita@aunap.gov.co</v>
      </c>
      <c r="AA61" s="47" t="str">
        <f>IFERROR(__xludf.DUMMYFUNCTION("""COMPUTED_VALUE"""),"Humanos, fisicos, financieros y tecnologicos")</f>
        <v>Humanos, fisicos, financieros y tecnologicos</v>
      </c>
      <c r="AB61" s="47" t="str">
        <f>IFERROR(__xludf.DUMMYFUNCTION("""COMPUTED_VALUE"""),"No asociado")</f>
        <v>No asociado</v>
      </c>
      <c r="AC61"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61" s="47" t="str">
        <f>IFERROR(__xludf.DUMMYFUNCTION("""COMPUTED_VALUE"""),"Gestión del conocimiento")</f>
        <v>Gestión del conocimiento</v>
      </c>
      <c r="AE61" s="47" t="str">
        <f>IFERROR(__xludf.DUMMYFUNCTION("""COMPUTED_VALUE"""),"Gestión del Conocimiento y la Innovación")</f>
        <v>Gestión del Conocimiento y la Innovación</v>
      </c>
      <c r="AF61" s="47" t="str">
        <f>IFERROR(__xludf.DUMMYFUNCTION("""COMPUTED_VALUE"""),"12. Producción y consumo responsable")</f>
        <v>12. Producción y consumo responsable</v>
      </c>
      <c r="AG61" s="80">
        <f>IFERROR(__xludf.DUMMYFUNCTION("""COMPUTED_VALUE"""),1.0)</f>
        <v>1</v>
      </c>
      <c r="AH61" s="59" t="str">
        <f>IFERROR(__xludf.DUMMYFUNCTION("""COMPUTED_VALUE"""),"Para este trimestre se solicitaron 7 conceptos tecnicos y se atendieron todos estos 7 conceptos
")</f>
        <v>Para este trimestre se solicitaron 7 conceptos tecnicos y se atendieron todos estos 7 conceptos
</v>
      </c>
      <c r="AI61" s="81" t="str">
        <f>IFERROR(__xludf.DUMMYFUNCTION("""COMPUTED_VALUE"""),"https://drive.google.com/drive/folders/1xHnsvHtPuuLwGhsvLQWVaKDCk9kk8w9V?usp=sharing")</f>
        <v>https://drive.google.com/drive/folders/1xHnsvHtPuuLwGhsvLQWVaKDCk9kk8w9V?usp=sharing</v>
      </c>
      <c r="AJ61" s="59">
        <f>IFERROR(__xludf.DUMMYFUNCTION("""COMPUTED_VALUE"""),1.0)</f>
        <v>1</v>
      </c>
      <c r="AK61" s="59" t="str">
        <f>IFERROR(__xludf.DUMMYFUNCTION("""COMPUTED_VALUE"""),"En todo el año se atendio el 100% de los conceptos solicitados")</f>
        <v>En todo el año se atendio el 100% de los conceptos solicitados</v>
      </c>
      <c r="AL61" s="59">
        <f>IFERROR(__xludf.DUMMYFUNCTION("""COMPUTED_VALUE"""),44582.0)</f>
        <v>44582</v>
      </c>
      <c r="AM61" s="60"/>
      <c r="AN61" s="61" t="str">
        <f>IFERROR(IF((AO61+1)&lt;2,Alertas!$B$2&amp;TEXT(AO61,"0%")&amp;Alertas!$D$2, IF((AO61+1)=2,Alertas!$B$3,IF((AO61+1)&gt;2,Alertas!$B$4&amp;TEXT(AO61,"0%")&amp;Alertas!$D$4,AO61+1))),"Sin meta para el segundo trimestre")</f>
        <v>La ejecución de la meta registrada se encuentra acorde a la meta programada en la formulación del plan de acción para el segundo trimestre</v>
      </c>
      <c r="AO61" s="62">
        <f t="shared" si="2"/>
        <v>1</v>
      </c>
      <c r="AP61" s="61" t="str">
        <f t="shared" si="3"/>
        <v>La ejecución de la meta registrada se encuentra acorde a la meta programada en la formulación del plan de acción para el segundo trimestre.</v>
      </c>
      <c r="AQ61" s="63"/>
      <c r="AR61" s="64"/>
      <c r="AS61" s="65"/>
      <c r="AT61" s="65"/>
      <c r="AU61" s="66"/>
      <c r="AV61" s="67"/>
      <c r="AW61" s="68"/>
      <c r="AX61" s="63"/>
      <c r="AY61" s="64"/>
      <c r="AZ61" s="69"/>
      <c r="BA61" s="65"/>
      <c r="BB61" s="70"/>
      <c r="BC61" s="71"/>
      <c r="BD61" s="72"/>
      <c r="BE61" s="73"/>
      <c r="BF61" s="64"/>
      <c r="BG61" s="69"/>
      <c r="BH61" s="65"/>
      <c r="BI61" s="66"/>
      <c r="BJ61" s="71"/>
      <c r="BK61" s="72"/>
      <c r="BL61" s="74"/>
      <c r="BN61" s="5" t="str">
        <f t="shared" si="23"/>
        <v>0</v>
      </c>
      <c r="BP61" s="5"/>
    </row>
    <row r="62" ht="37.5" customHeight="1">
      <c r="A62" s="45"/>
      <c r="B62" s="46">
        <f>IFERROR(__xludf.DUMMYFUNCTION("""COMPUTED_VALUE"""),60.0)</f>
        <v>60</v>
      </c>
      <c r="C62" s="47" t="str">
        <f>IFERROR(__xludf.DUMMYFUNCTION("""COMPUTED_VALUE"""),"Gestión de la información y generación del conocimiento")</f>
        <v>Gestión de la información y generación del conocimiento</v>
      </c>
      <c r="D62" s="48" t="str">
        <f>IFERROR(__xludf.DUMMYFUNCTION("""COMPUTED_VALUE"""),"Oficina de Generación del Conocimiento y la Información")</f>
        <v>Oficina de Generación del Conocimiento y la Información</v>
      </c>
      <c r="E62"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62" s="49">
        <f>IFERROR(__xludf.DUMMYFUNCTION("""COMPUTED_VALUE"""),2.019011000277E12)</f>
        <v>2019011000277</v>
      </c>
      <c r="G62" s="50" t="str">
        <f>IFERROR(__xludf.DUMMYFUNCTION("""COMPUTED_VALUE"""),"Investigación")</f>
        <v>Investigación</v>
      </c>
      <c r="H62" s="48" t="str">
        <f>IFERROR(__xludf.DUMMYFUNCTION("""COMPUTED_VALUE"""),"Aumentar el desarrollo de la acuicultura asociado a la optimización de los procesos productivos.")</f>
        <v>Aumentar el desarrollo de la acuicultura asociado a la optimización de los procesos productivos.</v>
      </c>
      <c r="I62" s="48" t="str">
        <f>IFERROR(__xludf.DUMMYFUNCTION("""COMPUTED_VALUE"""),"Documentos de lineamientos técnicos")</f>
        <v>Documentos de lineamientos técnicos</v>
      </c>
      <c r="J62" s="48" t="str">
        <f>IFERROR(__xludf.DUMMYFUNCTION("""COMPUTED_VALUE"""),"Determinar las condiciones de bioecología, aclimatación, nutrición y alimentación, reproducción, larvicultura, alevinaje, engorde, patología, etc. en especies nativas y domesticadas de consumo y ornamentales, marinas y continentales")</f>
        <v>Determinar las condiciones de bioecología, aclimatación, nutrición y alimentación, reproducción, larvicultura, alevinaje, engorde, patología, etc. en especies nativas y domesticadas de consumo y ornamentales, marinas y continentales</v>
      </c>
      <c r="K62" s="51" t="str">
        <f>IFERROR(__xludf.DUMMYFUNCTION("""COMPUTED_VALUE"""),"Producto")</f>
        <v>Producto</v>
      </c>
      <c r="L62" s="51" t="str">
        <f>IFERROR(__xludf.DUMMYFUNCTION("""COMPUTED_VALUE"""),"Eficacia")</f>
        <v>Eficacia</v>
      </c>
      <c r="M62" s="51" t="str">
        <f>IFERROR(__xludf.DUMMYFUNCTION("""COMPUTED_VALUE"""),"Número")</f>
        <v>Número</v>
      </c>
      <c r="N62" s="52" t="str">
        <f>IFERROR(__xludf.DUMMYFUNCTION("""COMPUTED_VALUE"""),"Documentos de lineamientos técnicos elaborados")</f>
        <v>Documentos de lineamientos técnicos elaborados</v>
      </c>
      <c r="O62" s="53">
        <f>IFERROR(__xludf.DUMMYFUNCTION("""COMPUTED_VALUE"""),4.0)</f>
        <v>4</v>
      </c>
      <c r="P62" s="78">
        <f>IFERROR(__xludf.DUMMYFUNCTION("""COMPUTED_VALUE"""),4.0)</f>
        <v>4</v>
      </c>
      <c r="Q62" s="79" t="str">
        <f>IFERROR(__xludf.DUMMYFUNCTION("""COMPUTED_VALUE"""),"Construcción de documentos de lineamientos técnicos generados de las investigaciones en acuicultura realizadas desde la OGCCI")</f>
        <v>Construcción de documentos de lineamientos técnicos generados de las investigaciones en acuicultura realizadas desde la OGCCI</v>
      </c>
      <c r="R62" s="79" t="str">
        <f>IFERROR(__xludf.DUMMYFUNCTION("""COMPUTED_VALUE"""),"Anual")</f>
        <v>Anual</v>
      </c>
      <c r="S62" s="78">
        <f>IFERROR(__xludf.DUMMYFUNCTION("""COMPUTED_VALUE"""),0.0)</f>
        <v>0</v>
      </c>
      <c r="T62" s="78">
        <f>IFERROR(__xludf.DUMMYFUNCTION("""COMPUTED_VALUE"""),0.0)</f>
        <v>0</v>
      </c>
      <c r="U62" s="78">
        <f>IFERROR(__xludf.DUMMYFUNCTION("""COMPUTED_VALUE"""),0.0)</f>
        <v>0</v>
      </c>
      <c r="V62" s="78">
        <f>IFERROR(__xludf.DUMMYFUNCTION("""COMPUTED_VALUE"""),4.0)</f>
        <v>4</v>
      </c>
      <c r="W62" s="56" t="str">
        <f>IFERROR(__xludf.DUMMYFUNCTION("""COMPUTED_VALUE"""),"Oficina de Generación del Conocimiento y la Información")</f>
        <v>Oficina de Generación del Conocimiento y la Información</v>
      </c>
      <c r="X62" s="57" t="str">
        <f>IFERROR(__xludf.DUMMYFUNCTION("""COMPUTED_VALUE"""),"Maria Angarita Peñaranda")</f>
        <v>Maria Angarita Peñaranda</v>
      </c>
      <c r="Y62" s="47" t="str">
        <f>IFERROR(__xludf.DUMMYFUNCTION("""COMPUTED_VALUE"""),"Jefe Oficina")</f>
        <v>Jefe Oficina</v>
      </c>
      <c r="Z62" s="57" t="str">
        <f>IFERROR(__xludf.DUMMYFUNCTION("""COMPUTED_VALUE"""),"maria.angarita@aunap.gov.co")</f>
        <v>maria.angarita@aunap.gov.co</v>
      </c>
      <c r="AA62" s="47" t="str">
        <f>IFERROR(__xludf.DUMMYFUNCTION("""COMPUTED_VALUE"""),"Humanos, fisicos, financieros y tecnologicos")</f>
        <v>Humanos, fisicos, financieros y tecnologicos</v>
      </c>
      <c r="AB62" s="47" t="str">
        <f>IFERROR(__xludf.DUMMYFUNCTION("""COMPUTED_VALUE"""),"No asociado")</f>
        <v>No asociado</v>
      </c>
      <c r="AC62"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62" s="47" t="str">
        <f>IFERROR(__xludf.DUMMYFUNCTION("""COMPUTED_VALUE"""),"Gestión del conocimiento")</f>
        <v>Gestión del conocimiento</v>
      </c>
      <c r="AE62" s="47" t="str">
        <f>IFERROR(__xludf.DUMMYFUNCTION("""COMPUTED_VALUE"""),"Gestión del Conocimiento y la Innovación")</f>
        <v>Gestión del Conocimiento y la Innovación</v>
      </c>
      <c r="AF62" s="47" t="str">
        <f>IFERROR(__xludf.DUMMYFUNCTION("""COMPUTED_VALUE"""),"12. Producción y consumo responsable")</f>
        <v>12. Producción y consumo responsable</v>
      </c>
      <c r="AG62" s="80">
        <f>IFERROR(__xludf.DUMMYFUNCTION("""COMPUTED_VALUE"""),4.0)</f>
        <v>4</v>
      </c>
      <c r="AH62" s="59" t="str">
        <f>IFERROR(__xludf.DUMMYFUNCTION("""COMPUTED_VALUE"""),"Se adjuntan cuatro (4) documentos de lineamientos técnicos construidos, generados de las investigaciones en acuicultura realizadas desde la OGCCI meta propuesta para este trimestre para esta actividad, ")</f>
        <v>Se adjuntan cuatro (4) documentos de lineamientos técnicos construidos, generados de las investigaciones en acuicultura realizadas desde la OGCCI meta propuesta para este trimestre para esta actividad, </v>
      </c>
      <c r="AI62" s="81" t="str">
        <f>IFERROR(__xludf.DUMMYFUNCTION("""COMPUTED_VALUE"""),"https://drive.google.com/drive/folders/1Oyd481cD5uVNDyRAzGiiBZSogR2yflRk?usp=sharing")</f>
        <v>https://drive.google.com/drive/folders/1Oyd481cD5uVNDyRAzGiiBZSogR2yflRk?usp=sharing</v>
      </c>
      <c r="AJ62" s="59">
        <f>IFERROR(__xludf.DUMMYFUNCTION("""COMPUTED_VALUE"""),4.0)</f>
        <v>4</v>
      </c>
      <c r="AK62" s="59" t="str">
        <f>IFERROR(__xludf.DUMMYFUNCTION("""COMPUTED_VALUE"""),"Se cumplio con la meta contemplada para esta accion")</f>
        <v>Se cumplio con la meta contemplada para esta accion</v>
      </c>
      <c r="AL62" s="59">
        <f>IFERROR(__xludf.DUMMYFUNCTION("""COMPUTED_VALUE"""),44582.0)</f>
        <v>44582</v>
      </c>
      <c r="AM62" s="60"/>
      <c r="AN62" s="61" t="str">
        <f>IFERROR(IF((AO62+1)&lt;2,Alertas!$B$2&amp;TEXT(AO62,"0%")&amp;Alertas!$D$2, IF((AO62+1)=2,Alertas!$B$3,IF((AO62+1)&gt;2,Alertas!$B$4&amp;TEXT(AO62,"0%")&amp;Alertas!$D$4,AO62+1))),"Sin meta para el segundo trimestre")</f>
        <v>La ejecución de la meta registrada se encuentra por encima de la meta programada en la formulación del plan de acción para el segundo trimestre, su porcentaje de cumplimiento es 500%,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62" s="62">
        <f t="shared" si="2"/>
        <v>5</v>
      </c>
      <c r="AP62" s="61" t="str">
        <f t="shared" si="3"/>
        <v>La ejecución de la meta registrada se encuentra por encima de la meta programada en la formulación del plan de acción para el segundo trimestre, su porcentaje de cumplimiento es 500%,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62" s="63"/>
      <c r="AR62" s="64"/>
      <c r="AS62" s="65"/>
      <c r="AT62" s="65"/>
      <c r="AU62" s="66"/>
      <c r="AV62" s="67"/>
      <c r="AW62" s="68"/>
      <c r="AX62" s="63"/>
      <c r="AY62" s="64"/>
      <c r="AZ62" s="69"/>
      <c r="BA62" s="65"/>
      <c r="BB62" s="70"/>
      <c r="BC62" s="71"/>
      <c r="BD62" s="72"/>
      <c r="BE62" s="73"/>
      <c r="BF62" s="64"/>
      <c r="BG62" s="69"/>
      <c r="BH62" s="65"/>
      <c r="BI62" s="66"/>
      <c r="BJ62" s="71"/>
      <c r="BK62" s="72"/>
      <c r="BL62" s="74"/>
      <c r="BN62" s="5" t="str">
        <f t="shared" si="23"/>
        <v>1</v>
      </c>
      <c r="BP62" s="5"/>
    </row>
    <row r="63" ht="37.5" customHeight="1">
      <c r="A63" s="45"/>
      <c r="B63" s="46">
        <f>IFERROR(__xludf.DUMMYFUNCTION("""COMPUTED_VALUE"""),61.0)</f>
        <v>61</v>
      </c>
      <c r="C63" s="47" t="str">
        <f>IFERROR(__xludf.DUMMYFUNCTION("""COMPUTED_VALUE"""),"Gestión de la información y generación del conocimiento")</f>
        <v>Gestión de la información y generación del conocimiento</v>
      </c>
      <c r="D63" s="48" t="str">
        <f>IFERROR(__xludf.DUMMYFUNCTION("""COMPUTED_VALUE"""),"Oficina de Generación del Conocimiento y la Información")</f>
        <v>Oficina de Generación del Conocimiento y la Información</v>
      </c>
      <c r="E63"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63" s="49">
        <f>IFERROR(__xludf.DUMMYFUNCTION("""COMPUTED_VALUE"""),2.019011000277E12)</f>
        <v>2019011000277</v>
      </c>
      <c r="G63" s="50" t="str">
        <f>IFERROR(__xludf.DUMMYFUNCTION("""COMPUTED_VALUE"""),"Investigación")</f>
        <v>Investigación</v>
      </c>
      <c r="H63" s="48" t="str">
        <f>IFERROR(__xludf.DUMMYFUNCTION("""COMPUTED_VALUE"""),"Aumentar el desarrollo de la acuicultura asociado a la optimización de los procesos productivos.")</f>
        <v>Aumentar el desarrollo de la acuicultura asociado a la optimización de los procesos productivos.</v>
      </c>
      <c r="I63" s="48" t="str">
        <f>IFERROR(__xludf.DUMMYFUNCTION("""COMPUTED_VALUE"""),"Documentos de lineamientos técnicos")</f>
        <v>Documentos de lineamientos técnicos</v>
      </c>
      <c r="J63" s="48" t="str">
        <f>IFERROR(__xludf.DUMMYFUNCTION("""COMPUTED_VALUE"""),"Evaluar sistemas de producción y nuevas tecnologías en la acuicultura de especies nativas de consumo y ornamentales marinas y continentales")</f>
        <v>Evaluar sistemas de producción y nuevas tecnologías en la acuicultura de especies nativas de consumo y ornamentales marinas y continentales</v>
      </c>
      <c r="K63" s="51" t="str">
        <f>IFERROR(__xludf.DUMMYFUNCTION("""COMPUTED_VALUE"""),"Producto")</f>
        <v>Producto</v>
      </c>
      <c r="L63" s="51" t="str">
        <f>IFERROR(__xludf.DUMMYFUNCTION("""COMPUTED_VALUE"""),"Eficacia")</f>
        <v>Eficacia</v>
      </c>
      <c r="M63" s="51" t="str">
        <f>IFERROR(__xludf.DUMMYFUNCTION("""COMPUTED_VALUE"""),"Número")</f>
        <v>Número</v>
      </c>
      <c r="N63" s="52" t="str">
        <f>IFERROR(__xludf.DUMMYFUNCTION("""COMPUTED_VALUE"""),"Documentos de lineamientos técnicos elaborados")</f>
        <v>Documentos de lineamientos técnicos elaborados</v>
      </c>
      <c r="O63" s="53">
        <f>IFERROR(__xludf.DUMMYFUNCTION("""COMPUTED_VALUE"""),4.0)</f>
        <v>4</v>
      </c>
      <c r="P63" s="78">
        <f>IFERROR(__xludf.DUMMYFUNCTION("""COMPUTED_VALUE"""),4.0)</f>
        <v>4</v>
      </c>
      <c r="Q63" s="79" t="str">
        <f>IFERROR(__xludf.DUMMYFUNCTION("""COMPUTED_VALUE"""),"Construcción de documentos de lineamientos técnicos generados de las investigaciones en acuicultura realizadas desde la OGCCI")</f>
        <v>Construcción de documentos de lineamientos técnicos generados de las investigaciones en acuicultura realizadas desde la OGCCI</v>
      </c>
      <c r="R63" s="79" t="str">
        <f>IFERROR(__xludf.DUMMYFUNCTION("""COMPUTED_VALUE"""),"Anual")</f>
        <v>Anual</v>
      </c>
      <c r="S63" s="78">
        <f>IFERROR(__xludf.DUMMYFUNCTION("""COMPUTED_VALUE"""),0.0)</f>
        <v>0</v>
      </c>
      <c r="T63" s="78">
        <f>IFERROR(__xludf.DUMMYFUNCTION("""COMPUTED_VALUE"""),0.0)</f>
        <v>0</v>
      </c>
      <c r="U63" s="78">
        <f>IFERROR(__xludf.DUMMYFUNCTION("""COMPUTED_VALUE"""),0.0)</f>
        <v>0</v>
      </c>
      <c r="V63" s="78">
        <f>IFERROR(__xludf.DUMMYFUNCTION("""COMPUTED_VALUE"""),4.0)</f>
        <v>4</v>
      </c>
      <c r="W63" s="56" t="str">
        <f>IFERROR(__xludf.DUMMYFUNCTION("""COMPUTED_VALUE"""),"Oficina de Generación del Conocimiento y la Información")</f>
        <v>Oficina de Generación del Conocimiento y la Información</v>
      </c>
      <c r="X63" s="57" t="str">
        <f>IFERROR(__xludf.DUMMYFUNCTION("""COMPUTED_VALUE"""),"Maria Angarita Peñaranda")</f>
        <v>Maria Angarita Peñaranda</v>
      </c>
      <c r="Y63" s="47" t="str">
        <f>IFERROR(__xludf.DUMMYFUNCTION("""COMPUTED_VALUE"""),"Jefe Oficina")</f>
        <v>Jefe Oficina</v>
      </c>
      <c r="Z63" s="57" t="str">
        <f>IFERROR(__xludf.DUMMYFUNCTION("""COMPUTED_VALUE"""),"maria.angarita@aunap.gov.co")</f>
        <v>maria.angarita@aunap.gov.co</v>
      </c>
      <c r="AA63" s="47" t="str">
        <f>IFERROR(__xludf.DUMMYFUNCTION("""COMPUTED_VALUE"""),"Humanos, fisicos, financieros y tecnologicos")</f>
        <v>Humanos, fisicos, financieros y tecnologicos</v>
      </c>
      <c r="AB63" s="47" t="str">
        <f>IFERROR(__xludf.DUMMYFUNCTION("""COMPUTED_VALUE"""),"No asociado")</f>
        <v>No asociado</v>
      </c>
      <c r="AC63"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63" s="47" t="str">
        <f>IFERROR(__xludf.DUMMYFUNCTION("""COMPUTED_VALUE"""),"Gestión del conocimiento")</f>
        <v>Gestión del conocimiento</v>
      </c>
      <c r="AE63" s="47" t="str">
        <f>IFERROR(__xludf.DUMMYFUNCTION("""COMPUTED_VALUE"""),"Gestión del Conocimiento y la Innovación")</f>
        <v>Gestión del Conocimiento y la Innovación</v>
      </c>
      <c r="AF63" s="47" t="str">
        <f>IFERROR(__xludf.DUMMYFUNCTION("""COMPUTED_VALUE"""),"12. Producción y consumo responsable")</f>
        <v>12. Producción y consumo responsable</v>
      </c>
      <c r="AG63" s="80">
        <f>IFERROR(__xludf.DUMMYFUNCTION("""COMPUTED_VALUE"""),4.0)</f>
        <v>4</v>
      </c>
      <c r="AH63" s="59" t="str">
        <f>IFERROR(__xludf.DUMMYFUNCTION("""COMPUTED_VALUE"""),"Se adjuntan cuatro (4) documentos de lineamientos técnicos construidos, generados de las investigaciones en acuicultura realizadas desde la OGCCI meta propuesta para este trimestre para esta actividad, ")</f>
        <v>Se adjuntan cuatro (4) documentos de lineamientos técnicos construidos, generados de las investigaciones en acuicultura realizadas desde la OGCCI meta propuesta para este trimestre para esta actividad, </v>
      </c>
      <c r="AI63" s="81" t="str">
        <f>IFERROR(__xludf.DUMMYFUNCTION("""COMPUTED_VALUE"""),"https://drive.google.com/drive/folders/1EssJmOrjbzxa4w-7OEYwh4LGpexjexS7?usp=sharing")</f>
        <v>https://drive.google.com/drive/folders/1EssJmOrjbzxa4w-7OEYwh4LGpexjexS7?usp=sharing</v>
      </c>
      <c r="AJ63" s="59">
        <f>IFERROR(__xludf.DUMMYFUNCTION("""COMPUTED_VALUE"""),4.0)</f>
        <v>4</v>
      </c>
      <c r="AK63" s="59" t="str">
        <f>IFERROR(__xludf.DUMMYFUNCTION("""COMPUTED_VALUE"""),"Se cumplio con la meta contemplada para esta accion")</f>
        <v>Se cumplio con la meta contemplada para esta accion</v>
      </c>
      <c r="AL63" s="59">
        <f>IFERROR(__xludf.DUMMYFUNCTION("""COMPUTED_VALUE"""),44582.0)</f>
        <v>44582</v>
      </c>
      <c r="AM63" s="60"/>
      <c r="AN63" s="61" t="str">
        <f>IFERROR(IF((AO63+1)&lt;2,Alertas!$B$2&amp;TEXT(AO63,"0%")&amp;Alertas!$D$2, IF((AO63+1)=2,Alertas!$B$3,IF((AO63+1)&gt;2,Alertas!$B$4&amp;TEXT(AO63,"0%")&amp;Alertas!$D$4,AO63+1))),"Sin meta para el segundo trimestre")</f>
        <v>La ejecución de la meta registrada se encuentra por encima de la meta programada en la formulación del plan de acción para el segundo trimestre, su porcentaje de cumplimiento es 500%,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63" s="62">
        <f t="shared" si="2"/>
        <v>5</v>
      </c>
      <c r="AP63" s="61" t="str">
        <f t="shared" si="3"/>
        <v>La ejecución de la meta registrada se encuentra por encima de la meta programada en la formulación del plan de acción para el segundo trimestre, su porcentaje de cumplimiento es 500%,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63" s="63"/>
      <c r="AR63" s="64"/>
      <c r="AS63" s="65"/>
      <c r="AT63" s="65"/>
      <c r="AU63" s="66"/>
      <c r="AV63" s="67"/>
      <c r="AW63" s="68"/>
      <c r="AX63" s="63"/>
      <c r="AY63" s="64"/>
      <c r="AZ63" s="69"/>
      <c r="BA63" s="65"/>
      <c r="BB63" s="70"/>
      <c r="BC63" s="71"/>
      <c r="BD63" s="72"/>
      <c r="BE63" s="73"/>
      <c r="BF63" s="64"/>
      <c r="BG63" s="69"/>
      <c r="BH63" s="65"/>
      <c r="BI63" s="66"/>
      <c r="BJ63" s="71"/>
      <c r="BK63" s="72"/>
      <c r="BL63" s="74"/>
      <c r="BN63" s="5" t="str">
        <f t="shared" si="23"/>
        <v>1</v>
      </c>
      <c r="BP63" s="5"/>
    </row>
    <row r="64" ht="37.5" customHeight="1">
      <c r="A64" s="45"/>
      <c r="B64" s="46">
        <f>IFERROR(__xludf.DUMMYFUNCTION("""COMPUTED_VALUE"""),62.0)</f>
        <v>62</v>
      </c>
      <c r="C64" s="47" t="str">
        <f>IFERROR(__xludf.DUMMYFUNCTION("""COMPUTED_VALUE"""),"Gestión de la información y generación del conocimiento")</f>
        <v>Gestión de la información y generación del conocimiento</v>
      </c>
      <c r="D64" s="48" t="str">
        <f>IFERROR(__xludf.DUMMYFUNCTION("""COMPUTED_VALUE"""),"Oficina de Generación del Conocimiento y la Información")</f>
        <v>Oficina de Generación del Conocimiento y la Información</v>
      </c>
      <c r="E64"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64" s="49">
        <f>IFERROR(__xludf.DUMMYFUNCTION("""COMPUTED_VALUE"""),2.019011000277E12)</f>
        <v>2019011000277</v>
      </c>
      <c r="G64" s="50" t="str">
        <f>IFERROR(__xludf.DUMMYFUNCTION("""COMPUTED_VALUE"""),"Investigación")</f>
        <v>Investigación</v>
      </c>
      <c r="H64" s="48" t="str">
        <f>IFERROR(__xludf.DUMMYFUNCTION("""COMPUTED_VALUE"""),"Aumentar el desarrollo de la acuicultura asociado a la optimización de los procesos productivos.")</f>
        <v>Aumentar el desarrollo de la acuicultura asociado a la optimización de los procesos productivos.</v>
      </c>
      <c r="I64" s="48" t="str">
        <f>IFERROR(__xludf.DUMMYFUNCTION("""COMPUTED_VALUE"""),"Documentos de lineamientos técnicos")</f>
        <v>Documentos de lineamientos técnicos</v>
      </c>
      <c r="J64" s="48" t="str">
        <f>IFERROR(__xludf.DUMMYFUNCTION("""COMPUTED_VALUE"""),"Determinar las condiciones de bioecología, aclimatación, nutrición y alimentación, reproducción, larvicultura, alevinaje, engorde, patología, etc. en especies nativas y domesticadas de consumo y ornamentales, marinas y continentales")</f>
        <v>Determinar las condiciones de bioecología, aclimatación, nutrición y alimentación, reproducción, larvicultura, alevinaje, engorde, patología, etc. en especies nativas y domesticadas de consumo y ornamentales, marinas y continentales</v>
      </c>
      <c r="K64" s="51" t="str">
        <f>IFERROR(__xludf.DUMMYFUNCTION("""COMPUTED_VALUE"""),"Gestión del área")</f>
        <v>Gestión del área</v>
      </c>
      <c r="L64" s="51" t="str">
        <f>IFERROR(__xludf.DUMMYFUNCTION("""COMPUTED_VALUE"""),"Eficacia")</f>
        <v>Eficacia</v>
      </c>
      <c r="M64" s="51" t="str">
        <f>IFERROR(__xludf.DUMMYFUNCTION("""COMPUTED_VALUE"""),"Porcentaje")</f>
        <v>Porcentaje</v>
      </c>
      <c r="N64" s="52" t="str">
        <f>IFERROR(__xludf.DUMMYFUNCTION("""COMPUTED_VALUE"""),"Conceptos técnicos atendidos/Conceptos tecnicos solicitados")</f>
        <v>Conceptos técnicos atendidos/Conceptos tecnicos solicitados</v>
      </c>
      <c r="O64" s="53">
        <f>IFERROR(__xludf.DUMMYFUNCTION("""COMPUTED_VALUE"""),1.0)</f>
        <v>1</v>
      </c>
      <c r="P64" s="78">
        <f>IFERROR(__xludf.DUMMYFUNCTION("""COMPUTED_VALUE"""),1.0)</f>
        <v>1</v>
      </c>
      <c r="Q64" s="79" t="str">
        <f>IFERROR(__xludf.DUMMYFUNCTION("""COMPUTED_VALUE"""),"Emitir conceptos técnicos relacionados con la acuicultura, atendidos de acuerdo con las solicitudes recibidas.")</f>
        <v>Emitir conceptos técnicos relacionados con la acuicultura, atendidos de acuerdo con las solicitudes recibidas.</v>
      </c>
      <c r="R64" s="79" t="str">
        <f>IFERROR(__xludf.DUMMYFUNCTION("""COMPUTED_VALUE"""),"Trimestral")</f>
        <v>Trimestral</v>
      </c>
      <c r="S64" s="78">
        <f>IFERROR(__xludf.DUMMYFUNCTION("""COMPUTED_VALUE"""),1.0)</f>
        <v>1</v>
      </c>
      <c r="T64" s="78">
        <f>IFERROR(__xludf.DUMMYFUNCTION("""COMPUTED_VALUE"""),1.0)</f>
        <v>1</v>
      </c>
      <c r="U64" s="78">
        <f>IFERROR(__xludf.DUMMYFUNCTION("""COMPUTED_VALUE"""),1.0)</f>
        <v>1</v>
      </c>
      <c r="V64" s="78">
        <f>IFERROR(__xludf.DUMMYFUNCTION("""COMPUTED_VALUE"""),1.0)</f>
        <v>1</v>
      </c>
      <c r="W64" s="56" t="str">
        <f>IFERROR(__xludf.DUMMYFUNCTION("""COMPUTED_VALUE"""),"Oficina de Generación del Conocimiento y la Información")</f>
        <v>Oficina de Generación del Conocimiento y la Información</v>
      </c>
      <c r="X64" s="57" t="str">
        <f>IFERROR(__xludf.DUMMYFUNCTION("""COMPUTED_VALUE"""),"Maria Angarita Peñaranda")</f>
        <v>Maria Angarita Peñaranda</v>
      </c>
      <c r="Y64" s="47" t="str">
        <f>IFERROR(__xludf.DUMMYFUNCTION("""COMPUTED_VALUE"""),"Jefe Oficina")</f>
        <v>Jefe Oficina</v>
      </c>
      <c r="Z64" s="57" t="str">
        <f>IFERROR(__xludf.DUMMYFUNCTION("""COMPUTED_VALUE"""),"maria.angarita@aunap.gov.co")</f>
        <v>maria.angarita@aunap.gov.co</v>
      </c>
      <c r="AA64" s="47" t="str">
        <f>IFERROR(__xludf.DUMMYFUNCTION("""COMPUTED_VALUE"""),"Humanos, fisicos, financieros y tecnologicos")</f>
        <v>Humanos, fisicos, financieros y tecnologicos</v>
      </c>
      <c r="AB64" s="47" t="str">
        <f>IFERROR(__xludf.DUMMYFUNCTION("""COMPUTED_VALUE"""),"No asociado")</f>
        <v>No asociado</v>
      </c>
      <c r="AC64"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64" s="47" t="str">
        <f>IFERROR(__xludf.DUMMYFUNCTION("""COMPUTED_VALUE"""),"Gestión del conocimiento")</f>
        <v>Gestión del conocimiento</v>
      </c>
      <c r="AE64" s="47" t="str">
        <f>IFERROR(__xludf.DUMMYFUNCTION("""COMPUTED_VALUE"""),"Gestión del Conocimiento y la Innovación")</f>
        <v>Gestión del Conocimiento y la Innovación</v>
      </c>
      <c r="AF64" s="47" t="str">
        <f>IFERROR(__xludf.DUMMYFUNCTION("""COMPUTED_VALUE"""),"12. Producción y consumo responsable")</f>
        <v>12. Producción y consumo responsable</v>
      </c>
      <c r="AG64" s="80">
        <f>IFERROR(__xludf.DUMMYFUNCTION("""COMPUTED_VALUE"""),1.0)</f>
        <v>1</v>
      </c>
      <c r="AH64" s="59" t="str">
        <f>IFERROR(__xludf.DUMMYFUNCTION("""COMPUTED_VALUE"""),"Para este trimestre se solicitaron 7 conceptos tecnicos y se atendieron todos estos 7 conceptos
")</f>
        <v>Para este trimestre se solicitaron 7 conceptos tecnicos y se atendieron todos estos 7 conceptos
</v>
      </c>
      <c r="AI64" s="77" t="str">
        <f>IFERROR(__xludf.DUMMYFUNCTION("""COMPUTED_VALUE"""),"https://drive.google.com/drive/folders/100jB3zMjYmwOwI8M24_-eN0rWTSOqTUu?usp=sharing")</f>
        <v>https://drive.google.com/drive/folders/100jB3zMjYmwOwI8M24_-eN0rWTSOqTUu?usp=sharing</v>
      </c>
      <c r="AJ64" s="59">
        <f>IFERROR(__xludf.DUMMYFUNCTION("""COMPUTED_VALUE"""),1.0)</f>
        <v>1</v>
      </c>
      <c r="AK64" s="59" t="str">
        <f>IFERROR(__xludf.DUMMYFUNCTION("""COMPUTED_VALUE"""),"En todo el año se atendio el 100% de los conceptos solicitados")</f>
        <v>En todo el año se atendio el 100% de los conceptos solicitados</v>
      </c>
      <c r="AL64" s="59">
        <f>IFERROR(__xludf.DUMMYFUNCTION("""COMPUTED_VALUE"""),44582.0)</f>
        <v>44582</v>
      </c>
      <c r="AM64" s="60"/>
      <c r="AN64" s="61" t="str">
        <f>IFERROR(IF((AO64+1)&lt;2,Alertas!$B$2&amp;TEXT(AO64,"0%")&amp;Alertas!$D$2, IF((AO64+1)=2,Alertas!$B$3,IF((AO64+1)&gt;2,Alertas!$B$4&amp;TEXT(AO64,"0%")&amp;Alertas!$D$4,AO64+1))),"Sin meta para el segundo trimestre")</f>
        <v>La ejecución de la meta registrada se encuentra acorde a la meta programada en la formulación del plan de acción para el segundo trimestre</v>
      </c>
      <c r="AO64" s="62">
        <f t="shared" si="2"/>
        <v>1</v>
      </c>
      <c r="AP64" s="61" t="str">
        <f t="shared" si="3"/>
        <v>La ejecución de la meta registrada se encuentra acorde a la meta programada en la formulación del plan de acción para el segundo trimestre.</v>
      </c>
      <c r="AQ64" s="63"/>
      <c r="AR64" s="64"/>
      <c r="AS64" s="65"/>
      <c r="AT64" s="65"/>
      <c r="AU64" s="66"/>
      <c r="AV64" s="67"/>
      <c r="AW64" s="68"/>
      <c r="AX64" s="63"/>
      <c r="AY64" s="64"/>
      <c r="AZ64" s="69"/>
      <c r="BA64" s="65"/>
      <c r="BB64" s="70"/>
      <c r="BC64" s="71"/>
      <c r="BD64" s="72"/>
      <c r="BE64" s="73"/>
      <c r="BF64" s="64"/>
      <c r="BG64" s="69"/>
      <c r="BH64" s="65"/>
      <c r="BI64" s="66"/>
      <c r="BJ64" s="71"/>
      <c r="BK64" s="72"/>
      <c r="BL64" s="74"/>
      <c r="BN64" s="5" t="str">
        <f t="shared" si="23"/>
        <v>0</v>
      </c>
      <c r="BP64" s="5"/>
    </row>
    <row r="65" ht="37.5" customHeight="1">
      <c r="A65" s="45"/>
      <c r="B65" s="46">
        <f>IFERROR(__xludf.DUMMYFUNCTION("""COMPUTED_VALUE"""),63.0)</f>
        <v>63</v>
      </c>
      <c r="C65" s="47" t="str">
        <f>IFERROR(__xludf.DUMMYFUNCTION("""COMPUTED_VALUE"""),"Gestión de la información y generación del conocimiento")</f>
        <v>Gestión de la información y generación del conocimiento</v>
      </c>
      <c r="D65" s="48" t="str">
        <f>IFERROR(__xludf.DUMMYFUNCTION("""COMPUTED_VALUE"""),"Oficina de Generación del Conocimiento y la Información")</f>
        <v>Oficina de Generación del Conocimiento y la Información</v>
      </c>
      <c r="E65"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65" s="49">
        <f>IFERROR(__xludf.DUMMYFUNCTION("""COMPUTED_VALUE"""),2.019011000277E12)</f>
        <v>2019011000277</v>
      </c>
      <c r="G65" s="50" t="str">
        <f>IFERROR(__xludf.DUMMYFUNCTION("""COMPUTED_VALUE"""),"Investigación")</f>
        <v>Investigación</v>
      </c>
      <c r="H65" s="48" t="str">
        <f>IFERROR(__xludf.DUMMYFUNCTION("""COMPUTED_VALUE"""),"Aumentar el desarrollo de la acuicultura asociado a la optimización de los procesos productivos.")</f>
        <v>Aumentar el desarrollo de la acuicultura asociado a la optimización de los procesos productivos.</v>
      </c>
      <c r="I65" s="48" t="str">
        <f>IFERROR(__xludf.DUMMYFUNCTION("""COMPUTED_VALUE"""),"Especies animales y vegetales mejoradas")</f>
        <v>Especies animales y vegetales mejoradas</v>
      </c>
      <c r="J65" s="48" t="str">
        <f>IFERROR(__xludf.DUMMYFUNCTION("""COMPUTED_VALUE"""),"Obtener información para el mejoramiento genético de especies nativas con fines de cultivo y repoblamiento y especies exóticas domesticadas con fines de cultivo")</f>
        <v>Obtener información para el mejoramiento genético de especies nativas con fines de cultivo y repoblamiento y especies exóticas domesticadas con fines de cultivo</v>
      </c>
      <c r="K65" s="51" t="str">
        <f>IFERROR(__xludf.DUMMYFUNCTION("""COMPUTED_VALUE"""),"Producto")</f>
        <v>Producto</v>
      </c>
      <c r="L65" s="51" t="str">
        <f>IFERROR(__xludf.DUMMYFUNCTION("""COMPUTED_VALUE"""),"Eficacia")</f>
        <v>Eficacia</v>
      </c>
      <c r="M65" s="51" t="str">
        <f>IFERROR(__xludf.DUMMYFUNCTION("""COMPUTED_VALUE"""),"Número")</f>
        <v>Número</v>
      </c>
      <c r="N65" s="52" t="str">
        <f>IFERROR(__xludf.DUMMYFUNCTION("""COMPUTED_VALUE"""),"Especies trabajadas a nivel genético")</f>
        <v>Especies trabajadas a nivel genético</v>
      </c>
      <c r="O65" s="53">
        <f>IFERROR(__xludf.DUMMYFUNCTION("""COMPUTED_VALUE"""),1.0)</f>
        <v>1</v>
      </c>
      <c r="P65" s="78">
        <f>IFERROR(__xludf.DUMMYFUNCTION("""COMPUTED_VALUE"""),1.0)</f>
        <v>1</v>
      </c>
      <c r="Q65" s="79" t="str">
        <f>IFERROR(__xludf.DUMMYFUNCTION("""COMPUTED_VALUE"""),"Ejecutar investigaciones en especies acuícolas para trabajos a nivel genético desarrollados desde la OGCI")</f>
        <v>Ejecutar investigaciones en especies acuícolas para trabajos a nivel genético desarrollados desde la OGCI</v>
      </c>
      <c r="R65" s="79" t="str">
        <f>IFERROR(__xludf.DUMMYFUNCTION("""COMPUTED_VALUE"""),"Anual")</f>
        <v>Anual</v>
      </c>
      <c r="S65" s="78">
        <f>IFERROR(__xludf.DUMMYFUNCTION("""COMPUTED_VALUE"""),0.0)</f>
        <v>0</v>
      </c>
      <c r="T65" s="78">
        <f>IFERROR(__xludf.DUMMYFUNCTION("""COMPUTED_VALUE"""),0.0)</f>
        <v>0</v>
      </c>
      <c r="U65" s="78">
        <f>IFERROR(__xludf.DUMMYFUNCTION("""COMPUTED_VALUE"""),0.0)</f>
        <v>0</v>
      </c>
      <c r="V65" s="78">
        <f>IFERROR(__xludf.DUMMYFUNCTION("""COMPUTED_VALUE"""),1.0)</f>
        <v>1</v>
      </c>
      <c r="W65" s="56" t="str">
        <f>IFERROR(__xludf.DUMMYFUNCTION("""COMPUTED_VALUE"""),"Oficina de Generación del Conocimiento y la Información")</f>
        <v>Oficina de Generación del Conocimiento y la Información</v>
      </c>
      <c r="X65" s="57" t="str">
        <f>IFERROR(__xludf.DUMMYFUNCTION("""COMPUTED_VALUE"""),"Maria Angarita Peñaranda")</f>
        <v>Maria Angarita Peñaranda</v>
      </c>
      <c r="Y65" s="47" t="str">
        <f>IFERROR(__xludf.DUMMYFUNCTION("""COMPUTED_VALUE"""),"Jefe Oficina")</f>
        <v>Jefe Oficina</v>
      </c>
      <c r="Z65" s="57" t="str">
        <f>IFERROR(__xludf.DUMMYFUNCTION("""COMPUTED_VALUE"""),"maria.angarita@aunap.gov.co")</f>
        <v>maria.angarita@aunap.gov.co</v>
      </c>
      <c r="AA65" s="47" t="str">
        <f>IFERROR(__xludf.DUMMYFUNCTION("""COMPUTED_VALUE"""),"Humanos, fisicos, financieros y tecnologicos")</f>
        <v>Humanos, fisicos, financieros y tecnologicos</v>
      </c>
      <c r="AB65" s="47" t="str">
        <f>IFERROR(__xludf.DUMMYFUNCTION("""COMPUTED_VALUE"""),"No asociado")</f>
        <v>No asociado</v>
      </c>
      <c r="AC65"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65" s="47" t="str">
        <f>IFERROR(__xludf.DUMMYFUNCTION("""COMPUTED_VALUE"""),"Gestión del conocimiento")</f>
        <v>Gestión del conocimiento</v>
      </c>
      <c r="AE65" s="47" t="str">
        <f>IFERROR(__xludf.DUMMYFUNCTION("""COMPUTED_VALUE"""),"Gestión del Conocimiento y la Innovación")</f>
        <v>Gestión del Conocimiento y la Innovación</v>
      </c>
      <c r="AF65" s="47" t="str">
        <f>IFERROR(__xludf.DUMMYFUNCTION("""COMPUTED_VALUE"""),"12. Producción y consumo responsable")</f>
        <v>12. Producción y consumo responsable</v>
      </c>
      <c r="AG65" s="80">
        <f>IFERROR(__xludf.DUMMYFUNCTION("""COMPUTED_VALUE"""),1.0)</f>
        <v>1</v>
      </c>
      <c r="AH65" s="59" t="str">
        <f>IFERROR(__xludf.DUMMYFUNCTION("""COMPUTED_VALUE"""),"Se adjunta documento de investigacion en especie acuícola para trabajos a nivel genético ")</f>
        <v>Se adjunta documento de investigacion en especie acuícola para trabajos a nivel genético </v>
      </c>
      <c r="AI65" s="77" t="str">
        <f>IFERROR(__xludf.DUMMYFUNCTION("""COMPUTED_VALUE"""),"https://drive.google.com/file/d/1Kx4G10V7AV8ut-3rioeQ5t3N0_uyOO2Z/view?usp=sharing")</f>
        <v>https://drive.google.com/file/d/1Kx4G10V7AV8ut-3rioeQ5t3N0_uyOO2Z/view?usp=sharing</v>
      </c>
      <c r="AJ65" s="59">
        <f>IFERROR(__xludf.DUMMYFUNCTION("""COMPUTED_VALUE"""),1.0)</f>
        <v>1</v>
      </c>
      <c r="AK65" s="59" t="str">
        <f>IFERROR(__xludf.DUMMYFUNCTION("""COMPUTED_VALUE"""),"Se cumplio con la meta contemplada para esta accion")</f>
        <v>Se cumplio con la meta contemplada para esta accion</v>
      </c>
      <c r="AL65" s="59">
        <f>IFERROR(__xludf.DUMMYFUNCTION("""COMPUTED_VALUE"""),44582.0)</f>
        <v>44582</v>
      </c>
      <c r="AM65" s="60"/>
      <c r="AN65" s="61" t="str">
        <f>IFERROR(IF((AO65+1)&lt;2,Alertas!$B$2&amp;TEXT(AO65,"0%")&amp;Alertas!$D$2, IF((AO65+1)=2,Alertas!$B$3,IF((AO65+1)&gt;2,Alertas!$B$4&amp;TEXT(AO65,"0%")&amp;Alertas!$D$4,AO65+1))),"Sin meta para el segundo trimestre")</f>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65" s="62">
        <f t="shared" si="2"/>
        <v>2</v>
      </c>
      <c r="AP65" s="61" t="str">
        <f t="shared" si="3"/>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65" s="63"/>
      <c r="AR65" s="64"/>
      <c r="AS65" s="65"/>
      <c r="AT65" s="65"/>
      <c r="AU65" s="66"/>
      <c r="AV65" s="67"/>
      <c r="AW65" s="68"/>
      <c r="AX65" s="63"/>
      <c r="AY65" s="64"/>
      <c r="AZ65" s="69"/>
      <c r="BA65" s="65"/>
      <c r="BB65" s="70"/>
      <c r="BC65" s="71"/>
      <c r="BD65" s="72"/>
      <c r="BE65" s="73"/>
      <c r="BF65" s="64"/>
      <c r="BG65" s="69"/>
      <c r="BH65" s="65"/>
      <c r="BI65" s="66"/>
      <c r="BJ65" s="71"/>
      <c r="BK65" s="72"/>
      <c r="BL65" s="74"/>
      <c r="BN65" s="5" t="str">
        <f t="shared" si="23"/>
        <v>1</v>
      </c>
      <c r="BP65" s="5"/>
    </row>
    <row r="66" ht="37.5" customHeight="1">
      <c r="A66" s="45"/>
      <c r="B66" s="46">
        <f>IFERROR(__xludf.DUMMYFUNCTION("""COMPUTED_VALUE"""),64.0)</f>
        <v>64</v>
      </c>
      <c r="C66" s="47" t="str">
        <f>IFERROR(__xludf.DUMMYFUNCTION("""COMPUTED_VALUE"""),"Gestión de la información y generación del conocimiento")</f>
        <v>Gestión de la información y generación del conocimiento</v>
      </c>
      <c r="D66" s="48" t="str">
        <f>IFERROR(__xludf.DUMMYFUNCTION("""COMPUTED_VALUE"""),"Oficina de Generación del Conocimiento y la Información")</f>
        <v>Oficina de Generación del Conocimiento y la Información</v>
      </c>
      <c r="E66"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66" s="49">
        <f>IFERROR(__xludf.DUMMYFUNCTION("""COMPUTED_VALUE"""),2.019011000277E12)</f>
        <v>2019011000277</v>
      </c>
      <c r="G66" s="50" t="str">
        <f>IFERROR(__xludf.DUMMYFUNCTION("""COMPUTED_VALUE"""),"Investigación")</f>
        <v>Investigación</v>
      </c>
      <c r="H66" s="48" t="str">
        <f>IFERROR(__xludf.DUMMYFUNCTION("""COMPUTED_VALUE"""),"Fortalecer la generación de insumos de planificación pesquera y de la acuicultura")</f>
        <v>Fortalecer la generación de insumos de planificación pesquera y de la acuicultura</v>
      </c>
      <c r="I66" s="48" t="str">
        <f>IFERROR(__xludf.DUMMYFUNCTION("""COMPUTED_VALUE"""),"Servicio de análisis de Información para la planificación pesquera y de la acuicultura")</f>
        <v>Servicio de análisis de Información para la planificación pesquera y de la acuicultura</v>
      </c>
      <c r="J66" s="48" t="str">
        <f>IFERROR(__xludf.DUMMYFUNCTION("""COMPUTED_VALUE"""),"Realizar la caracterización socioeconómica de pescadores artesanales, acuicultores continentales y marinos y otros eslabones de la cadena productiva con inclusión de género")</f>
        <v>Realizar la caracterización socioeconómica de pescadores artesanales, acuicultores continentales y marinos y otros eslabones de la cadena productiva con inclusión de género</v>
      </c>
      <c r="K66" s="51" t="str">
        <f>IFERROR(__xludf.DUMMYFUNCTION("""COMPUTED_VALUE"""),"Producto")</f>
        <v>Producto</v>
      </c>
      <c r="L66" s="51" t="str">
        <f>IFERROR(__xludf.DUMMYFUNCTION("""COMPUTED_VALUE"""),"Eficacia")</f>
        <v>Eficacia</v>
      </c>
      <c r="M66" s="51" t="str">
        <f>IFERROR(__xludf.DUMMYFUNCTION("""COMPUTED_VALUE"""),"Número")</f>
        <v>Número</v>
      </c>
      <c r="N66" s="52" t="str">
        <f>IFERROR(__xludf.DUMMYFUNCTION("""COMPUTED_VALUE"""),"Análisis generados")</f>
        <v>Análisis generados</v>
      </c>
      <c r="O66" s="53">
        <f>IFERROR(__xludf.DUMMYFUNCTION("""COMPUTED_VALUE"""),2.0)</f>
        <v>2</v>
      </c>
      <c r="P66" s="78">
        <f>IFERROR(__xludf.DUMMYFUNCTION("""COMPUTED_VALUE"""),2.0)</f>
        <v>2</v>
      </c>
      <c r="Q66" s="79" t="str">
        <f>IFERROR(__xludf.DUMMYFUNCTION("""COMPUTED_VALUE"""),"Elaborar análisis con el uso de herramienta tecnológica ó cartografia, para la recolección, caracterización, almacenamiento, o interpretación de datos e información de recursos pesqueros y  acuicolas, que contribuya a procesos de planificación de estas ac"&amp;"tividades.")</f>
        <v>Elaborar análisis con el uso de herramienta tecnológica ó cartografia, para la recolección, caracterización, almacenamiento, o interpretación de datos e información de recursos pesqueros y  acuicolas, que contribuya a procesos de planificación de estas actividades.</v>
      </c>
      <c r="R66" s="79" t="str">
        <f>IFERROR(__xludf.DUMMYFUNCTION("""COMPUTED_VALUE"""),"Anual")</f>
        <v>Anual</v>
      </c>
      <c r="S66" s="78">
        <f>IFERROR(__xludf.DUMMYFUNCTION("""COMPUTED_VALUE"""),0.0)</f>
        <v>0</v>
      </c>
      <c r="T66" s="78">
        <f>IFERROR(__xludf.DUMMYFUNCTION("""COMPUTED_VALUE"""),0.0)</f>
        <v>0</v>
      </c>
      <c r="U66" s="78">
        <f>IFERROR(__xludf.DUMMYFUNCTION("""COMPUTED_VALUE"""),0.0)</f>
        <v>0</v>
      </c>
      <c r="V66" s="78">
        <f>IFERROR(__xludf.DUMMYFUNCTION("""COMPUTED_VALUE"""),2.0)</f>
        <v>2</v>
      </c>
      <c r="W66" s="56" t="str">
        <f>IFERROR(__xludf.DUMMYFUNCTION("""COMPUTED_VALUE"""),"Oficina de Generación del Conocimiento y la Información")</f>
        <v>Oficina de Generación del Conocimiento y la Información</v>
      </c>
      <c r="X66" s="57" t="str">
        <f>IFERROR(__xludf.DUMMYFUNCTION("""COMPUTED_VALUE"""),"Maria Angarita Peñaranda")</f>
        <v>Maria Angarita Peñaranda</v>
      </c>
      <c r="Y66" s="47" t="str">
        <f>IFERROR(__xludf.DUMMYFUNCTION("""COMPUTED_VALUE"""),"Jefe Oficina")</f>
        <v>Jefe Oficina</v>
      </c>
      <c r="Z66" s="57" t="str">
        <f>IFERROR(__xludf.DUMMYFUNCTION("""COMPUTED_VALUE"""),"maria.angarita@aunap.gov.co")</f>
        <v>maria.angarita@aunap.gov.co</v>
      </c>
      <c r="AA66" s="47" t="str">
        <f>IFERROR(__xludf.DUMMYFUNCTION("""COMPUTED_VALUE"""),"Humanos, fisicos, financieros y tecnologicos")</f>
        <v>Humanos, fisicos, financieros y tecnologicos</v>
      </c>
      <c r="AB66" s="47" t="str">
        <f>IFERROR(__xludf.DUMMYFUNCTION("""COMPUTED_VALUE"""),"No asociado")</f>
        <v>No asociado</v>
      </c>
      <c r="AC66"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66" s="47" t="str">
        <f>IFERROR(__xludf.DUMMYFUNCTION("""COMPUTED_VALUE"""),"Gestión del conocimiento")</f>
        <v>Gestión del conocimiento</v>
      </c>
      <c r="AE66" s="47" t="str">
        <f>IFERROR(__xludf.DUMMYFUNCTION("""COMPUTED_VALUE"""),"Gestión del Conocimiento y la Innovación")</f>
        <v>Gestión del Conocimiento y la Innovación</v>
      </c>
      <c r="AF66" s="47" t="str">
        <f>IFERROR(__xludf.DUMMYFUNCTION("""COMPUTED_VALUE"""),"12. Producción y consumo responsable")</f>
        <v>12. Producción y consumo responsable</v>
      </c>
      <c r="AG66" s="58">
        <f>IFERROR(__xludf.DUMMYFUNCTION("""COMPUTED_VALUE"""),2.0)</f>
        <v>2</v>
      </c>
      <c r="AH66" s="59" t="str">
        <f>IFERROR(__xludf.DUMMYFUNCTION("""COMPUTED_VALUE"""),"Se adjuntan dos (2) análisis con el uso de herramienta tecnológica ó cartografia, para la recolección, caracterización, almacenamiento, o interpretación de datos e información de recursos pesqueros y  acuicolas, que contribuya a procesos de planificación "&amp;"de estas actividades.")</f>
        <v>Se adjuntan dos (2) análisis con el uso de herramienta tecnológica ó cartografia, para la recolección, caracterización, almacenamiento, o interpretación de datos e información de recursos pesqueros y  acuicolas, que contribuya a procesos de planificación de estas actividades.</v>
      </c>
      <c r="AI66" s="77" t="str">
        <f>IFERROR(__xludf.DUMMYFUNCTION("""COMPUTED_VALUE"""),"https://drive.google.com/drive/folders/1AIj78pHLgQ7gMmZbcSg3-NpNICNp4NWc?usp=sharing")</f>
        <v>https://drive.google.com/drive/folders/1AIj78pHLgQ7gMmZbcSg3-NpNICNp4NWc?usp=sharing</v>
      </c>
      <c r="AJ66" s="59">
        <f>IFERROR(__xludf.DUMMYFUNCTION("""COMPUTED_VALUE"""),2.0)</f>
        <v>2</v>
      </c>
      <c r="AK66" s="59" t="str">
        <f>IFERROR(__xludf.DUMMYFUNCTION("""COMPUTED_VALUE"""),"Se cumplio con la meta contemplada para esta accion")</f>
        <v>Se cumplio con la meta contemplada para esta accion</v>
      </c>
      <c r="AL66" s="59">
        <f>IFERROR(__xludf.DUMMYFUNCTION("""COMPUTED_VALUE"""),44582.0)</f>
        <v>44582</v>
      </c>
      <c r="AM66" s="60"/>
      <c r="AN66" s="61" t="str">
        <f>IFERROR(IF((AO66+1)&lt;2,Alertas!$B$2&amp;TEXT(AO66,"0%")&amp;Alertas!$D$2, IF((AO66+1)=2,Alertas!$B$3,IF((AO66+1)&gt;2,Alertas!$B$4&amp;TEXT(AO66,"0%")&amp;Alertas!$D$4,AO66+1))),"Sin meta para el segundo trimestre")</f>
        <v>La ejecución de la meta registrada se encuentra por encima de la meta programada en la formulación del plan de acción para el segundo trimestre, su porcentaje de cumplimiento es 300%,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66" s="62">
        <f t="shared" si="2"/>
        <v>3</v>
      </c>
      <c r="AP66" s="61" t="str">
        <f t="shared" si="3"/>
        <v>La ejecución de la meta registrada se encuentra por encima de la meta programada en la formulación del plan de acción para el segundo trimestre, su porcentaje de cumplimiento es 300%,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66" s="63"/>
      <c r="AR66" s="64"/>
      <c r="AS66" s="65"/>
      <c r="AT66" s="65"/>
      <c r="AU66" s="66"/>
      <c r="AV66" s="67"/>
      <c r="AW66" s="68"/>
      <c r="AX66" s="63"/>
      <c r="AY66" s="64"/>
      <c r="AZ66" s="69"/>
      <c r="BA66" s="65"/>
      <c r="BB66" s="70"/>
      <c r="BC66" s="71"/>
      <c r="BD66" s="72"/>
      <c r="BE66" s="73"/>
      <c r="BF66" s="64"/>
      <c r="BG66" s="69"/>
      <c r="BH66" s="65"/>
      <c r="BI66" s="66"/>
      <c r="BJ66" s="71"/>
      <c r="BK66" s="72"/>
      <c r="BL66" s="74"/>
      <c r="BN66" s="5" t="str">
        <f t="shared" si="23"/>
        <v>1</v>
      </c>
      <c r="BP66" s="5"/>
    </row>
    <row r="67" ht="37.5" customHeight="1">
      <c r="A67" s="45"/>
      <c r="B67" s="46">
        <f>IFERROR(__xludf.DUMMYFUNCTION("""COMPUTED_VALUE"""),65.0)</f>
        <v>65</v>
      </c>
      <c r="C67" s="47" t="str">
        <f>IFERROR(__xludf.DUMMYFUNCTION("""COMPUTED_VALUE"""),"Gestión de la información y generación del conocimiento")</f>
        <v>Gestión de la información y generación del conocimiento</v>
      </c>
      <c r="D67" s="48" t="str">
        <f>IFERROR(__xludf.DUMMYFUNCTION("""COMPUTED_VALUE"""),"Oficina de Generación del Conocimiento y la Información")</f>
        <v>Oficina de Generación del Conocimiento y la Información</v>
      </c>
      <c r="E67"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67" s="49">
        <f>IFERROR(__xludf.DUMMYFUNCTION("""COMPUTED_VALUE"""),2.019011000277E12)</f>
        <v>2019011000277</v>
      </c>
      <c r="G67" s="50" t="str">
        <f>IFERROR(__xludf.DUMMYFUNCTION("""COMPUTED_VALUE"""),"Investigación")</f>
        <v>Investigación</v>
      </c>
      <c r="H67" s="48" t="str">
        <f>IFERROR(__xludf.DUMMYFUNCTION("""COMPUTED_VALUE"""),"Fortalecer la generación de insumos de planificación pesquera y de la acuicultura")</f>
        <v>Fortalecer la generación de insumos de planificación pesquera y de la acuicultura</v>
      </c>
      <c r="I67" s="48" t="str">
        <f>IFERROR(__xludf.DUMMYFUNCTION("""COMPUTED_VALUE"""),"Servicio de análisis de Información para la planificación pesquera y de la acuicultura")</f>
        <v>Servicio de análisis de Información para la planificación pesquera y de la acuicultura</v>
      </c>
      <c r="J67" s="48" t="str">
        <f>IFERROR(__xludf.DUMMYFUNCTION("""COMPUTED_VALUE"""),"Recolectar información de la cadena productiva, relacionada con los procesos de comercialización y mercadeo")</f>
        <v>Recolectar información de la cadena productiva, relacionada con los procesos de comercialización y mercadeo</v>
      </c>
      <c r="K67" s="51" t="str">
        <f>IFERROR(__xludf.DUMMYFUNCTION("""COMPUTED_VALUE"""),"Producto")</f>
        <v>Producto</v>
      </c>
      <c r="L67" s="51" t="str">
        <f>IFERROR(__xludf.DUMMYFUNCTION("""COMPUTED_VALUE"""),"Eficacia")</f>
        <v>Eficacia</v>
      </c>
      <c r="M67" s="51" t="str">
        <f>IFERROR(__xludf.DUMMYFUNCTION("""COMPUTED_VALUE"""),"Número")</f>
        <v>Número</v>
      </c>
      <c r="N67" s="52" t="str">
        <f>IFERROR(__xludf.DUMMYFUNCTION("""COMPUTED_VALUE"""),"Análisis generados")</f>
        <v>Análisis generados</v>
      </c>
      <c r="O67" s="53">
        <f>IFERROR(__xludf.DUMMYFUNCTION("""COMPUTED_VALUE"""),2.0)</f>
        <v>2</v>
      </c>
      <c r="P67" s="78">
        <f>IFERROR(__xludf.DUMMYFUNCTION("""COMPUTED_VALUE"""),2.0)</f>
        <v>2</v>
      </c>
      <c r="Q67" s="79" t="str">
        <f>IFERROR(__xludf.DUMMYFUNCTION("""COMPUTED_VALUE"""),"Elaborar análisis con el uso de herramienta tecnológica ó cartografia, para la recolección, caracterización, almacenamiento, o interpretación de datos e información de recursos pesqueros y  acuicolas, que contribuya a procesos de planificación de estas ac"&amp;"tividades.")</f>
        <v>Elaborar análisis con el uso de herramienta tecnológica ó cartografia, para la recolección, caracterización, almacenamiento, o interpretación de datos e información de recursos pesqueros y  acuicolas, que contribuya a procesos de planificación de estas actividades.</v>
      </c>
      <c r="R67" s="79" t="str">
        <f>IFERROR(__xludf.DUMMYFUNCTION("""COMPUTED_VALUE"""),"Anual")</f>
        <v>Anual</v>
      </c>
      <c r="S67" s="78">
        <f>IFERROR(__xludf.DUMMYFUNCTION("""COMPUTED_VALUE"""),0.0)</f>
        <v>0</v>
      </c>
      <c r="T67" s="78">
        <f>IFERROR(__xludf.DUMMYFUNCTION("""COMPUTED_VALUE"""),0.0)</f>
        <v>0</v>
      </c>
      <c r="U67" s="78">
        <f>IFERROR(__xludf.DUMMYFUNCTION("""COMPUTED_VALUE"""),0.0)</f>
        <v>0</v>
      </c>
      <c r="V67" s="78">
        <f>IFERROR(__xludf.DUMMYFUNCTION("""COMPUTED_VALUE"""),2.0)</f>
        <v>2</v>
      </c>
      <c r="W67" s="56" t="str">
        <f>IFERROR(__xludf.DUMMYFUNCTION("""COMPUTED_VALUE"""),"Oficina de Generación del Conocimiento y la Información")</f>
        <v>Oficina de Generación del Conocimiento y la Información</v>
      </c>
      <c r="X67" s="57" t="str">
        <f>IFERROR(__xludf.DUMMYFUNCTION("""COMPUTED_VALUE"""),"Maria Angarita Peñaranda")</f>
        <v>Maria Angarita Peñaranda</v>
      </c>
      <c r="Y67" s="47" t="str">
        <f>IFERROR(__xludf.DUMMYFUNCTION("""COMPUTED_VALUE"""),"Jefe Oficina")</f>
        <v>Jefe Oficina</v>
      </c>
      <c r="Z67" s="57" t="str">
        <f>IFERROR(__xludf.DUMMYFUNCTION("""COMPUTED_VALUE"""),"maria.angarita@aunap.gov.co")</f>
        <v>maria.angarita@aunap.gov.co</v>
      </c>
      <c r="AA67" s="47" t="str">
        <f>IFERROR(__xludf.DUMMYFUNCTION("""COMPUTED_VALUE"""),"Humanos, fisicos, financieros y tecnologicos")</f>
        <v>Humanos, fisicos, financieros y tecnologicos</v>
      </c>
      <c r="AB67" s="47" t="str">
        <f>IFERROR(__xludf.DUMMYFUNCTION("""COMPUTED_VALUE"""),"No asociado")</f>
        <v>No asociado</v>
      </c>
      <c r="AC67"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67" s="47" t="str">
        <f>IFERROR(__xludf.DUMMYFUNCTION("""COMPUTED_VALUE"""),"Gestión del conocimiento")</f>
        <v>Gestión del conocimiento</v>
      </c>
      <c r="AE67" s="47" t="str">
        <f>IFERROR(__xludf.DUMMYFUNCTION("""COMPUTED_VALUE"""),"Gestión del Conocimiento y la Innovación")</f>
        <v>Gestión del Conocimiento y la Innovación</v>
      </c>
      <c r="AF67" s="47" t="str">
        <f>IFERROR(__xludf.DUMMYFUNCTION("""COMPUTED_VALUE"""),"12. Producción y consumo responsable")</f>
        <v>12. Producción y consumo responsable</v>
      </c>
      <c r="AG67" s="58">
        <f>IFERROR(__xludf.DUMMYFUNCTION("""COMPUTED_VALUE"""),2.0)</f>
        <v>2</v>
      </c>
      <c r="AH67" s="59" t="str">
        <f>IFERROR(__xludf.DUMMYFUNCTION("""COMPUTED_VALUE"""),"Se adjuntan dos (2) análisis con el uso de herramienta tecnológica ó cartografia, para la recolección, caracterización, almacenamiento, o interpretación de datos e información de recursos pesqueros y  acuicolas, que contribuya a procesos de planificación "&amp;"de estas actividades.")</f>
        <v>Se adjuntan dos (2) análisis con el uso de herramienta tecnológica ó cartografia, para la recolección, caracterización, almacenamiento, o interpretación de datos e información de recursos pesqueros y  acuicolas, que contribuya a procesos de planificación de estas actividades.</v>
      </c>
      <c r="AI67" s="77" t="str">
        <f>IFERROR(__xludf.DUMMYFUNCTION("""COMPUTED_VALUE"""),"https://drive.google.com/drive/folders/1-zhOXKNuDw6dseUI9V2HCSPtmnrbyVfE?usp=sharing")</f>
        <v>https://drive.google.com/drive/folders/1-zhOXKNuDw6dseUI9V2HCSPtmnrbyVfE?usp=sharing</v>
      </c>
      <c r="AJ67" s="59">
        <f>IFERROR(__xludf.DUMMYFUNCTION("""COMPUTED_VALUE"""),2.0)</f>
        <v>2</v>
      </c>
      <c r="AK67" s="59" t="str">
        <f>IFERROR(__xludf.DUMMYFUNCTION("""COMPUTED_VALUE"""),"Se cumplio con la meta contemplada para esta accion")</f>
        <v>Se cumplio con la meta contemplada para esta accion</v>
      </c>
      <c r="AL67" s="59">
        <f>IFERROR(__xludf.DUMMYFUNCTION("""COMPUTED_VALUE"""),44582.0)</f>
        <v>44582</v>
      </c>
      <c r="AM67" s="60"/>
      <c r="AN67" s="61" t="str">
        <f>IFERROR(IF((AO67+1)&lt;2,Alertas!$B$2&amp;TEXT(AO67,"0%")&amp;Alertas!$D$2, IF((AO67+1)=2,Alertas!$B$3,IF((AO67+1)&gt;2,Alertas!$B$4&amp;TEXT(AO67,"0%")&amp;Alertas!$D$4,AO67+1))),"Sin meta para el segundo trimestre")</f>
        <v>La ejecución de la meta registrada se encuentra por encima de la meta programada en la formulación del plan de acción para el segundo trimestre, su porcentaje de cumplimiento es 300%,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67" s="62">
        <f t="shared" si="2"/>
        <v>3</v>
      </c>
      <c r="AP67" s="61" t="str">
        <f t="shared" si="3"/>
        <v>La ejecución de la meta registrada se encuentra por encima de la meta programada en la formulación del plan de acción para el segundo trimestre, su porcentaje de cumplimiento es 300%,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67" s="63"/>
      <c r="AR67" s="64"/>
      <c r="AS67" s="65"/>
      <c r="AT67" s="65"/>
      <c r="AU67" s="66"/>
      <c r="AV67" s="67"/>
      <c r="AW67" s="68"/>
      <c r="AX67" s="63"/>
      <c r="AY67" s="64"/>
      <c r="AZ67" s="69"/>
      <c r="BA67" s="65"/>
      <c r="BB67" s="70"/>
      <c r="BC67" s="71"/>
      <c r="BD67" s="72"/>
      <c r="BE67" s="73"/>
      <c r="BF67" s="64"/>
      <c r="BG67" s="69"/>
      <c r="BH67" s="65"/>
      <c r="BI67" s="66"/>
      <c r="BJ67" s="71"/>
      <c r="BK67" s="72"/>
      <c r="BL67" s="74"/>
      <c r="BN67" s="5" t="str">
        <f t="shared" si="23"/>
        <v>1</v>
      </c>
      <c r="BP67" s="5"/>
    </row>
    <row r="68" ht="37.5" customHeight="1">
      <c r="A68" s="45"/>
      <c r="B68" s="46">
        <f>IFERROR(__xludf.DUMMYFUNCTION("""COMPUTED_VALUE"""),66.0)</f>
        <v>66</v>
      </c>
      <c r="C68" s="47" t="str">
        <f>IFERROR(__xludf.DUMMYFUNCTION("""COMPUTED_VALUE"""),"Gestión de la información y generación del conocimiento")</f>
        <v>Gestión de la información y generación del conocimiento</v>
      </c>
      <c r="D68" s="48" t="str">
        <f>IFERROR(__xludf.DUMMYFUNCTION("""COMPUTED_VALUE"""),"Oficina de Generación del Conocimiento y la Información")</f>
        <v>Oficina de Generación del Conocimiento y la Información</v>
      </c>
      <c r="E68"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68" s="49">
        <f>IFERROR(__xludf.DUMMYFUNCTION("""COMPUTED_VALUE"""),2.019011000277E12)</f>
        <v>2019011000277</v>
      </c>
      <c r="G68" s="50" t="str">
        <f>IFERROR(__xludf.DUMMYFUNCTION("""COMPUTED_VALUE"""),"Investigación")</f>
        <v>Investigación</v>
      </c>
      <c r="H68" s="48" t="str">
        <f>IFERROR(__xludf.DUMMYFUNCTION("""COMPUTED_VALUE"""),"Fortalecer la generación de insumos de planificación pesquera y de la acuicultura")</f>
        <v>Fortalecer la generación de insumos de planificación pesquera y de la acuicultura</v>
      </c>
      <c r="I68" s="48" t="str">
        <f>IFERROR(__xludf.DUMMYFUNCTION("""COMPUTED_VALUE"""),"Servicio de análisis de Información para la planificación pesquera y de la acuicultura")</f>
        <v>Servicio de análisis de Información para la planificación pesquera y de la acuicultura</v>
      </c>
      <c r="J68" s="48" t="str">
        <f>IFERROR(__xludf.DUMMYFUNCTION("""COMPUTED_VALUE"""),"Analizar y procesar la información geográfica de la pesca y de la acuicultura")</f>
        <v>Analizar y procesar la información geográfica de la pesca y de la acuicultura</v>
      </c>
      <c r="K68" s="51" t="str">
        <f>IFERROR(__xludf.DUMMYFUNCTION("""COMPUTED_VALUE"""),"Producto")</f>
        <v>Producto</v>
      </c>
      <c r="L68" s="51" t="str">
        <f>IFERROR(__xludf.DUMMYFUNCTION("""COMPUTED_VALUE"""),"Eficacia")</f>
        <v>Eficacia</v>
      </c>
      <c r="M68" s="51" t="str">
        <f>IFERROR(__xludf.DUMMYFUNCTION("""COMPUTED_VALUE"""),"Número")</f>
        <v>Número</v>
      </c>
      <c r="N68" s="52" t="str">
        <f>IFERROR(__xludf.DUMMYFUNCTION("""COMPUTED_VALUE"""),"Análisis generados")</f>
        <v>Análisis generados</v>
      </c>
      <c r="O68" s="53">
        <f>IFERROR(__xludf.DUMMYFUNCTION("""COMPUTED_VALUE"""),2.0)</f>
        <v>2</v>
      </c>
      <c r="P68" s="54">
        <f>IFERROR(__xludf.DUMMYFUNCTION("""COMPUTED_VALUE"""),2.0)</f>
        <v>2</v>
      </c>
      <c r="Q68" s="55" t="str">
        <f>IFERROR(__xludf.DUMMYFUNCTION("""COMPUTED_VALUE"""),"Elaborar análisis con el uso de herramienta tecnológica ó cartografia, para la recolección, caracterización, almacenamiento, o interpretación de datos e información de recursos pesqueros y  acuicolas, que contribuya a procesos de planificación de estas ac"&amp;"tividades.")</f>
        <v>Elaborar análisis con el uso de herramienta tecnológica ó cartografia, para la recolección, caracterización, almacenamiento, o interpretación de datos e información de recursos pesqueros y  acuicolas, que contribuya a procesos de planificación de estas actividades.</v>
      </c>
      <c r="R68" s="14" t="str">
        <f>IFERROR(__xludf.DUMMYFUNCTION("""COMPUTED_VALUE"""),"Anual")</f>
        <v>Anual</v>
      </c>
      <c r="S68" s="54">
        <f>IFERROR(__xludf.DUMMYFUNCTION("""COMPUTED_VALUE"""),0.0)</f>
        <v>0</v>
      </c>
      <c r="T68" s="54">
        <f>IFERROR(__xludf.DUMMYFUNCTION("""COMPUTED_VALUE"""),0.0)</f>
        <v>0</v>
      </c>
      <c r="U68" s="54">
        <f>IFERROR(__xludf.DUMMYFUNCTION("""COMPUTED_VALUE"""),0.0)</f>
        <v>0</v>
      </c>
      <c r="V68" s="54">
        <f>IFERROR(__xludf.DUMMYFUNCTION("""COMPUTED_VALUE"""),2.0)</f>
        <v>2</v>
      </c>
      <c r="W68" s="56" t="str">
        <f>IFERROR(__xludf.DUMMYFUNCTION("""COMPUTED_VALUE"""),"Oficina de Generación del Conocimiento y la Información")</f>
        <v>Oficina de Generación del Conocimiento y la Información</v>
      </c>
      <c r="X68" s="57" t="str">
        <f>IFERROR(__xludf.DUMMYFUNCTION("""COMPUTED_VALUE"""),"Maria Angarita Peñaranda")</f>
        <v>Maria Angarita Peñaranda</v>
      </c>
      <c r="Y68" s="47" t="str">
        <f>IFERROR(__xludf.DUMMYFUNCTION("""COMPUTED_VALUE"""),"Jefe Oficina")</f>
        <v>Jefe Oficina</v>
      </c>
      <c r="Z68" s="57" t="str">
        <f>IFERROR(__xludf.DUMMYFUNCTION("""COMPUTED_VALUE"""),"maria.angarita@aunap.gov.co")</f>
        <v>maria.angarita@aunap.gov.co</v>
      </c>
      <c r="AA68" s="47" t="str">
        <f>IFERROR(__xludf.DUMMYFUNCTION("""COMPUTED_VALUE"""),"Humanos, fisicos, financieros y tecnologicos")</f>
        <v>Humanos, fisicos, financieros y tecnologicos</v>
      </c>
      <c r="AB68" s="47" t="str">
        <f>IFERROR(__xludf.DUMMYFUNCTION("""COMPUTED_VALUE"""),"No asociado")</f>
        <v>No asociado</v>
      </c>
      <c r="AC68"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68" s="47" t="str">
        <f>IFERROR(__xludf.DUMMYFUNCTION("""COMPUTED_VALUE"""),"Gestión del conocimiento")</f>
        <v>Gestión del conocimiento</v>
      </c>
      <c r="AE68" s="47" t="str">
        <f>IFERROR(__xludf.DUMMYFUNCTION("""COMPUTED_VALUE"""),"Gestión del Conocimiento y la Innovación")</f>
        <v>Gestión del Conocimiento y la Innovación</v>
      </c>
      <c r="AF68" s="47" t="str">
        <f>IFERROR(__xludf.DUMMYFUNCTION("""COMPUTED_VALUE"""),"12. Producción y consumo responsable")</f>
        <v>12. Producción y consumo responsable</v>
      </c>
      <c r="AG68" s="58">
        <f>IFERROR(__xludf.DUMMYFUNCTION("""COMPUTED_VALUE"""),2.0)</f>
        <v>2</v>
      </c>
      <c r="AH68" s="59" t="str">
        <f>IFERROR(__xludf.DUMMYFUNCTION("""COMPUTED_VALUE"""),"Se adjuntan dos (2) análisis con el uso de herramienta tecnológica ó cartografia, para la recolección, caracterización, almacenamiento, o interpretación de datos e información de recursos pesqueros y  acuicolas, que contribuya a procesos de planificación "&amp;"de estas actividades.")</f>
        <v>Se adjuntan dos (2) análisis con el uso de herramienta tecnológica ó cartografia, para la recolección, caracterización, almacenamiento, o interpretación de datos e información de recursos pesqueros y  acuicolas, que contribuya a procesos de planificación de estas actividades.</v>
      </c>
      <c r="AI68" s="77" t="str">
        <f>IFERROR(__xludf.DUMMYFUNCTION("""COMPUTED_VALUE"""),"https://drive.google.com/drive/folders/1FQLfQmG5HjPFYcarz8_A0BpgjIICE8So?usp=sharing")</f>
        <v>https://drive.google.com/drive/folders/1FQLfQmG5HjPFYcarz8_A0BpgjIICE8So?usp=sharing</v>
      </c>
      <c r="AJ68" s="59">
        <f>IFERROR(__xludf.DUMMYFUNCTION("""COMPUTED_VALUE"""),2.0)</f>
        <v>2</v>
      </c>
      <c r="AK68" s="59" t="str">
        <f>IFERROR(__xludf.DUMMYFUNCTION("""COMPUTED_VALUE"""),"Se cumplio con la meta contemplada para esta accion")</f>
        <v>Se cumplio con la meta contemplada para esta accion</v>
      </c>
      <c r="AL68" s="59">
        <f>IFERROR(__xludf.DUMMYFUNCTION("""COMPUTED_VALUE"""),44582.0)</f>
        <v>44582</v>
      </c>
      <c r="AM68" s="60"/>
      <c r="AN68" s="61" t="str">
        <f>IFERROR(IF((AO68+1)&lt;2,Alertas!$B$2&amp;TEXT(AO68,"0%")&amp;Alertas!$D$2, IF((AO68+1)=2,Alertas!$B$3,IF((AO68+1)&gt;2,Alertas!$B$4&amp;TEXT(AO68,"0%")&amp;Alertas!$D$4,AO68+1))),"Sin meta para el segundo trimestre")</f>
        <v>La ejecución de la meta registrada se encuentra por encima de la meta programada en la formulación del plan de acción para el segundo trimestre, su porcentaje de cumplimiento es 300%,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68" s="62">
        <f t="shared" si="2"/>
        <v>3</v>
      </c>
      <c r="AP68" s="61" t="str">
        <f t="shared" si="3"/>
        <v>La ejecución de la meta registrada se encuentra por encima de la meta programada en la formulación del plan de acción para el segundo trimestre, su porcentaje de cumplimiento es 300%,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68" s="63"/>
      <c r="AR68" s="64"/>
      <c r="AS68" s="65"/>
      <c r="AT68" s="65"/>
      <c r="AU68" s="66"/>
      <c r="AV68" s="67"/>
      <c r="AW68" s="68"/>
      <c r="AX68" s="63"/>
      <c r="AY68" s="64"/>
      <c r="AZ68" s="69"/>
      <c r="BA68" s="65"/>
      <c r="BB68" s="70"/>
      <c r="BC68" s="71"/>
      <c r="BD68" s="72"/>
      <c r="BE68" s="73"/>
      <c r="BF68" s="64"/>
      <c r="BG68" s="69"/>
      <c r="BH68" s="65"/>
      <c r="BI68" s="66"/>
      <c r="BJ68" s="71"/>
      <c r="BK68" s="72"/>
      <c r="BL68" s="74"/>
      <c r="BN68" s="5" t="str">
        <f t="shared" si="23"/>
        <v>1</v>
      </c>
      <c r="BP68" s="5"/>
    </row>
    <row r="69" ht="37.5" customHeight="1">
      <c r="A69" s="45"/>
      <c r="B69" s="46">
        <f>IFERROR(__xludf.DUMMYFUNCTION("""COMPUTED_VALUE"""),67.0)</f>
        <v>67</v>
      </c>
      <c r="C69" s="47" t="str">
        <f>IFERROR(__xludf.DUMMYFUNCTION("""COMPUTED_VALUE"""),"Gestión de la información y generación del conocimiento")</f>
        <v>Gestión de la información y generación del conocimiento</v>
      </c>
      <c r="D69" s="48" t="str">
        <f>IFERROR(__xludf.DUMMYFUNCTION("""COMPUTED_VALUE"""),"Oficina de Generación del Conocimiento y la Información")</f>
        <v>Oficina de Generación del Conocimiento y la Información</v>
      </c>
      <c r="E69"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69" s="49">
        <f>IFERROR(__xludf.DUMMYFUNCTION("""COMPUTED_VALUE"""),2.019011000277E12)</f>
        <v>2019011000277</v>
      </c>
      <c r="G69" s="50" t="str">
        <f>IFERROR(__xludf.DUMMYFUNCTION("""COMPUTED_VALUE"""),"Investigación")</f>
        <v>Investigación</v>
      </c>
      <c r="H69" s="48" t="str">
        <f>IFERROR(__xludf.DUMMYFUNCTION("""COMPUTED_VALUE"""),"Incrementar el conocimiento científico y técnico del estado de los recursos pesqueros y de la actividad pesquera")</f>
        <v>Incrementar el conocimiento científico y técnico del estado de los recursos pesqueros y de la actividad pesquera</v>
      </c>
      <c r="I69" s="48" t="str">
        <f>IFERROR(__xludf.DUMMYFUNCTION("""COMPUTED_VALUE"""),"Documentos de investigación")</f>
        <v>Documentos de investigación</v>
      </c>
      <c r="J69" s="48" t="str">
        <f>IFERROR(__xludf.DUMMYFUNCTION("""COMPUTED_VALUE"""),"Evaluar el estado de aprovechamiento de los recursos pesqueros marinos, continentales y ornamentales en las cuencas hidrográficas del país")</f>
        <v>Evaluar el estado de aprovechamiento de los recursos pesqueros marinos, continentales y ornamentales en las cuencas hidrográficas del país</v>
      </c>
      <c r="K69" s="51" t="str">
        <f>IFERROR(__xludf.DUMMYFUNCTION("""COMPUTED_VALUE"""),"Gestión del área")</f>
        <v>Gestión del área</v>
      </c>
      <c r="L69" s="51" t="str">
        <f>IFERROR(__xludf.DUMMYFUNCTION("""COMPUTED_VALUE"""),"Eficacia")</f>
        <v>Eficacia</v>
      </c>
      <c r="M69" s="51" t="str">
        <f>IFERROR(__xludf.DUMMYFUNCTION("""COMPUTED_VALUE"""),"Número")</f>
        <v>Número</v>
      </c>
      <c r="N69" s="52" t="str">
        <f>IFERROR(__xludf.DUMMYFUNCTION("""COMPUTED_VALUE"""),"Eventos de divulgación de resultados")</f>
        <v>Eventos de divulgación de resultados</v>
      </c>
      <c r="O69" s="53">
        <f>IFERROR(__xludf.DUMMYFUNCTION("""COMPUTED_VALUE"""),4.0)</f>
        <v>4</v>
      </c>
      <c r="P69" s="54">
        <f>IFERROR(__xludf.DUMMYFUNCTION("""COMPUTED_VALUE"""),4.0)</f>
        <v>4</v>
      </c>
      <c r="Q69" s="55" t="str">
        <f>IFERROR(__xludf.DUMMYFUNCTION("""COMPUTED_VALUE"""),"Realización de conferencias o conversatorios para la divulgacion de resultados de investigaciones en pesca,  para personal interno de la AUNAP ó para publico externo de la AUNAP")</f>
        <v>Realización de conferencias o conversatorios para la divulgacion de resultados de investigaciones en pesca,  para personal interno de la AUNAP ó para publico externo de la AUNAP</v>
      </c>
      <c r="R69" s="14" t="str">
        <f>IFERROR(__xludf.DUMMYFUNCTION("""COMPUTED_VALUE"""),"Trimestral")</f>
        <v>Trimestral</v>
      </c>
      <c r="S69" s="54">
        <f>IFERROR(__xludf.DUMMYFUNCTION("""COMPUTED_VALUE"""),0.0)</f>
        <v>0</v>
      </c>
      <c r="T69" s="54">
        <f>IFERROR(__xludf.DUMMYFUNCTION("""COMPUTED_VALUE"""),1.0)</f>
        <v>1</v>
      </c>
      <c r="U69" s="54">
        <f>IFERROR(__xludf.DUMMYFUNCTION("""COMPUTED_VALUE"""),2.0)</f>
        <v>2</v>
      </c>
      <c r="V69" s="54">
        <f>IFERROR(__xludf.DUMMYFUNCTION("""COMPUTED_VALUE"""),1.0)</f>
        <v>1</v>
      </c>
      <c r="W69" s="56" t="str">
        <f>IFERROR(__xludf.DUMMYFUNCTION("""COMPUTED_VALUE"""),"Oficina de Generación del Conocimiento y la Información")</f>
        <v>Oficina de Generación del Conocimiento y la Información</v>
      </c>
      <c r="X69" s="57" t="str">
        <f>IFERROR(__xludf.DUMMYFUNCTION("""COMPUTED_VALUE"""),"Maria Angarita Peñaranda")</f>
        <v>Maria Angarita Peñaranda</v>
      </c>
      <c r="Y69" s="47" t="str">
        <f>IFERROR(__xludf.DUMMYFUNCTION("""COMPUTED_VALUE"""),"Jefe Oficina")</f>
        <v>Jefe Oficina</v>
      </c>
      <c r="Z69" s="57" t="str">
        <f>IFERROR(__xludf.DUMMYFUNCTION("""COMPUTED_VALUE"""),"maria.angarita@aunap.gov.co")</f>
        <v>maria.angarita@aunap.gov.co</v>
      </c>
      <c r="AA69" s="47" t="str">
        <f>IFERROR(__xludf.DUMMYFUNCTION("""COMPUTED_VALUE"""),"Humanos, fisicos, financieros y tecnologicos")</f>
        <v>Humanos, fisicos, financieros y tecnologicos</v>
      </c>
      <c r="AB69" s="47" t="str">
        <f>IFERROR(__xludf.DUMMYFUNCTION("""COMPUTED_VALUE"""),"No asociado")</f>
        <v>No asociado</v>
      </c>
      <c r="AC69"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69" s="47" t="str">
        <f>IFERROR(__xludf.DUMMYFUNCTION("""COMPUTED_VALUE"""),"Gestión del conocimiento")</f>
        <v>Gestión del conocimiento</v>
      </c>
      <c r="AE69" s="47" t="str">
        <f>IFERROR(__xludf.DUMMYFUNCTION("""COMPUTED_VALUE"""),"Gestión del Conocimiento y la Innovación")</f>
        <v>Gestión del Conocimiento y la Innovación</v>
      </c>
      <c r="AF69" s="47" t="str">
        <f>IFERROR(__xludf.DUMMYFUNCTION("""COMPUTED_VALUE"""),"12. Producción y consumo responsable")</f>
        <v>12. Producción y consumo responsable</v>
      </c>
      <c r="AG69" s="58">
        <f>IFERROR(__xludf.DUMMYFUNCTION("""COMPUTED_VALUE"""),1.0)</f>
        <v>1</v>
      </c>
      <c r="AH69" s="59" t="str">
        <f>IFERROR(__xludf.DUMMYFUNCTION("""COMPUTED_VALUE"""),"Se realizo conferencia para la divulgación y socialización del Convenio especial de cooperación para el desarrollo de actividades científicas y tecnologías No. 210 del 2021 AUNAP – Fundacion SQUALUS, que tenia como como objetivo ""Evaluar diferentes aspec"&amp;"tos de los tiburones y rayas en la pesca artesanal del océano pacifico colombiano""")</f>
        <v>Se realizo conferencia para la divulgación y socialización del Convenio especial de cooperación para el desarrollo de actividades científicas y tecnologías No. 210 del 2021 AUNAP – Fundacion SQUALUS, que tenia como como objetivo "Evaluar diferentes aspectos de los tiburones y rayas en la pesca artesanal del océano pacifico colombiano"</v>
      </c>
      <c r="AI69" s="77" t="str">
        <f>IFERROR(__xludf.DUMMYFUNCTION("""COMPUTED_VALUE"""),"https://drive.google.com/file/d/1jwQOod65IghpVlgwnImGog-fD8HgC4Se/view?usp=sharing")</f>
        <v>https://drive.google.com/file/d/1jwQOod65IghpVlgwnImGog-fD8HgC4Se/view?usp=sharing</v>
      </c>
      <c r="AJ69" s="59">
        <f>IFERROR(__xludf.DUMMYFUNCTION("""COMPUTED_VALUE"""),4.0)</f>
        <v>4</v>
      </c>
      <c r="AK69" s="59" t="str">
        <f>IFERROR(__xludf.DUMMYFUNCTION("""COMPUTED_VALUE"""),"Se cumplio con la meta propuesta para esta accion")</f>
        <v>Se cumplio con la meta propuesta para esta accion</v>
      </c>
      <c r="AL69" s="59">
        <f>IFERROR(__xludf.DUMMYFUNCTION("""COMPUTED_VALUE"""),44582.0)</f>
        <v>44582</v>
      </c>
      <c r="AM69" s="60"/>
      <c r="AN69" s="61" t="str">
        <f>IFERROR(IF((AO69+1)&lt;2,Alertas!$B$2&amp;TEXT(AO69,"0%")&amp;Alertas!$D$2, IF((AO69+1)=2,Alertas!$B$3,IF((AO69+1)&gt;2,Alertas!$B$4&amp;TEXT(AO69,"0%")&amp;Alertas!$D$4,AO69+1))),"Sin meta para el segundo trimestre")</f>
        <v>La ejecución de la meta registrada se encuentra acorde a la meta programada en la formulación del plan de acción para el segundo trimestre</v>
      </c>
      <c r="AO69" s="62">
        <f t="shared" si="2"/>
        <v>1</v>
      </c>
      <c r="AP69" s="61" t="str">
        <f t="shared" si="3"/>
        <v>La ejecución de la meta registrada se encuentra acorde a la meta programada en la formulación del plan de acción para el segundo trimestre.</v>
      </c>
      <c r="AQ69" s="63"/>
      <c r="AR69" s="64"/>
      <c r="AS69" s="65"/>
      <c r="AT69" s="65"/>
      <c r="AU69" s="66"/>
      <c r="AV69" s="67"/>
      <c r="AW69" s="68"/>
      <c r="AX69" s="63"/>
      <c r="AY69" s="64"/>
      <c r="AZ69" s="69"/>
      <c r="BA69" s="65"/>
      <c r="BB69" s="70"/>
      <c r="BC69" s="71"/>
      <c r="BD69" s="72"/>
      <c r="BE69" s="73"/>
      <c r="BF69" s="64"/>
      <c r="BG69" s="69"/>
      <c r="BH69" s="65"/>
      <c r="BI69" s="66"/>
      <c r="BJ69" s="71"/>
      <c r="BK69" s="72"/>
      <c r="BL69" s="74"/>
      <c r="BN69" s="5" t="str">
        <f t="shared" si="23"/>
        <v>0</v>
      </c>
      <c r="BP69" s="5"/>
    </row>
    <row r="70" ht="37.5" customHeight="1">
      <c r="A70" s="45"/>
      <c r="B70" s="46">
        <f>IFERROR(__xludf.DUMMYFUNCTION("""COMPUTED_VALUE"""),68.0)</f>
        <v>68</v>
      </c>
      <c r="C70" s="47" t="str">
        <f>IFERROR(__xludf.DUMMYFUNCTION("""COMPUTED_VALUE"""),"Gestión de la información y generación del conocimiento")</f>
        <v>Gestión de la información y generación del conocimiento</v>
      </c>
      <c r="D70" s="48" t="str">
        <f>IFERROR(__xludf.DUMMYFUNCTION("""COMPUTED_VALUE"""),"Oficina de Generación del Conocimiento y la Información")</f>
        <v>Oficina de Generación del Conocimiento y la Información</v>
      </c>
      <c r="E70"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70" s="49">
        <f>IFERROR(__xludf.DUMMYFUNCTION("""COMPUTED_VALUE"""),2.019011000277E12)</f>
        <v>2019011000277</v>
      </c>
      <c r="G70" s="50" t="str">
        <f>IFERROR(__xludf.DUMMYFUNCTION("""COMPUTED_VALUE"""),"Investigación")</f>
        <v>Investigación</v>
      </c>
      <c r="H70" s="48" t="str">
        <f>IFERROR(__xludf.DUMMYFUNCTION("""COMPUTED_VALUE"""),"Aumentar el desarrollo de la acuicultura asociado a la optimización de los procesos productivos.")</f>
        <v>Aumentar el desarrollo de la acuicultura asociado a la optimización de los procesos productivos.</v>
      </c>
      <c r="I70" s="48" t="str">
        <f>IFERROR(__xludf.DUMMYFUNCTION("""COMPUTED_VALUE"""),"Documentos de lineamientos técnicos")</f>
        <v>Documentos de lineamientos técnicos</v>
      </c>
      <c r="J70" s="48" t="str">
        <f>IFERROR(__xludf.DUMMYFUNCTION("""COMPUTED_VALUE"""),"Determinar las condiciones de bioecología, aclimatación, nutrición y alimentación, reproducción, larvicultura, alevinaje, engorde, patología, etc. en especies nativas y domesticadas de consumo y ornamentales, marinas y continentales")</f>
        <v>Determinar las condiciones de bioecología, aclimatación, nutrición y alimentación, reproducción, larvicultura, alevinaje, engorde, patología, etc. en especies nativas y domesticadas de consumo y ornamentales, marinas y continentales</v>
      </c>
      <c r="K70" s="51" t="str">
        <f>IFERROR(__xludf.DUMMYFUNCTION("""COMPUTED_VALUE"""),"Gestión del área")</f>
        <v>Gestión del área</v>
      </c>
      <c r="L70" s="51" t="str">
        <f>IFERROR(__xludf.DUMMYFUNCTION("""COMPUTED_VALUE"""),"Eficacia")</f>
        <v>Eficacia</v>
      </c>
      <c r="M70" s="51" t="str">
        <f>IFERROR(__xludf.DUMMYFUNCTION("""COMPUTED_VALUE"""),"Número")</f>
        <v>Número</v>
      </c>
      <c r="N70" s="52" t="str">
        <f>IFERROR(__xludf.DUMMYFUNCTION("""COMPUTED_VALUE"""),"Eventos de divulgación de resultados")</f>
        <v>Eventos de divulgación de resultados</v>
      </c>
      <c r="O70" s="53">
        <f>IFERROR(__xludf.DUMMYFUNCTION("""COMPUTED_VALUE"""),4.0)</f>
        <v>4</v>
      </c>
      <c r="P70" s="54">
        <f>IFERROR(__xludf.DUMMYFUNCTION("""COMPUTED_VALUE"""),4.0)</f>
        <v>4</v>
      </c>
      <c r="Q70" s="55" t="str">
        <f>IFERROR(__xludf.DUMMYFUNCTION("""COMPUTED_VALUE"""),"Realización de conferencias o conversatorios para la divulgacion de resultados de investigaciones en acuicultura,  para personal interno de la AUNAP ó para publico externo de la AUNAP")</f>
        <v>Realización de conferencias o conversatorios para la divulgacion de resultados de investigaciones en acuicultura,  para personal interno de la AUNAP ó para publico externo de la AUNAP</v>
      </c>
      <c r="R70" s="14" t="str">
        <f>IFERROR(__xludf.DUMMYFUNCTION("""COMPUTED_VALUE"""),"Trimestral")</f>
        <v>Trimestral</v>
      </c>
      <c r="S70" s="54">
        <f>IFERROR(__xludf.DUMMYFUNCTION("""COMPUTED_VALUE"""),0.0)</f>
        <v>0</v>
      </c>
      <c r="T70" s="54">
        <f>IFERROR(__xludf.DUMMYFUNCTION("""COMPUTED_VALUE"""),1.0)</f>
        <v>1</v>
      </c>
      <c r="U70" s="54">
        <f>IFERROR(__xludf.DUMMYFUNCTION("""COMPUTED_VALUE"""),2.0)</f>
        <v>2</v>
      </c>
      <c r="V70" s="54">
        <f>IFERROR(__xludf.DUMMYFUNCTION("""COMPUTED_VALUE"""),1.0)</f>
        <v>1</v>
      </c>
      <c r="W70" s="56" t="str">
        <f>IFERROR(__xludf.DUMMYFUNCTION("""COMPUTED_VALUE"""),"Oficina de Generación del Conocimiento y la Información")</f>
        <v>Oficina de Generación del Conocimiento y la Información</v>
      </c>
      <c r="X70" s="57" t="str">
        <f>IFERROR(__xludf.DUMMYFUNCTION("""COMPUTED_VALUE"""),"Maria Angarita Peñaranda")</f>
        <v>Maria Angarita Peñaranda</v>
      </c>
      <c r="Y70" s="47" t="str">
        <f>IFERROR(__xludf.DUMMYFUNCTION("""COMPUTED_VALUE"""),"Jefe Oficina")</f>
        <v>Jefe Oficina</v>
      </c>
      <c r="Z70" s="57" t="str">
        <f>IFERROR(__xludf.DUMMYFUNCTION("""COMPUTED_VALUE"""),"maria.angarita@aunap.gov.co")</f>
        <v>maria.angarita@aunap.gov.co</v>
      </c>
      <c r="AA70" s="47" t="str">
        <f>IFERROR(__xludf.DUMMYFUNCTION("""COMPUTED_VALUE"""),"Humanos, fisicos, financieros y tecnologicos")</f>
        <v>Humanos, fisicos, financieros y tecnologicos</v>
      </c>
      <c r="AB70" s="47" t="str">
        <f>IFERROR(__xludf.DUMMYFUNCTION("""COMPUTED_VALUE"""),"No asociado")</f>
        <v>No asociado</v>
      </c>
      <c r="AC70"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70" s="47" t="str">
        <f>IFERROR(__xludf.DUMMYFUNCTION("""COMPUTED_VALUE"""),"Gestión del conocimiento")</f>
        <v>Gestión del conocimiento</v>
      </c>
      <c r="AE70" s="47" t="str">
        <f>IFERROR(__xludf.DUMMYFUNCTION("""COMPUTED_VALUE"""),"Gestión del Conocimiento y la Innovación")</f>
        <v>Gestión del Conocimiento y la Innovación</v>
      </c>
      <c r="AF70" s="47" t="str">
        <f>IFERROR(__xludf.DUMMYFUNCTION("""COMPUTED_VALUE"""),"12. Producción y consumo responsable")</f>
        <v>12. Producción y consumo responsable</v>
      </c>
      <c r="AG70" s="80">
        <f>IFERROR(__xludf.DUMMYFUNCTION("""COMPUTED_VALUE"""),1.0)</f>
        <v>1</v>
      </c>
      <c r="AH70" s="59" t="str">
        <f>IFERROR(__xludf.DUMMYFUNCTION("""COMPUTED_VALUE"""),"Se realizo conferencia para la divulgación de  resultados de los ensayos de reproducción y manejo de animales, 
dirigidas al sector productivo, sector público y academia, en marco al Convenio 288 de 2021, cuyo objeto principal era ""Fortalecimiento de la"&amp;" investigación en el cultivo de peces marinos en el Caribe colombiano mediante la implementación de nuevas técnicas de reproducción, levante y engorde de mero guasa Epinephelus itajara y seguimiento del estado de madurez sexual del pámpano Trachinotus sp,"&amp;" del pargo rojo Lutjanus sp y para el Pacífico colombiano mejorar la técnica de cultivo del pargo lunarejo Lutjanus guttatus y seguimiento de la madurez sexual del mero guasa del Pacifico Epinephelus quinquefasciatus"". ")</f>
        <v>Se realizo conferencia para la divulgación de  resultados de los ensayos de reproducción y manejo de animales, 
dirigidas al sector productivo, sector público y academia, en marco al Convenio 288 de 2021, cuyo objeto principal era "Fortalecimiento de la investigación en el cultivo de peces marinos en el Caribe colombiano mediante la implementación de nuevas técnicas de reproducción, levante y engorde de mero guasa Epinephelus itajara y seguimiento del estado de madurez sexual del pámpano Trachinotus sp, del pargo rojo Lutjanus sp y para el Pacífico colombiano mejorar la técnica de cultivo del pargo lunarejo Lutjanus guttatus y seguimiento de la madurez sexual del mero guasa del Pacifico Epinephelus quinquefasciatus". </v>
      </c>
      <c r="AI70" s="77" t="str">
        <f>IFERROR(__xludf.DUMMYFUNCTION("""COMPUTED_VALUE"""),"https://drive.google.com/file/d/1WKcqtEUpJAMWtt9ik-fzI1HFIbtwBVcV/view?usp=sharing")</f>
        <v>https://drive.google.com/file/d/1WKcqtEUpJAMWtt9ik-fzI1HFIbtwBVcV/view?usp=sharing</v>
      </c>
      <c r="AJ70" s="59">
        <f>IFERROR(__xludf.DUMMYFUNCTION("""COMPUTED_VALUE"""),4.0)</f>
        <v>4</v>
      </c>
      <c r="AK70" s="59" t="str">
        <f>IFERROR(__xludf.DUMMYFUNCTION("""COMPUTED_VALUE"""),"Se cumplio con la meta propuesta para esta accion")</f>
        <v>Se cumplio con la meta propuesta para esta accion</v>
      </c>
      <c r="AL70" s="59">
        <f>IFERROR(__xludf.DUMMYFUNCTION("""COMPUTED_VALUE"""),44582.0)</f>
        <v>44582</v>
      </c>
      <c r="AM70" s="60"/>
      <c r="AN70" s="61" t="str">
        <f>IFERROR(IF((AO70+1)&lt;2,Alertas!$B$2&amp;TEXT(AO70,"0%")&amp;Alertas!$D$2, IF((AO70+1)=2,Alertas!$B$3,IF((AO70+1)&gt;2,Alertas!$B$4&amp;TEXT(AO70,"0%")&amp;Alertas!$D$4,AO70+1))),"Sin meta para el segundo trimestre")</f>
        <v>La ejecución de la meta registrada se encuentra acorde a la meta programada en la formulación del plan de acción para el segundo trimestre</v>
      </c>
      <c r="AO70" s="62">
        <f t="shared" si="2"/>
        <v>1</v>
      </c>
      <c r="AP70" s="61" t="str">
        <f t="shared" si="3"/>
        <v>La ejecución de la meta registrada se encuentra acorde a la meta programada en la formulación del plan de acción para el segundo trimestre.</v>
      </c>
      <c r="AQ70" s="63"/>
      <c r="AR70" s="64"/>
      <c r="AS70" s="65"/>
      <c r="AT70" s="65"/>
      <c r="AU70" s="66"/>
      <c r="AV70" s="67"/>
      <c r="AW70" s="68"/>
      <c r="AX70" s="63"/>
      <c r="AY70" s="64"/>
      <c r="AZ70" s="69"/>
      <c r="BA70" s="65"/>
      <c r="BB70" s="70"/>
      <c r="BC70" s="71"/>
      <c r="BD70" s="72"/>
      <c r="BE70" s="73"/>
      <c r="BF70" s="64"/>
      <c r="BG70" s="69"/>
      <c r="BH70" s="65"/>
      <c r="BI70" s="66"/>
      <c r="BJ70" s="71"/>
      <c r="BK70" s="72"/>
      <c r="BL70" s="74"/>
      <c r="BN70" s="5" t="str">
        <f t="shared" si="23"/>
        <v>0</v>
      </c>
      <c r="BP70" s="5"/>
    </row>
    <row r="71" ht="37.5" customHeight="1">
      <c r="A71" s="45"/>
      <c r="B71" s="46">
        <f>IFERROR(__xludf.DUMMYFUNCTION("""COMPUTED_VALUE"""),69.0)</f>
        <v>69</v>
      </c>
      <c r="C71" s="47" t="str">
        <f>IFERROR(__xludf.DUMMYFUNCTION("""COMPUTED_VALUE"""),"Direccionamiento estratégico")</f>
        <v>Direccionamiento estratégico</v>
      </c>
      <c r="D71" s="48" t="str">
        <f>IFERROR(__xludf.DUMMYFUNCTION("""COMPUTED_VALUE"""),"Planeación")</f>
        <v>Planeación</v>
      </c>
      <c r="E71" s="48" t="str">
        <f>IFERROR(__xludf.DUMMYFUNCTION("""COMPUTED_VALUE"""),"Fortalecimiento de la capacidad de gestión de la autoridad nacional de acuicultura y pesca - aunap nacional")</f>
        <v>Fortalecimiento de la capacidad de gestión de la autoridad nacional de acuicultura y pesca - aunap nacional</v>
      </c>
      <c r="F71" s="49">
        <f>IFERROR(__xludf.DUMMYFUNCTION("""COMPUTED_VALUE"""),2.018011000241E12)</f>
        <v>2018011000241</v>
      </c>
      <c r="G71" s="50" t="str">
        <f>IFERROR(__xludf.DUMMYFUNCTION("""COMPUTED_VALUE"""),"Fortalecimiento")</f>
        <v>Fortalecimiento</v>
      </c>
      <c r="H71" s="48" t="str">
        <f>IFERROR(__xludf.DUMMYFUNCTION("""COMPUTED_VALUE"""),"Fortalecer los sistemas de gestión de la Entidad")</f>
        <v>Fortalecer los sistemas de gestión de la Entidad</v>
      </c>
      <c r="I71" s="48" t="str">
        <f>IFERROR(__xludf.DUMMYFUNCTION("""COMPUTED_VALUE"""),"Servicio de Implementación Sistemas de Gestión")</f>
        <v>Servicio de Implementación Sistemas de Gestión</v>
      </c>
      <c r="J71"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71" s="51" t="str">
        <f>IFERROR(__xludf.DUMMYFUNCTION("""COMPUTED_VALUE"""),"Gestión del área")</f>
        <v>Gestión del área</v>
      </c>
      <c r="L71" s="51" t="str">
        <f>IFERROR(__xludf.DUMMYFUNCTION("""COMPUTED_VALUE"""),"Eficiencia")</f>
        <v>Eficiencia</v>
      </c>
      <c r="M71" s="51" t="str">
        <f>IFERROR(__xludf.DUMMYFUNCTION("""COMPUTED_VALUE"""),"Número")</f>
        <v>Número</v>
      </c>
      <c r="N71" s="52" t="str">
        <f>IFERROR(__xludf.DUMMYFUNCTION("""COMPUTED_VALUE"""),"Número de planes de acción elaborado y publicado/Número de planes de acción programados para elaboración y publicación.")</f>
        <v>Número de planes de acción elaborado y publicado/Número de planes de acción programados para elaboración y publicación.</v>
      </c>
      <c r="O71" s="53"/>
      <c r="P71" s="54">
        <f>IFERROR(__xludf.DUMMYFUNCTION("""COMPUTED_VALUE"""),1.0)</f>
        <v>1</v>
      </c>
      <c r="Q71" s="55" t="str">
        <f>IFERROR(__xludf.DUMMYFUNCTION("""COMPUTED_VALUE"""),"Elaborar conjuntamente con la áreas y publicar el Plan de Acción de la AUNAP")</f>
        <v>Elaborar conjuntamente con la áreas y publicar el Plan de Acción de la AUNAP</v>
      </c>
      <c r="R71" s="14" t="str">
        <f>IFERROR(__xludf.DUMMYFUNCTION("""COMPUTED_VALUE"""),"Anual")</f>
        <v>Anual</v>
      </c>
      <c r="S71" s="54">
        <f>IFERROR(__xludf.DUMMYFUNCTION("""COMPUTED_VALUE"""),1.0)</f>
        <v>1</v>
      </c>
      <c r="T71" s="54">
        <f>IFERROR(__xludf.DUMMYFUNCTION("""COMPUTED_VALUE"""),0.0)</f>
        <v>0</v>
      </c>
      <c r="U71" s="54">
        <f>IFERROR(__xludf.DUMMYFUNCTION("""COMPUTED_VALUE"""),0.0)</f>
        <v>0</v>
      </c>
      <c r="V71" s="54">
        <f>IFERROR(__xludf.DUMMYFUNCTION("""COMPUTED_VALUE"""),0.0)</f>
        <v>0</v>
      </c>
      <c r="W71" s="56" t="str">
        <f>IFERROR(__xludf.DUMMYFUNCTION("""COMPUTED_VALUE"""),"Planeación")</f>
        <v>Planeación</v>
      </c>
      <c r="X71" s="57" t="str">
        <f>IFERROR(__xludf.DUMMYFUNCTION("""COMPUTED_VALUE"""),"Elsa Malo Lecompte")</f>
        <v>Elsa Malo Lecompte</v>
      </c>
      <c r="Y71" s="47" t="str">
        <f>IFERROR(__xludf.DUMMYFUNCTION("""COMPUTED_VALUE"""),"Profesional Especializado con Funciones de Planeación")</f>
        <v>Profesional Especializado con Funciones de Planeación</v>
      </c>
      <c r="Z71" s="57" t="str">
        <f>IFERROR(__xludf.DUMMYFUNCTION("""COMPUTED_VALUE"""),"elsa.malo@aunap.gov.co")</f>
        <v>elsa.malo@aunap.gov.co</v>
      </c>
      <c r="AA71" s="47" t="str">
        <f>IFERROR(__xludf.DUMMYFUNCTION("""COMPUTED_VALUE"""),"Talento Humano")</f>
        <v>Talento Humano</v>
      </c>
      <c r="AB71" s="47" t="str">
        <f>IFERROR(__xludf.DUMMYFUNCTION("""COMPUTED_VALUE"""),"No asociado")</f>
        <v>No asociado</v>
      </c>
      <c r="AC71" s="47" t="str">
        <f>IFERROR(__xludf.DUMMYFUNCTION("""COMPUTED_VALUE"""),"Propiciar la formalización de la pesca y la acuicultura")</f>
        <v>Propiciar la formalización de la pesca y la acuicultura</v>
      </c>
      <c r="AD71" s="47" t="str">
        <f>IFERROR(__xludf.DUMMYFUNCTION("""COMPUTED_VALUE"""),"Direccionamiento Estratégico")</f>
        <v>Direccionamiento Estratégico</v>
      </c>
      <c r="AE71" s="47" t="str">
        <f>IFERROR(__xludf.DUMMYFUNCTION("""COMPUTED_VALUE"""),"Planeación Institucional")</f>
        <v>Planeación Institucional</v>
      </c>
      <c r="AF71" s="47" t="str">
        <f>IFERROR(__xludf.DUMMYFUNCTION("""COMPUTED_VALUE"""),"16. Paz, justicia e instituciones sólidas")</f>
        <v>16. Paz, justicia e instituciones sólidas</v>
      </c>
      <c r="AG71" s="82">
        <f>IFERROR(__xludf.DUMMYFUNCTION("""COMPUTED_VALUE"""),0.0)</f>
        <v>0</v>
      </c>
      <c r="AH71" s="59" t="str">
        <f>IFERROR(__xludf.DUMMYFUNCTION("""COMPUTED_VALUE"""),"No se tiene proyectado el cumplimiento de meta para este trimestre")</f>
        <v>No se tiene proyectado el cumplimiento de meta para este trimestre</v>
      </c>
      <c r="AI71" s="59" t="str">
        <f>IFERROR(__xludf.DUMMYFUNCTION("""COMPUTED_VALUE"""),"N.A.")</f>
        <v>N.A.</v>
      </c>
      <c r="AJ71" s="59">
        <f>IFERROR(__xludf.DUMMYFUNCTION("""COMPUTED_VALUE"""),1.0)</f>
        <v>1</v>
      </c>
      <c r="AK71" s="59" t="str">
        <f>IFERROR(__xludf.DUMMYFUNCTION("""COMPUTED_VALUE"""),"Se realizo el cumplimiento de las acciones propuestas para la vigencia 2021")</f>
        <v>Se realizo el cumplimiento de las acciones propuestas para la vigencia 2021</v>
      </c>
      <c r="AL71" s="59">
        <f>IFERROR(__xludf.DUMMYFUNCTION("""COMPUTED_VALUE"""),44582.0)</f>
        <v>44582</v>
      </c>
      <c r="AM71" s="60"/>
      <c r="AN71" s="61" t="str">
        <f>IFERROR(IF((AO71+1)&lt;2,Alertas!$B$2&amp;TEXT(AO71,"0%")&amp;Alertas!$D$2, IF((AO71+1)=2,Alertas!$B$3,IF((AO71+1)&gt;2,Alertas!$B$4&amp;TEXT(AO71,"0%")&amp;Alertas!$D$4,AO71+1))),"Sin meta para el segundo trimestre")</f>
        <v>Sin meta para el segundo trimestre</v>
      </c>
      <c r="AO71" s="62" t="str">
        <f t="shared" si="2"/>
        <v>-</v>
      </c>
      <c r="AP71" s="61" t="str">
        <f t="shared" si="3"/>
        <v>Sin meta para el segundo trimestre.</v>
      </c>
      <c r="AQ71" s="63"/>
      <c r="AR71" s="64"/>
      <c r="AS71" s="65"/>
      <c r="AT71" s="65"/>
      <c r="AU71" s="66"/>
      <c r="AV71" s="67"/>
      <c r="AW71" s="68"/>
      <c r="AX71" s="63"/>
      <c r="AY71" s="64"/>
      <c r="AZ71" s="69"/>
      <c r="BA71" s="65"/>
      <c r="BB71" s="70"/>
      <c r="BC71" s="71"/>
      <c r="BD71" s="72"/>
      <c r="BE71" s="73"/>
      <c r="BF71" s="64"/>
      <c r="BG71" s="69"/>
      <c r="BH71" s="65"/>
      <c r="BI71" s="66"/>
      <c r="BJ71" s="71"/>
      <c r="BK71" s="72"/>
      <c r="BL71" s="74"/>
      <c r="BN71" s="5" t="str">
        <f t="shared" si="23"/>
        <v>-</v>
      </c>
      <c r="BP71" s="5"/>
    </row>
    <row r="72" ht="37.5" customHeight="1">
      <c r="A72" s="45"/>
      <c r="B72" s="46">
        <f>IFERROR(__xludf.DUMMYFUNCTION("""COMPUTED_VALUE"""),70.0)</f>
        <v>70</v>
      </c>
      <c r="C72" s="47" t="str">
        <f>IFERROR(__xludf.DUMMYFUNCTION("""COMPUTED_VALUE"""),"Direccionamiento estratégico")</f>
        <v>Direccionamiento estratégico</v>
      </c>
      <c r="D72" s="48" t="str">
        <f>IFERROR(__xludf.DUMMYFUNCTION("""COMPUTED_VALUE"""),"Planeación")</f>
        <v>Planeación</v>
      </c>
      <c r="E72" s="48" t="str">
        <f>IFERROR(__xludf.DUMMYFUNCTION("""COMPUTED_VALUE"""),"Fortalecimiento de la capacidad de gestión de la autoridad nacional de acuicultura y pesca - aunap nacional")</f>
        <v>Fortalecimiento de la capacidad de gestión de la autoridad nacional de acuicultura y pesca - aunap nacional</v>
      </c>
      <c r="F72" s="49">
        <f>IFERROR(__xludf.DUMMYFUNCTION("""COMPUTED_VALUE"""),2.018011000241E12)</f>
        <v>2018011000241</v>
      </c>
      <c r="G72" s="50" t="str">
        <f>IFERROR(__xludf.DUMMYFUNCTION("""COMPUTED_VALUE"""),"Fortalecimiento")</f>
        <v>Fortalecimiento</v>
      </c>
      <c r="H72" s="48" t="str">
        <f>IFERROR(__xludf.DUMMYFUNCTION("""COMPUTED_VALUE"""),"Fortalecer los sistemas de gestión de la Entidad")</f>
        <v>Fortalecer los sistemas de gestión de la Entidad</v>
      </c>
      <c r="I72" s="48" t="str">
        <f>IFERROR(__xludf.DUMMYFUNCTION("""COMPUTED_VALUE"""),"Servicio de Implementación Sistemas de Gestión")</f>
        <v>Servicio de Implementación Sistemas de Gestión</v>
      </c>
      <c r="J72"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72" s="51" t="str">
        <f>IFERROR(__xludf.DUMMYFUNCTION("""COMPUTED_VALUE"""),"Gestión del área")</f>
        <v>Gestión del área</v>
      </c>
      <c r="L72" s="51" t="str">
        <f>IFERROR(__xludf.DUMMYFUNCTION("""COMPUTED_VALUE"""),"Eficiencia")</f>
        <v>Eficiencia</v>
      </c>
      <c r="M72" s="51" t="str">
        <f>IFERROR(__xludf.DUMMYFUNCTION("""COMPUTED_VALUE"""),"Número")</f>
        <v>Número</v>
      </c>
      <c r="N72" s="52" t="str">
        <f>IFERROR(__xludf.DUMMYFUNCTION("""COMPUTED_VALUE"""),"Número de Plan de Acción del Plan Anticorrupción y Atención a la Ciudadanía - PAAC  elaborados y publicados/Número de planes de Plan de Acción del Plan Anticorrupción y Atención a la Ciudadanía - PAAC programados para elaboración y publicación.")</f>
        <v>Número de Plan de Acción del Plan Anticorrupción y Atención a la Ciudadanía - PAAC  elaborados y publicados/Número de planes de Plan de Acción del Plan Anticorrupción y Atención a la Ciudadanía - PAAC programados para elaboración y publicación.</v>
      </c>
      <c r="O72" s="53"/>
      <c r="P72" s="78">
        <f>IFERROR(__xludf.DUMMYFUNCTION("""COMPUTED_VALUE"""),1.0)</f>
        <v>1</v>
      </c>
      <c r="Q72" s="79" t="str">
        <f>IFERROR(__xludf.DUMMYFUNCTION("""COMPUTED_VALUE"""),"Elaborar conjuntamente con las áreas y publicar el Plan de Acción del Plan Anticorrupción y Atención a la Ciudadanía - PAAC")</f>
        <v>Elaborar conjuntamente con las áreas y publicar el Plan de Acción del Plan Anticorrupción y Atención a la Ciudadanía - PAAC</v>
      </c>
      <c r="R72" s="79" t="str">
        <f>IFERROR(__xludf.DUMMYFUNCTION("""COMPUTED_VALUE"""),"Anual")</f>
        <v>Anual</v>
      </c>
      <c r="S72" s="78">
        <f>IFERROR(__xludf.DUMMYFUNCTION("""COMPUTED_VALUE"""),1.0)</f>
        <v>1</v>
      </c>
      <c r="T72" s="78">
        <f>IFERROR(__xludf.DUMMYFUNCTION("""COMPUTED_VALUE"""),0.0)</f>
        <v>0</v>
      </c>
      <c r="U72" s="78">
        <f>IFERROR(__xludf.DUMMYFUNCTION("""COMPUTED_VALUE"""),0.0)</f>
        <v>0</v>
      </c>
      <c r="V72" s="78">
        <f>IFERROR(__xludf.DUMMYFUNCTION("""COMPUTED_VALUE"""),0.0)</f>
        <v>0</v>
      </c>
      <c r="W72" s="56" t="str">
        <f>IFERROR(__xludf.DUMMYFUNCTION("""COMPUTED_VALUE"""),"Planeación")</f>
        <v>Planeación</v>
      </c>
      <c r="X72" s="57" t="str">
        <f>IFERROR(__xludf.DUMMYFUNCTION("""COMPUTED_VALUE"""),"Elsa Malo Lecompte")</f>
        <v>Elsa Malo Lecompte</v>
      </c>
      <c r="Y72" s="47" t="str">
        <f>IFERROR(__xludf.DUMMYFUNCTION("""COMPUTED_VALUE"""),"Profesional Especializado con Funciones de Planeación")</f>
        <v>Profesional Especializado con Funciones de Planeación</v>
      </c>
      <c r="Z72" s="57" t="str">
        <f>IFERROR(__xludf.DUMMYFUNCTION("""COMPUTED_VALUE"""),"elsa.malo@aunap.gov.co")</f>
        <v>elsa.malo@aunap.gov.co</v>
      </c>
      <c r="AA72" s="47" t="str">
        <f>IFERROR(__xludf.DUMMYFUNCTION("""COMPUTED_VALUE"""),"Talento Humano")</f>
        <v>Talento Humano</v>
      </c>
      <c r="AB72" s="47" t="str">
        <f>IFERROR(__xludf.DUMMYFUNCTION("""COMPUTED_VALUE"""),"Plan Anticorrupción y de Atención al Ciudadano - PAAC")</f>
        <v>Plan Anticorrupción y de Atención al Ciudadano - PAAC</v>
      </c>
      <c r="AC72" s="47" t="str">
        <f>IFERROR(__xludf.DUMMYFUNCTION("""COMPUTED_VALUE"""),"Propiciar la formalización de la pesca y la acuicultura")</f>
        <v>Propiciar la formalización de la pesca y la acuicultura</v>
      </c>
      <c r="AD72" s="47" t="str">
        <f>IFERROR(__xludf.DUMMYFUNCTION("""COMPUTED_VALUE"""),"Direccionamiento Estratégico")</f>
        <v>Direccionamiento Estratégico</v>
      </c>
      <c r="AE72" s="47" t="str">
        <f>IFERROR(__xludf.DUMMYFUNCTION("""COMPUTED_VALUE"""),"Planeación Institucional")</f>
        <v>Planeación Institucional</v>
      </c>
      <c r="AF72" s="47" t="str">
        <f>IFERROR(__xludf.DUMMYFUNCTION("""COMPUTED_VALUE"""),"16. Paz, justicia e instituciones sólidas")</f>
        <v>16. Paz, justicia e instituciones sólidas</v>
      </c>
      <c r="AG72" s="80">
        <f>IFERROR(__xludf.DUMMYFUNCTION("""COMPUTED_VALUE"""),0.0)</f>
        <v>0</v>
      </c>
      <c r="AH72" s="59" t="str">
        <f>IFERROR(__xludf.DUMMYFUNCTION("""COMPUTED_VALUE"""),"No se tiene proyectado el cumplimiento de meta para este trimestre")</f>
        <v>No se tiene proyectado el cumplimiento de meta para este trimestre</v>
      </c>
      <c r="AI72" s="59" t="str">
        <f>IFERROR(__xludf.DUMMYFUNCTION("""COMPUTED_VALUE"""),"N.A.")</f>
        <v>N.A.</v>
      </c>
      <c r="AJ72" s="59">
        <f>IFERROR(__xludf.DUMMYFUNCTION("""COMPUTED_VALUE"""),1.0)</f>
        <v>1</v>
      </c>
      <c r="AK72" s="59" t="str">
        <f>IFERROR(__xludf.DUMMYFUNCTION("""COMPUTED_VALUE"""),"Se realizo el cumplimiento de las acciones propuestas para la vigencia 2021")</f>
        <v>Se realizo el cumplimiento de las acciones propuestas para la vigencia 2021</v>
      </c>
      <c r="AL72" s="59">
        <f>IFERROR(__xludf.DUMMYFUNCTION("""COMPUTED_VALUE"""),44582.0)</f>
        <v>44582</v>
      </c>
      <c r="AM72" s="60"/>
      <c r="AN72" s="61" t="str">
        <f>IFERROR(IF((AO72+1)&lt;2,Alertas!$B$2&amp;TEXT(AO72,"0%")&amp;Alertas!$D$2, IF((AO72+1)=2,Alertas!$B$3,IF((AO72+1)&gt;2,Alertas!$B$4&amp;TEXT(AO72,"0%")&amp;Alertas!$D$4,AO72+1))),"Sin meta para el segundo trimestre")</f>
        <v>Sin meta para el segundo trimestre</v>
      </c>
      <c r="AO72" s="62" t="str">
        <f t="shared" si="2"/>
        <v>-</v>
      </c>
      <c r="AP72" s="61" t="str">
        <f t="shared" si="3"/>
        <v>Sin meta para el segundo trimestre.</v>
      </c>
      <c r="AQ72" s="63"/>
      <c r="AR72" s="64"/>
      <c r="AS72" s="65"/>
      <c r="AT72" s="65"/>
      <c r="AU72" s="66"/>
      <c r="AV72" s="67"/>
      <c r="AW72" s="68"/>
      <c r="AX72" s="63"/>
      <c r="AY72" s="64"/>
      <c r="AZ72" s="69"/>
      <c r="BA72" s="65"/>
      <c r="BB72" s="70"/>
      <c r="BC72" s="71"/>
      <c r="BD72" s="72"/>
      <c r="BE72" s="73"/>
      <c r="BF72" s="64"/>
      <c r="BG72" s="69"/>
      <c r="BH72" s="65"/>
      <c r="BI72" s="66"/>
      <c r="BJ72" s="71"/>
      <c r="BK72" s="72"/>
      <c r="BL72" s="74"/>
      <c r="BN72" s="5" t="str">
        <f t="shared" si="23"/>
        <v>-</v>
      </c>
      <c r="BP72" s="5"/>
    </row>
    <row r="73" ht="37.5" customHeight="1">
      <c r="A73" s="45"/>
      <c r="B73" s="46">
        <f>IFERROR(__xludf.DUMMYFUNCTION("""COMPUTED_VALUE"""),71.0)</f>
        <v>71</v>
      </c>
      <c r="C73" s="47" t="str">
        <f>IFERROR(__xludf.DUMMYFUNCTION("""COMPUTED_VALUE"""),"Direccionamiento estratégico")</f>
        <v>Direccionamiento estratégico</v>
      </c>
      <c r="D73" s="48" t="str">
        <f>IFERROR(__xludf.DUMMYFUNCTION("""COMPUTED_VALUE"""),"Planeación")</f>
        <v>Planeación</v>
      </c>
      <c r="E73" s="48" t="str">
        <f>IFERROR(__xludf.DUMMYFUNCTION("""COMPUTED_VALUE"""),"Fortalecimiento de la capacidad de gestión de la autoridad nacional de acuicultura y pesca - aunap nacional")</f>
        <v>Fortalecimiento de la capacidad de gestión de la autoridad nacional de acuicultura y pesca - aunap nacional</v>
      </c>
      <c r="F73" s="49">
        <f>IFERROR(__xludf.DUMMYFUNCTION("""COMPUTED_VALUE"""),2.018011000241E12)</f>
        <v>2018011000241</v>
      </c>
      <c r="G73" s="50" t="str">
        <f>IFERROR(__xludf.DUMMYFUNCTION("""COMPUTED_VALUE"""),"Fortalecimiento")</f>
        <v>Fortalecimiento</v>
      </c>
      <c r="H73" s="48" t="str">
        <f>IFERROR(__xludf.DUMMYFUNCTION("""COMPUTED_VALUE"""),"Fortalecer los sistemas de gestión de la Entidad")</f>
        <v>Fortalecer los sistemas de gestión de la Entidad</v>
      </c>
      <c r="I73" s="48" t="str">
        <f>IFERROR(__xludf.DUMMYFUNCTION("""COMPUTED_VALUE"""),"Servicio de Implementación Sistemas de Gestión")</f>
        <v>Servicio de Implementación Sistemas de Gestión</v>
      </c>
      <c r="J73"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73" s="51" t="str">
        <f>IFERROR(__xludf.DUMMYFUNCTION("""COMPUTED_VALUE"""),"Gestión del área")</f>
        <v>Gestión del área</v>
      </c>
      <c r="L73" s="51" t="str">
        <f>IFERROR(__xludf.DUMMYFUNCTION("""COMPUTED_VALUE"""),"Eficiencia")</f>
        <v>Eficiencia</v>
      </c>
      <c r="M73" s="51" t="str">
        <f>IFERROR(__xludf.DUMMYFUNCTION("""COMPUTED_VALUE"""),"Número")</f>
        <v>Número</v>
      </c>
      <c r="N73" s="52" t="str">
        <f>IFERROR(__xludf.DUMMYFUNCTION("""COMPUTED_VALUE"""),"Número de informes realizados y publicados/Número de informes programados.")</f>
        <v>Número de informes realizados y publicados/Número de informes programados.</v>
      </c>
      <c r="O73" s="53"/>
      <c r="P73" s="54">
        <f>IFERROR(__xludf.DUMMYFUNCTION("""COMPUTED_VALUE"""),4.0)</f>
        <v>4</v>
      </c>
      <c r="Q73" s="55" t="str">
        <f>IFERROR(__xludf.DUMMYFUNCTION("""COMPUTED_VALUE"""),"Realizar  y publicar cuatro (4) análisis de la gestión de: Plan de Acción, Plan Anticorrupción y Atención a la Ciudadanía - PAAC y Gestión de riesgos dirigido a los líderes de procesos.")</f>
        <v>Realizar  y publicar cuatro (4) análisis de la gestión de: Plan de Acción, Plan Anticorrupción y Atención a la Ciudadanía - PAAC y Gestión de riesgos dirigido a los líderes de procesos.</v>
      </c>
      <c r="R73" s="14" t="str">
        <f>IFERROR(__xludf.DUMMYFUNCTION("""COMPUTED_VALUE"""),"Trimestral")</f>
        <v>Trimestral</v>
      </c>
      <c r="S73" s="54">
        <f>IFERROR(__xludf.DUMMYFUNCTION("""COMPUTED_VALUE"""),1.0)</f>
        <v>1</v>
      </c>
      <c r="T73" s="54">
        <f>IFERROR(__xludf.DUMMYFUNCTION("""COMPUTED_VALUE"""),1.0)</f>
        <v>1</v>
      </c>
      <c r="U73" s="54">
        <f>IFERROR(__xludf.DUMMYFUNCTION("""COMPUTED_VALUE"""),1.0)</f>
        <v>1</v>
      </c>
      <c r="V73" s="54">
        <f>IFERROR(__xludf.DUMMYFUNCTION("""COMPUTED_VALUE"""),1.0)</f>
        <v>1</v>
      </c>
      <c r="W73" s="56" t="str">
        <f>IFERROR(__xludf.DUMMYFUNCTION("""COMPUTED_VALUE"""),"Planeación")</f>
        <v>Planeación</v>
      </c>
      <c r="X73" s="57" t="str">
        <f>IFERROR(__xludf.DUMMYFUNCTION("""COMPUTED_VALUE"""),"Elsa Malo Lecompte")</f>
        <v>Elsa Malo Lecompte</v>
      </c>
      <c r="Y73" s="47" t="str">
        <f>IFERROR(__xludf.DUMMYFUNCTION("""COMPUTED_VALUE"""),"Profesional Especializado con Funciones de Planeación")</f>
        <v>Profesional Especializado con Funciones de Planeación</v>
      </c>
      <c r="Z73" s="57" t="str">
        <f>IFERROR(__xludf.DUMMYFUNCTION("""COMPUTED_VALUE"""),"elsa.malo@aunap.gov.co")</f>
        <v>elsa.malo@aunap.gov.co</v>
      </c>
      <c r="AA73" s="47" t="str">
        <f>IFERROR(__xludf.DUMMYFUNCTION("""COMPUTED_VALUE"""),"Talento Humano")</f>
        <v>Talento Humano</v>
      </c>
      <c r="AB73" s="47" t="str">
        <f>IFERROR(__xludf.DUMMYFUNCTION("""COMPUTED_VALUE"""),"No asociado")</f>
        <v>No asociado</v>
      </c>
      <c r="AC73" s="47" t="str">
        <f>IFERROR(__xludf.DUMMYFUNCTION("""COMPUTED_VALUE"""),"Propiciar la formalización de la pesca y la acuicultura")</f>
        <v>Propiciar la formalización de la pesca y la acuicultura</v>
      </c>
      <c r="AD73" s="47" t="str">
        <f>IFERROR(__xludf.DUMMYFUNCTION("""COMPUTED_VALUE"""),"Evaluación de Resultados")</f>
        <v>Evaluación de Resultados</v>
      </c>
      <c r="AE73" s="47" t="str">
        <f>IFERROR(__xludf.DUMMYFUNCTION("""COMPUTED_VALUE"""),"Seguimiento y evaluación del desempeño institucional")</f>
        <v>Seguimiento y evaluación del desempeño institucional</v>
      </c>
      <c r="AF73" s="47" t="str">
        <f>IFERROR(__xludf.DUMMYFUNCTION("""COMPUTED_VALUE"""),"16. Paz, justicia e instituciones sólidas")</f>
        <v>16. Paz, justicia e instituciones sólidas</v>
      </c>
      <c r="AG73" s="82">
        <f>IFERROR(__xludf.DUMMYFUNCTION("""COMPUTED_VALUE"""),1.0)</f>
        <v>1</v>
      </c>
      <c r="AH73" s="59" t="str">
        <f>IFERROR(__xludf.DUMMYFUNCTION("""COMPUTED_VALUE"""),"Se realizó y publicar cuatro un análisis de la gestión de: Plan de Acción, Plan Anticorrupción y Atención a la Ciudadanía - PAAC y Gestión de riesgos dirigido a los líderes de procesos conforme lo establecido para el periodo de seguimiento")</f>
        <v>Se realizó y publicar cuatro un análisis de la gestión de: Plan de Acción, Plan Anticorrupción y Atención a la Ciudadanía - PAAC y Gestión de riesgos dirigido a los líderes de procesos conforme lo establecido para el periodo de seguimiento</v>
      </c>
      <c r="AI73" s="59" t="str">
        <f>IFERROR(__xludf.DUMMYFUNCTION("""COMPUTED_VALUE"""),"https://docs.google.com/spreadsheets/d/1_Cy2-r7M--EQiSegWCtKzGlzhP_h8dBRQWImPW47UWU/edit#gid=1942166271
https://docs.google.com/spreadsheets/d/1Ctn1sIhs1L6Eay2Fim_m_gP4yqgu5YtIgT-GvPZbZrE/edit#gid=135765430
https://docs.google.com/spreadsheets/d/1_1jR5Jz8"&amp;"aOdFv2YMncYQX5L07j5OqAbHOUG8CvtFSkk/edit#gid=1734115068")</f>
        <v>https://docs.google.com/spreadsheets/d/1_Cy2-r7M--EQiSegWCtKzGlzhP_h8dBRQWImPW47UWU/edit#gid=1942166271
https://docs.google.com/spreadsheets/d/1Ctn1sIhs1L6Eay2Fim_m_gP4yqgu5YtIgT-GvPZbZrE/edit#gid=135765430
https://docs.google.com/spreadsheets/d/1_1jR5Jz8aOdFv2YMncYQX5L07j5OqAbHOUG8CvtFSkk/edit#gid=1734115068</v>
      </c>
      <c r="AJ73" s="59">
        <f>IFERROR(__xludf.DUMMYFUNCTION("""COMPUTED_VALUE"""),4.0)</f>
        <v>4</v>
      </c>
      <c r="AK73" s="59" t="str">
        <f>IFERROR(__xludf.DUMMYFUNCTION("""COMPUTED_VALUE"""),"Se realizo el cumplimiento de las acciones propuestas para la vigencia 2021")</f>
        <v>Se realizo el cumplimiento de las acciones propuestas para la vigencia 2021</v>
      </c>
      <c r="AL73" s="59">
        <f>IFERROR(__xludf.DUMMYFUNCTION("""COMPUTED_VALUE"""),44582.0)</f>
        <v>44582</v>
      </c>
      <c r="AM73" s="60"/>
      <c r="AN73" s="61" t="str">
        <f>IFERROR(IF((AO73+1)&lt;2,Alertas!$B$2&amp;TEXT(AO73,"0%")&amp;Alertas!$D$2, IF((AO73+1)=2,Alertas!$B$3,IF((AO73+1)&gt;2,Alertas!$B$4&amp;TEXT(AO73,"0%")&amp;Alertas!$D$4,AO73+1))),"Sin meta para el segundo trimestre")</f>
        <v>La ejecución de la meta registrada se encuentra acorde a la meta programada en la formulación del plan de acción para el segundo trimestre</v>
      </c>
      <c r="AO73" s="62">
        <f t="shared" si="2"/>
        <v>1</v>
      </c>
      <c r="AP73" s="61" t="str">
        <f t="shared" si="3"/>
        <v>La ejecución de la meta registrada se encuentra acorde a la meta programada en la formulación del plan de acción para el segundo trimestre.</v>
      </c>
      <c r="AQ73" s="63"/>
      <c r="AR73" s="64"/>
      <c r="AS73" s="65"/>
      <c r="AT73" s="65"/>
      <c r="AU73" s="66"/>
      <c r="AV73" s="67"/>
      <c r="AW73" s="68"/>
      <c r="AX73" s="63"/>
      <c r="AY73" s="64"/>
      <c r="AZ73" s="69"/>
      <c r="BA73" s="65"/>
      <c r="BB73" s="70"/>
      <c r="BC73" s="71"/>
      <c r="BD73" s="72"/>
      <c r="BE73" s="73"/>
      <c r="BF73" s="64"/>
      <c r="BG73" s="69"/>
      <c r="BH73" s="65"/>
      <c r="BI73" s="66"/>
      <c r="BJ73" s="71"/>
      <c r="BK73" s="72"/>
      <c r="BL73" s="74"/>
      <c r="BN73" s="5" t="str">
        <f t="shared" si="23"/>
        <v>0</v>
      </c>
      <c r="BP73" s="5"/>
    </row>
    <row r="74" ht="37.5" customHeight="1">
      <c r="A74" s="45"/>
      <c r="B74" s="46">
        <f>IFERROR(__xludf.DUMMYFUNCTION("""COMPUTED_VALUE"""),72.0)</f>
        <v>72</v>
      </c>
      <c r="C74" s="47" t="str">
        <f>IFERROR(__xludf.DUMMYFUNCTION("""COMPUTED_VALUE"""),"Direccionamiento estratégico")</f>
        <v>Direccionamiento estratégico</v>
      </c>
      <c r="D74" s="48" t="str">
        <f>IFERROR(__xludf.DUMMYFUNCTION("""COMPUTED_VALUE"""),"Planeación")</f>
        <v>Planeación</v>
      </c>
      <c r="E74" s="48" t="str">
        <f>IFERROR(__xludf.DUMMYFUNCTION("""COMPUTED_VALUE"""),"Fortalecimiento de la capacidad de gestión de la autoridad nacional de acuicultura y pesca - aunap nacional")</f>
        <v>Fortalecimiento de la capacidad de gestión de la autoridad nacional de acuicultura y pesca - aunap nacional</v>
      </c>
      <c r="F74" s="49">
        <f>IFERROR(__xludf.DUMMYFUNCTION("""COMPUTED_VALUE"""),2.018011000241E12)</f>
        <v>2018011000241</v>
      </c>
      <c r="G74" s="50" t="str">
        <f>IFERROR(__xludf.DUMMYFUNCTION("""COMPUTED_VALUE"""),"Fortalecimiento")</f>
        <v>Fortalecimiento</v>
      </c>
      <c r="H74" s="48" t="str">
        <f>IFERROR(__xludf.DUMMYFUNCTION("""COMPUTED_VALUE"""),"Fortalecer los sistemas de gestión de la Entidad")</f>
        <v>Fortalecer los sistemas de gestión de la Entidad</v>
      </c>
      <c r="I74" s="48" t="str">
        <f>IFERROR(__xludf.DUMMYFUNCTION("""COMPUTED_VALUE"""),"Servicio de Implementación Sistemas de Gestión")</f>
        <v>Servicio de Implementación Sistemas de Gestión</v>
      </c>
      <c r="J74"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74" s="51" t="str">
        <f>IFERROR(__xludf.DUMMYFUNCTION("""COMPUTED_VALUE"""),"Gestión del área")</f>
        <v>Gestión del área</v>
      </c>
      <c r="L74" s="51" t="str">
        <f>IFERROR(__xludf.DUMMYFUNCTION("""COMPUTED_VALUE"""),"Eficiencia")</f>
        <v>Eficiencia</v>
      </c>
      <c r="M74" s="51" t="str">
        <f>IFERROR(__xludf.DUMMYFUNCTION("""COMPUTED_VALUE"""),"Porcentaje")</f>
        <v>Porcentaje</v>
      </c>
      <c r="N74" s="52" t="str">
        <f>IFERROR(__xludf.DUMMYFUNCTION("""COMPUTED_VALUE"""),"Número de solicitudes atendidas/número de solicitudes recibidas.")</f>
        <v>Número de solicitudes atendidas/número de solicitudes recibidas.</v>
      </c>
      <c r="O74" s="53"/>
      <c r="P74" s="78">
        <f>IFERROR(__xludf.DUMMYFUNCTION("""COMPUTED_VALUE"""),1.0)</f>
        <v>1</v>
      </c>
      <c r="Q74" s="79" t="str">
        <f>IFERROR(__xludf.DUMMYFUNCTION("""COMPUTED_VALUE"""),"Dar respuesta al 100% de las solicitudes de creación, modificación o eliminacion de documentos SIG que llegan al Profesional Especializado con Funciones de planeación en horario y dias laborales.")</f>
        <v>Dar respuesta al 100% de las solicitudes de creación, modificación o eliminacion de documentos SIG que llegan al Profesional Especializado con Funciones de planeación en horario y dias laborales.</v>
      </c>
      <c r="R74" s="79" t="str">
        <f>IFERROR(__xludf.DUMMYFUNCTION("""COMPUTED_VALUE"""),"Anual")</f>
        <v>Anual</v>
      </c>
      <c r="S74" s="78">
        <f>IFERROR(__xludf.DUMMYFUNCTION("""COMPUTED_VALUE"""),0.0)</f>
        <v>0</v>
      </c>
      <c r="T74" s="78">
        <f>IFERROR(__xludf.DUMMYFUNCTION("""COMPUTED_VALUE"""),0.0)</f>
        <v>0</v>
      </c>
      <c r="U74" s="78">
        <f>IFERROR(__xludf.DUMMYFUNCTION("""COMPUTED_VALUE"""),0.0)</f>
        <v>0</v>
      </c>
      <c r="V74" s="78">
        <f>IFERROR(__xludf.DUMMYFUNCTION("""COMPUTED_VALUE"""),1.0)</f>
        <v>1</v>
      </c>
      <c r="W74" s="56" t="str">
        <f>IFERROR(__xludf.DUMMYFUNCTION("""COMPUTED_VALUE"""),"Planeación")</f>
        <v>Planeación</v>
      </c>
      <c r="X74" s="57" t="str">
        <f>IFERROR(__xludf.DUMMYFUNCTION("""COMPUTED_VALUE"""),"Elsa Malo Lecompte")</f>
        <v>Elsa Malo Lecompte</v>
      </c>
      <c r="Y74" s="47" t="str">
        <f>IFERROR(__xludf.DUMMYFUNCTION("""COMPUTED_VALUE"""),"Profesional Especializado con Funciones de Planeación")</f>
        <v>Profesional Especializado con Funciones de Planeación</v>
      </c>
      <c r="Z74" s="57" t="str">
        <f>IFERROR(__xludf.DUMMYFUNCTION("""COMPUTED_VALUE"""),"elsa.malo@aunap.gov.co")</f>
        <v>elsa.malo@aunap.gov.co</v>
      </c>
      <c r="AA74" s="47" t="str">
        <f>IFERROR(__xludf.DUMMYFUNCTION("""COMPUTED_VALUE"""),"Talento Humano")</f>
        <v>Talento Humano</v>
      </c>
      <c r="AB74" s="47" t="str">
        <f>IFERROR(__xludf.DUMMYFUNCTION("""COMPUTED_VALUE"""),"No asociado")</f>
        <v>No asociado</v>
      </c>
      <c r="AC74" s="47" t="str">
        <f>IFERROR(__xludf.DUMMYFUNCTION("""COMPUTED_VALUE"""),"Propiciar la formalización de la pesca y la acuicultura")</f>
        <v>Propiciar la formalización de la pesca y la acuicultura</v>
      </c>
      <c r="AD74" s="47" t="str">
        <f>IFERROR(__xludf.DUMMYFUNCTION("""COMPUTED_VALUE"""),"Direccionamiento Estratégico")</f>
        <v>Direccionamiento Estratégico</v>
      </c>
      <c r="AE74" s="47" t="str">
        <f>IFERROR(__xludf.DUMMYFUNCTION("""COMPUTED_VALUE"""),"Planeación Institucional")</f>
        <v>Planeación Institucional</v>
      </c>
      <c r="AF74" s="47" t="str">
        <f>IFERROR(__xludf.DUMMYFUNCTION("""COMPUTED_VALUE"""),"16. Paz, justicia e instituciones sólidas")</f>
        <v>16. Paz, justicia e instituciones sólidas</v>
      </c>
      <c r="AG74" s="80">
        <f>IFERROR(__xludf.DUMMYFUNCTION("""COMPUTED_VALUE"""),0.92)</f>
        <v>0.92</v>
      </c>
      <c r="AH74" s="59" t="str">
        <f>IFERROR(__xludf.DUMMYFUNCTION("""COMPUTED_VALUE"""),"Se dio respuesta al 92% de las solicitudes de creación, modificación o eliminacion de documentos SIG que llegan al Profesional Especializado con Funciones de planeación en horario y dias laborales.")</f>
        <v>Se dio respuesta al 92% de las solicitudes de creación, modificación o eliminacion de documentos SIG que llegan al Profesional Especializado con Funciones de planeación en horario y dias laborales.</v>
      </c>
      <c r="AI74" s="77" t="str">
        <f>IFERROR(__xludf.DUMMYFUNCTION("""COMPUTED_VALUE"""),"https://docs.google.com/spreadsheets/d/1qf8AkR2OXr1jni3gzeUJDz29bMKGNfcA_0pOkAu1z1Y/edit#gid=263085841")</f>
        <v>https://docs.google.com/spreadsheets/d/1qf8AkR2OXr1jni3gzeUJDz29bMKGNfcA_0pOkAu1z1Y/edit#gid=263085841</v>
      </c>
      <c r="AJ74" s="59">
        <f>IFERROR(__xludf.DUMMYFUNCTION("""COMPUTED_VALUE"""),1.0)</f>
        <v>1</v>
      </c>
      <c r="AK74" s="59" t="str">
        <f>IFERROR(__xludf.DUMMYFUNCTION("""COMPUTED_VALUE"""),"Se realizo el cumplimiento de las acciones propuestas para la vigencia 2021")</f>
        <v>Se realizo el cumplimiento de las acciones propuestas para la vigencia 2021</v>
      </c>
      <c r="AL74" s="59"/>
      <c r="AM74" s="60"/>
      <c r="AN74" s="61" t="str">
        <f>IFERROR(IF((AO74+1)&lt;2,Alertas!$B$2&amp;TEXT(AO74,"0%")&amp;Alertas!$D$2, IF((AO74+1)=2,Alertas!$B$3,IF((AO74+1)&gt;2,Alertas!$B$4&amp;TEXT(AO74,"0%")&amp;Alertas!$D$4,AO74+1))),"Sin meta para el segundo trimestre")</f>
        <v>La ejecución de la meta registrada se encuentra por encima de la meta programada en la formulación del plan de acción para el segundo trimestre, su porcentaje de cumplimiento es 192%,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74" s="62">
        <f t="shared" si="2"/>
        <v>1.92</v>
      </c>
      <c r="AP74" s="61" t="str">
        <f t="shared" si="3"/>
        <v>La ejecución de la meta registrada se encuentra por encima de la meta programada en la formulación del plan de acción para el segundo trimestre, su porcentaje de cumplimiento es 192%,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74" s="63"/>
      <c r="AR74" s="64"/>
      <c r="AS74" s="65"/>
      <c r="AT74" s="65"/>
      <c r="AU74" s="66"/>
      <c r="AV74" s="67"/>
      <c r="AW74" s="68"/>
      <c r="AX74" s="63"/>
      <c r="AY74" s="64"/>
      <c r="AZ74" s="69"/>
      <c r="BA74" s="65"/>
      <c r="BB74" s="70"/>
      <c r="BC74" s="71"/>
      <c r="BD74" s="72"/>
      <c r="BE74" s="73"/>
      <c r="BF74" s="64"/>
      <c r="BG74" s="69"/>
      <c r="BH74" s="65"/>
      <c r="BI74" s="66"/>
      <c r="BJ74" s="71"/>
      <c r="BK74" s="72"/>
      <c r="BL74" s="74"/>
      <c r="BN74" s="5" t="str">
        <f t="shared" si="23"/>
        <v>1</v>
      </c>
      <c r="BP74" s="5"/>
    </row>
    <row r="75" ht="37.5" customHeight="1">
      <c r="A75" s="45"/>
      <c r="B75" s="46">
        <f>IFERROR(__xludf.DUMMYFUNCTION("""COMPUTED_VALUE"""),73.0)</f>
        <v>73</v>
      </c>
      <c r="C75" s="47" t="str">
        <f>IFERROR(__xludf.DUMMYFUNCTION("""COMPUTED_VALUE"""),"Direccionamiento estratégico")</f>
        <v>Direccionamiento estratégico</v>
      </c>
      <c r="D75" s="48" t="str">
        <f>IFERROR(__xludf.DUMMYFUNCTION("""COMPUTED_VALUE"""),"Planeación")</f>
        <v>Planeación</v>
      </c>
      <c r="E75" s="48" t="str">
        <f>IFERROR(__xludf.DUMMYFUNCTION("""COMPUTED_VALUE"""),"Fortalecimiento de la capacidad de gestión de la autoridad nacional de acuicultura y pesca - aunap nacional")</f>
        <v>Fortalecimiento de la capacidad de gestión de la autoridad nacional de acuicultura y pesca - aunap nacional</v>
      </c>
      <c r="F75" s="49">
        <f>IFERROR(__xludf.DUMMYFUNCTION("""COMPUTED_VALUE"""),2.018011000241E12)</f>
        <v>2018011000241</v>
      </c>
      <c r="G75" s="50" t="str">
        <f>IFERROR(__xludf.DUMMYFUNCTION("""COMPUTED_VALUE"""),"Fortalecimiento")</f>
        <v>Fortalecimiento</v>
      </c>
      <c r="H75" s="48" t="str">
        <f>IFERROR(__xludf.DUMMYFUNCTION("""COMPUTED_VALUE"""),"Fortalecer los sistemas de gestión de la Entidad")</f>
        <v>Fortalecer los sistemas de gestión de la Entidad</v>
      </c>
      <c r="I75" s="48" t="str">
        <f>IFERROR(__xludf.DUMMYFUNCTION("""COMPUTED_VALUE"""),"Servicio de Implementación Sistemas de Gestión")</f>
        <v>Servicio de Implementación Sistemas de Gestión</v>
      </c>
      <c r="J75" s="48" t="str">
        <f>IFERROR(__xludf.DUMMYFUNCTION("""COMPUTED_VALUE"""),"Implementar y mantener el Sistema de Gestión Ambiental de la Entidad, acorde a la normatividad vigente")</f>
        <v>Implementar y mantener el Sistema de Gestión Ambiental de la Entidad, acorde a la normatividad vigente</v>
      </c>
      <c r="K75" s="51" t="str">
        <f>IFERROR(__xludf.DUMMYFUNCTION("""COMPUTED_VALUE"""),"Gestión del área")</f>
        <v>Gestión del área</v>
      </c>
      <c r="L75" s="51" t="str">
        <f>IFERROR(__xludf.DUMMYFUNCTION("""COMPUTED_VALUE"""),"Eficiencia")</f>
        <v>Eficiencia</v>
      </c>
      <c r="M75" s="51" t="str">
        <f>IFERROR(__xludf.DUMMYFUNCTION("""COMPUTED_VALUE"""),"Número")</f>
        <v>Número</v>
      </c>
      <c r="N75" s="52" t="str">
        <f>IFERROR(__xludf.DUMMYFUNCTION("""COMPUTED_VALUE"""),"Número de Diagnósticos ambientales realizados/Número de diagnósticos programados")</f>
        <v>Número de Diagnósticos ambientales realizados/Número de diagnósticos programados</v>
      </c>
      <c r="O75" s="83"/>
      <c r="P75" s="54">
        <f>IFERROR(__xludf.DUMMYFUNCTION("""COMPUTED_VALUE"""),3.0)</f>
        <v>3</v>
      </c>
      <c r="Q75" s="55" t="str">
        <f>IFERROR(__xludf.DUMMYFUNCTION("""COMPUTED_VALUE"""),"Realizar el Diagnóstico Ambiental de las tres (3) estaciones pesqueras de la AUNAP.")</f>
        <v>Realizar el Diagnóstico Ambiental de las tres (3) estaciones pesqueras de la AUNAP.</v>
      </c>
      <c r="R75" s="14" t="str">
        <f>IFERROR(__xludf.DUMMYFUNCTION("""COMPUTED_VALUE"""),"Trimestral")</f>
        <v>Trimestral</v>
      </c>
      <c r="S75" s="54">
        <f>IFERROR(__xludf.DUMMYFUNCTION("""COMPUTED_VALUE"""),0.0)</f>
        <v>0</v>
      </c>
      <c r="T75" s="54">
        <f>IFERROR(__xludf.DUMMYFUNCTION("""COMPUTED_VALUE"""),0.0)</f>
        <v>0</v>
      </c>
      <c r="U75" s="54">
        <f>IFERROR(__xludf.DUMMYFUNCTION("""COMPUTED_VALUE"""),2.0)</f>
        <v>2</v>
      </c>
      <c r="V75" s="54">
        <f>IFERROR(__xludf.DUMMYFUNCTION("""COMPUTED_VALUE"""),1.0)</f>
        <v>1</v>
      </c>
      <c r="W75" s="56" t="str">
        <f>IFERROR(__xludf.DUMMYFUNCTION("""COMPUTED_VALUE"""),"Planeación")</f>
        <v>Planeación</v>
      </c>
      <c r="X75" s="57" t="str">
        <f>IFERROR(__xludf.DUMMYFUNCTION("""COMPUTED_VALUE"""),"Elsa Malo Lecompte")</f>
        <v>Elsa Malo Lecompte</v>
      </c>
      <c r="Y75" s="47" t="str">
        <f>IFERROR(__xludf.DUMMYFUNCTION("""COMPUTED_VALUE"""),"Profesional Especializado con Funciones de Planeación")</f>
        <v>Profesional Especializado con Funciones de Planeación</v>
      </c>
      <c r="Z75" s="57" t="str">
        <f>IFERROR(__xludf.DUMMYFUNCTION("""COMPUTED_VALUE"""),"elsa.malo@aunap.gov.co")</f>
        <v>elsa.malo@aunap.gov.co</v>
      </c>
      <c r="AA75" s="47" t="str">
        <f>IFERROR(__xludf.DUMMYFUNCTION("""COMPUTED_VALUE"""),"Talento Humano")</f>
        <v>Talento Humano</v>
      </c>
      <c r="AB75" s="47" t="str">
        <f>IFERROR(__xludf.DUMMYFUNCTION("""COMPUTED_VALUE"""),"No asociado")</f>
        <v>No asociado</v>
      </c>
      <c r="AC75" s="47" t="str">
        <f>IFERROR(__xludf.DUMMYFUNCTION("""COMPUTED_VALUE"""),"Propiciar la formalización de la pesca y la acuicultura")</f>
        <v>Propiciar la formalización de la pesca y la acuicultura</v>
      </c>
      <c r="AD75" s="47" t="str">
        <f>IFERROR(__xludf.DUMMYFUNCTION("""COMPUTED_VALUE"""),"Direccionamiento Estratégico")</f>
        <v>Direccionamiento Estratégico</v>
      </c>
      <c r="AE75" s="47" t="str">
        <f>IFERROR(__xludf.DUMMYFUNCTION("""COMPUTED_VALUE"""),"Planeación Institucional")</f>
        <v>Planeación Institucional</v>
      </c>
      <c r="AF75" s="47" t="str">
        <f>IFERROR(__xludf.DUMMYFUNCTION("""COMPUTED_VALUE"""),"16. Paz, justicia e instituciones sólidas")</f>
        <v>16. Paz, justicia e instituciones sólidas</v>
      </c>
      <c r="AG75" s="82">
        <f>IFERROR(__xludf.DUMMYFUNCTION("""COMPUTED_VALUE"""),2.0)</f>
        <v>2</v>
      </c>
      <c r="AH75" s="59" t="str">
        <f>IFERROR(__xludf.DUMMYFUNCTION("""COMPUTED_VALUE"""),"Realizar el Diagnóstico Ambiental de la estación pesquera de Bahía Malaga y Alto Magdalena")</f>
        <v>Realizar el Diagnóstico Ambiental de la estación pesquera de Bahía Malaga y Alto Magdalena</v>
      </c>
      <c r="AI75" s="77" t="str">
        <f>IFERROR(__xludf.DUMMYFUNCTION("""COMPUTED_VALUE"""),"https://drive.google.com/drive/u/1/folders/1fdsn-NyYX0wWnU9eXIVwdDC_EYBJ9jRo")</f>
        <v>https://drive.google.com/drive/u/1/folders/1fdsn-NyYX0wWnU9eXIVwdDC_EYBJ9jRo</v>
      </c>
      <c r="AJ75" s="59">
        <f>IFERROR(__xludf.DUMMYFUNCTION("""COMPUTED_VALUE"""),3.0)</f>
        <v>3</v>
      </c>
      <c r="AK75" s="59" t="str">
        <f>IFERROR(__xludf.DUMMYFUNCTION("""COMPUTED_VALUE"""),"Se realizo el cumplimiento de las acciones propuestas para la vigencia 2021")</f>
        <v>Se realizo el cumplimiento de las acciones propuestas para la vigencia 2021</v>
      </c>
      <c r="AL75" s="59"/>
      <c r="AM75" s="60"/>
      <c r="AN75" s="61" t="str">
        <f>IFERROR(IF((AO75+1)&lt;2,Alertas!$B$2&amp;TEXT(AO75,"0%")&amp;Alertas!$D$2, IF((AO75+1)=2,Alertas!$B$3,IF((AO75+1)&gt;2,Alertas!$B$4&amp;TEXT(AO75,"0%")&amp;Alertas!$D$4,AO75+1))),"Sin meta para el segundo trimestre")</f>
        <v>La ejecución de la meta registrada se encuentra por encima de la meta programada en la formulación del plan de acción para el segundo trimestre, su porcentaje de cumplimiento es 300%,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75" s="62">
        <f t="shared" si="2"/>
        <v>3</v>
      </c>
      <c r="AP75" s="61" t="str">
        <f t="shared" si="3"/>
        <v>La ejecución de la meta registrada se encuentra por encima de la meta programada en la formulación del plan de acción para el segundo trimestre, su porcentaje de cumplimiento es 300%,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75" s="63"/>
      <c r="AR75" s="64"/>
      <c r="AS75" s="65"/>
      <c r="AT75" s="65"/>
      <c r="AU75" s="66"/>
      <c r="AV75" s="67"/>
      <c r="AW75" s="68"/>
      <c r="AX75" s="63"/>
      <c r="AY75" s="64"/>
      <c r="AZ75" s="69"/>
      <c r="BA75" s="65"/>
      <c r="BB75" s="70"/>
      <c r="BC75" s="71"/>
      <c r="BD75" s="72"/>
      <c r="BE75" s="73"/>
      <c r="BF75" s="64"/>
      <c r="BG75" s="69"/>
      <c r="BH75" s="65"/>
      <c r="BI75" s="66"/>
      <c r="BJ75" s="71"/>
      <c r="BK75" s="72"/>
      <c r="BL75" s="74"/>
      <c r="BN75" s="5" t="str">
        <f t="shared" si="23"/>
        <v>1</v>
      </c>
      <c r="BP75" s="5"/>
    </row>
    <row r="76" ht="37.5" customHeight="1">
      <c r="A76" s="45"/>
      <c r="B76" s="46">
        <f>IFERROR(__xludf.DUMMYFUNCTION("""COMPUTED_VALUE"""),74.0)</f>
        <v>74</v>
      </c>
      <c r="C76" s="47" t="str">
        <f>IFERROR(__xludf.DUMMYFUNCTION("""COMPUTED_VALUE"""),"Direccionamiento estratégico")</f>
        <v>Direccionamiento estratégico</v>
      </c>
      <c r="D76" s="48" t="str">
        <f>IFERROR(__xludf.DUMMYFUNCTION("""COMPUTED_VALUE"""),"Planeación")</f>
        <v>Planeación</v>
      </c>
      <c r="E76" s="48" t="str">
        <f>IFERROR(__xludf.DUMMYFUNCTION("""COMPUTED_VALUE"""),"Fortalecimiento de la capacidad de gestión de la autoridad nacional de acuicultura y pesca - aunap nacional")</f>
        <v>Fortalecimiento de la capacidad de gestión de la autoridad nacional de acuicultura y pesca - aunap nacional</v>
      </c>
      <c r="F76" s="49">
        <f>IFERROR(__xludf.DUMMYFUNCTION("""COMPUTED_VALUE"""),2.018011000241E12)</f>
        <v>2018011000241</v>
      </c>
      <c r="G76" s="50" t="str">
        <f>IFERROR(__xludf.DUMMYFUNCTION("""COMPUTED_VALUE"""),"Fortalecimiento")</f>
        <v>Fortalecimiento</v>
      </c>
      <c r="H76" s="48" t="str">
        <f>IFERROR(__xludf.DUMMYFUNCTION("""COMPUTED_VALUE"""),"Fortalecer los sistemas de gestión de la Entidad")</f>
        <v>Fortalecer los sistemas de gestión de la Entidad</v>
      </c>
      <c r="I76" s="48" t="str">
        <f>IFERROR(__xludf.DUMMYFUNCTION("""COMPUTED_VALUE"""),"Servicio de Implementación Sistemas de Gestión")</f>
        <v>Servicio de Implementación Sistemas de Gestión</v>
      </c>
      <c r="J76"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76" s="51" t="str">
        <f>IFERROR(__xludf.DUMMYFUNCTION("""COMPUTED_VALUE"""),"Gestión del área")</f>
        <v>Gestión del área</v>
      </c>
      <c r="L76" s="51" t="str">
        <f>IFERROR(__xludf.DUMMYFUNCTION("""COMPUTED_VALUE"""),"Eficiencia")</f>
        <v>Eficiencia</v>
      </c>
      <c r="M76" s="51" t="str">
        <f>IFERROR(__xludf.DUMMYFUNCTION("""COMPUTED_VALUE"""),"Número")</f>
        <v>Número</v>
      </c>
      <c r="N76" s="52" t="str">
        <f>IFERROR(__xludf.DUMMYFUNCTION("""COMPUTED_VALUE"""),"Número de informes de gestión realizados/Número de informes de gestión programados")</f>
        <v>Número de informes de gestión realizados/Número de informes de gestión programados</v>
      </c>
      <c r="O76" s="53"/>
      <c r="P76" s="54">
        <f>IFERROR(__xludf.DUMMYFUNCTION("""COMPUTED_VALUE"""),1.0)</f>
        <v>1</v>
      </c>
      <c r="Q76" s="55" t="str">
        <f>IFERROR(__xludf.DUMMYFUNCTION("""COMPUTED_VALUE"""),"Elaborar un informe de gestion de la entidad.")</f>
        <v>Elaborar un informe de gestion de la entidad.</v>
      </c>
      <c r="R76" s="14" t="str">
        <f>IFERROR(__xludf.DUMMYFUNCTION("""COMPUTED_VALUE"""),"Anual")</f>
        <v>Anual</v>
      </c>
      <c r="S76" s="54">
        <f>IFERROR(__xludf.DUMMYFUNCTION("""COMPUTED_VALUE"""),0.0)</f>
        <v>0</v>
      </c>
      <c r="T76" s="54">
        <f>IFERROR(__xludf.DUMMYFUNCTION("""COMPUTED_VALUE"""),0.0)</f>
        <v>0</v>
      </c>
      <c r="U76" s="54">
        <f>IFERROR(__xludf.DUMMYFUNCTION("""COMPUTED_VALUE"""),0.0)</f>
        <v>0</v>
      </c>
      <c r="V76" s="54">
        <f>IFERROR(__xludf.DUMMYFUNCTION("""COMPUTED_VALUE"""),1.0)</f>
        <v>1</v>
      </c>
      <c r="W76" s="56" t="str">
        <f>IFERROR(__xludf.DUMMYFUNCTION("""COMPUTED_VALUE"""),"Planeación")</f>
        <v>Planeación</v>
      </c>
      <c r="X76" s="57" t="str">
        <f>IFERROR(__xludf.DUMMYFUNCTION("""COMPUTED_VALUE"""),"Elsa Malo Lecompte")</f>
        <v>Elsa Malo Lecompte</v>
      </c>
      <c r="Y76" s="47" t="str">
        <f>IFERROR(__xludf.DUMMYFUNCTION("""COMPUTED_VALUE"""),"Profesional Especializado con Funciones de Planeación")</f>
        <v>Profesional Especializado con Funciones de Planeación</v>
      </c>
      <c r="Z76" s="57" t="str">
        <f>IFERROR(__xludf.DUMMYFUNCTION("""COMPUTED_VALUE"""),"elsa.malo@aunap.gov.co")</f>
        <v>elsa.malo@aunap.gov.co</v>
      </c>
      <c r="AA76" s="47" t="str">
        <f>IFERROR(__xludf.DUMMYFUNCTION("""COMPUTED_VALUE"""),"Talento Humano")</f>
        <v>Talento Humano</v>
      </c>
      <c r="AB76" s="47" t="str">
        <f>IFERROR(__xludf.DUMMYFUNCTION("""COMPUTED_VALUE"""),"No asociado")</f>
        <v>No asociado</v>
      </c>
      <c r="AC76" s="47" t="str">
        <f>IFERROR(__xludf.DUMMYFUNCTION("""COMPUTED_VALUE"""),"Propiciar la formalización de la pesca y la acuicultura")</f>
        <v>Propiciar la formalización de la pesca y la acuicultura</v>
      </c>
      <c r="AD76" s="47" t="str">
        <f>IFERROR(__xludf.DUMMYFUNCTION("""COMPUTED_VALUE"""),"Evaluación de Resultados")</f>
        <v>Evaluación de Resultados</v>
      </c>
      <c r="AE76" s="47" t="str">
        <f>IFERROR(__xludf.DUMMYFUNCTION("""COMPUTED_VALUE"""),"Seguimiento y evaluación del desempeño institucional")</f>
        <v>Seguimiento y evaluación del desempeño institucional</v>
      </c>
      <c r="AF76" s="47" t="str">
        <f>IFERROR(__xludf.DUMMYFUNCTION("""COMPUTED_VALUE"""),"16. Paz, justicia e instituciones sólidas")</f>
        <v>16. Paz, justicia e instituciones sólidas</v>
      </c>
      <c r="AG76" s="82">
        <f>IFERROR(__xludf.DUMMYFUNCTION("""COMPUTED_VALUE"""),1.0)</f>
        <v>1</v>
      </c>
      <c r="AH76" s="59" t="str">
        <f>IFERROR(__xludf.DUMMYFUNCTION("""COMPUTED_VALUE"""),"Se realizo el informe de gestion de la entidad para la vigencia 2021.")</f>
        <v>Se realizo el informe de gestion de la entidad para la vigencia 2021.</v>
      </c>
      <c r="AI76" s="81" t="str">
        <f>IFERROR(__xludf.DUMMYFUNCTION("""COMPUTED_VALUE"""),"https://www.aunap.gov.co/rendicion-de-cuentas/")</f>
        <v>https://www.aunap.gov.co/rendicion-de-cuentas/</v>
      </c>
      <c r="AJ76" s="59">
        <f>IFERROR(__xludf.DUMMYFUNCTION("""COMPUTED_VALUE"""),1.0)</f>
        <v>1</v>
      </c>
      <c r="AK76" s="59" t="str">
        <f>IFERROR(__xludf.DUMMYFUNCTION("""COMPUTED_VALUE"""),"Se realizo el cumplimiento de las acciones propuestas para la vigencia 2021")</f>
        <v>Se realizo el cumplimiento de las acciones propuestas para la vigencia 2021</v>
      </c>
      <c r="AL76" s="59"/>
      <c r="AM76" s="60"/>
      <c r="AN76" s="61" t="str">
        <f>IFERROR(IF((AO76+1)&lt;2,Alertas!$B$2&amp;TEXT(AO76,"0%")&amp;Alertas!$D$2, IF((AO76+1)=2,Alertas!$B$3,IF((AO76+1)&gt;2,Alertas!$B$4&amp;TEXT(AO76,"0%")&amp;Alertas!$D$4,AO76+1))),"Sin meta para el segundo trimestre")</f>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76" s="62">
        <f t="shared" si="2"/>
        <v>2</v>
      </c>
      <c r="AP76" s="61" t="str">
        <f t="shared" si="3"/>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76" s="63"/>
      <c r="AR76" s="64"/>
      <c r="AS76" s="65"/>
      <c r="AT76" s="65"/>
      <c r="AU76" s="66"/>
      <c r="AV76" s="67"/>
      <c r="AW76" s="68"/>
      <c r="AX76" s="63"/>
      <c r="AY76" s="64"/>
      <c r="AZ76" s="69"/>
      <c r="BA76" s="65"/>
      <c r="BB76" s="70"/>
      <c r="BC76" s="71"/>
      <c r="BD76" s="72"/>
      <c r="BE76" s="73"/>
      <c r="BF76" s="64"/>
      <c r="BG76" s="69"/>
      <c r="BH76" s="65"/>
      <c r="BI76" s="66"/>
      <c r="BJ76" s="71"/>
      <c r="BK76" s="72"/>
      <c r="BL76" s="74"/>
      <c r="BN76" s="5" t="str">
        <f t="shared" si="23"/>
        <v>1</v>
      </c>
      <c r="BP76" s="5"/>
    </row>
    <row r="77" ht="37.5" customHeight="1">
      <c r="A77" s="45"/>
      <c r="B77" s="46">
        <f>IFERROR(__xludf.DUMMYFUNCTION("""COMPUTED_VALUE"""),75.0)</f>
        <v>75</v>
      </c>
      <c r="C77" s="47" t="str">
        <f>IFERROR(__xludf.DUMMYFUNCTION("""COMPUTED_VALUE"""),"Direccionamiento estratégico")</f>
        <v>Direccionamiento estratégico</v>
      </c>
      <c r="D77" s="48" t="str">
        <f>IFERROR(__xludf.DUMMYFUNCTION("""COMPUTED_VALUE"""),"Planeación")</f>
        <v>Planeación</v>
      </c>
      <c r="E77" s="48" t="str">
        <f>IFERROR(__xludf.DUMMYFUNCTION("""COMPUTED_VALUE"""),"Fortalecimiento de la capacidad de gestión de la autoridad nacional de acuicultura y pesca - aunap nacional")</f>
        <v>Fortalecimiento de la capacidad de gestión de la autoridad nacional de acuicultura y pesca - aunap nacional</v>
      </c>
      <c r="F77" s="49">
        <f>IFERROR(__xludf.DUMMYFUNCTION("""COMPUTED_VALUE"""),2.018011000241E12)</f>
        <v>2018011000241</v>
      </c>
      <c r="G77" s="50" t="str">
        <f>IFERROR(__xludf.DUMMYFUNCTION("""COMPUTED_VALUE"""),"Fortalecimiento")</f>
        <v>Fortalecimiento</v>
      </c>
      <c r="H77" s="48" t="str">
        <f>IFERROR(__xludf.DUMMYFUNCTION("""COMPUTED_VALUE"""),"Fortalecer los sistemas de gestión de la Entidad")</f>
        <v>Fortalecer los sistemas de gestión de la Entidad</v>
      </c>
      <c r="I77" s="48" t="str">
        <f>IFERROR(__xludf.DUMMYFUNCTION("""COMPUTED_VALUE"""),"Servicio de Implementación Sistemas de Gestión")</f>
        <v>Servicio de Implementación Sistemas de Gestión</v>
      </c>
      <c r="J77"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77" s="51" t="str">
        <f>IFERROR(__xludf.DUMMYFUNCTION("""COMPUTED_VALUE"""),"Gestión del área")</f>
        <v>Gestión del área</v>
      </c>
      <c r="L77" s="51" t="str">
        <f>IFERROR(__xludf.DUMMYFUNCTION("""COMPUTED_VALUE"""),"Eficiencia")</f>
        <v>Eficiencia</v>
      </c>
      <c r="M77" s="51" t="str">
        <f>IFERROR(__xludf.DUMMYFUNCTION("""COMPUTED_VALUE"""),"Número")</f>
        <v>Número</v>
      </c>
      <c r="N77" s="52" t="str">
        <f>IFERROR(__xludf.DUMMYFUNCTION("""COMPUTED_VALUE"""),"Número de talleres realizados en regionales/Número de talleres programados en regionales")</f>
        <v>Número de talleres realizados en regionales/Número de talleres programados en regionales</v>
      </c>
      <c r="O77" s="53"/>
      <c r="P77" s="54">
        <f>IFERROR(__xludf.DUMMYFUNCTION("""COMPUTED_VALUE"""),7.0)</f>
        <v>7</v>
      </c>
      <c r="Q77" s="55" t="str">
        <f>IFERROR(__xludf.DUMMYFUNCTION("""COMPUTED_VALUE"""),"Realizar siete (7) talleres de manera presencial o virtual en temas de Planeación dirigido a las Direcciones Regionales.")</f>
        <v>Realizar siete (7) talleres de manera presencial o virtual en temas de Planeación dirigido a las Direcciones Regionales.</v>
      </c>
      <c r="R77" s="14" t="str">
        <f>IFERROR(__xludf.DUMMYFUNCTION("""COMPUTED_VALUE"""),"Trimestral")</f>
        <v>Trimestral</v>
      </c>
      <c r="S77" s="54">
        <f>IFERROR(__xludf.DUMMYFUNCTION("""COMPUTED_VALUE"""),1.0)</f>
        <v>1</v>
      </c>
      <c r="T77" s="54">
        <f>IFERROR(__xludf.DUMMYFUNCTION("""COMPUTED_VALUE"""),0.0)</f>
        <v>0</v>
      </c>
      <c r="U77" s="54">
        <f>IFERROR(__xludf.DUMMYFUNCTION("""COMPUTED_VALUE"""),2.0)</f>
        <v>2</v>
      </c>
      <c r="V77" s="54">
        <f>IFERROR(__xludf.DUMMYFUNCTION("""COMPUTED_VALUE"""),4.0)</f>
        <v>4</v>
      </c>
      <c r="W77" s="56" t="str">
        <f>IFERROR(__xludf.DUMMYFUNCTION("""COMPUTED_VALUE"""),"Planeación")</f>
        <v>Planeación</v>
      </c>
      <c r="X77" s="57" t="str">
        <f>IFERROR(__xludf.DUMMYFUNCTION("""COMPUTED_VALUE"""),"Elsa Malo Lecompte")</f>
        <v>Elsa Malo Lecompte</v>
      </c>
      <c r="Y77" s="47" t="str">
        <f>IFERROR(__xludf.DUMMYFUNCTION("""COMPUTED_VALUE"""),"Profesional Especializado con Funciones de Planeación")</f>
        <v>Profesional Especializado con Funciones de Planeación</v>
      </c>
      <c r="Z77" s="57" t="str">
        <f>IFERROR(__xludf.DUMMYFUNCTION("""COMPUTED_VALUE"""),"elsa.malo@aunap.gov.co")</f>
        <v>elsa.malo@aunap.gov.co</v>
      </c>
      <c r="AA77" s="47" t="str">
        <f>IFERROR(__xludf.DUMMYFUNCTION("""COMPUTED_VALUE"""),"Talento Humano")</f>
        <v>Talento Humano</v>
      </c>
      <c r="AB77" s="47" t="str">
        <f>IFERROR(__xludf.DUMMYFUNCTION("""COMPUTED_VALUE"""),"No asociado")</f>
        <v>No asociado</v>
      </c>
      <c r="AC77" s="47" t="str">
        <f>IFERROR(__xludf.DUMMYFUNCTION("""COMPUTED_VALUE"""),"Propiciar la formalización de la pesca y la acuicultura")</f>
        <v>Propiciar la formalización de la pesca y la acuicultura</v>
      </c>
      <c r="AD77" s="47" t="str">
        <f>IFERROR(__xludf.DUMMYFUNCTION("""COMPUTED_VALUE"""),"Direccionamiento Estratégico")</f>
        <v>Direccionamiento Estratégico</v>
      </c>
      <c r="AE77" s="47" t="str">
        <f>IFERROR(__xludf.DUMMYFUNCTION("""COMPUTED_VALUE"""),"Planeación Institucional")</f>
        <v>Planeación Institucional</v>
      </c>
      <c r="AF77" s="47" t="str">
        <f>IFERROR(__xludf.DUMMYFUNCTION("""COMPUTED_VALUE"""),"16. Paz, justicia e instituciones sólidas")</f>
        <v>16. Paz, justicia e instituciones sólidas</v>
      </c>
      <c r="AG77" s="82">
        <f>IFERROR(__xludf.DUMMYFUNCTION("""COMPUTED_VALUE"""),4.0)</f>
        <v>4</v>
      </c>
      <c r="AH77" s="59" t="str">
        <f>IFERROR(__xludf.DUMMYFUNCTION("""COMPUTED_VALUE"""),"Se realizaron cuatro (4) talleres de manera presencial o virtual en temas de Planeación dirigido a las Direcciones Regionales.")</f>
        <v>Se realizaron cuatro (4) talleres de manera presencial o virtual en temas de Planeación dirigido a las Direcciones Regionales.</v>
      </c>
      <c r="AI77" s="81" t="str">
        <f>IFERROR(__xludf.DUMMYFUNCTION("""COMPUTED_VALUE"""),"https://drive.google.com/drive/folders/19XGt-n_00v6piPjgBFn0Y3GwOmTj7D6K?usp=sharing")</f>
        <v>https://drive.google.com/drive/folders/19XGt-n_00v6piPjgBFn0Y3GwOmTj7D6K?usp=sharing</v>
      </c>
      <c r="AJ77" s="59">
        <f>IFERROR(__xludf.DUMMYFUNCTION("""COMPUTED_VALUE"""),7.0)</f>
        <v>7</v>
      </c>
      <c r="AK77" s="59" t="str">
        <f>IFERROR(__xludf.DUMMYFUNCTION("""COMPUTED_VALUE"""),"Se realizo el cumplimiento de las acciones propuestas para la vigencia 2021")</f>
        <v>Se realizo el cumplimiento de las acciones propuestas para la vigencia 2021</v>
      </c>
      <c r="AL77" s="59"/>
      <c r="AM77" s="60"/>
      <c r="AN77" s="61" t="str">
        <f>IFERROR(IF((AO77+1)&lt;2,Alertas!$B$2&amp;TEXT(AO77,"0%")&amp;Alertas!$D$2, IF((AO77+1)=2,Alertas!$B$3,IF((AO77+1)&gt;2,Alertas!$B$4&amp;TEXT(AO77,"0%")&amp;Alertas!$D$4,AO77+1))),"Sin meta para el segundo trimestre")</f>
        <v>La ejecución de la meta registrada se encuentra por encima de la meta programada en la formulación del plan de acción para el segundo trimestre, su porcentaje de cumplimiento es 500%,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77" s="62">
        <f t="shared" si="2"/>
        <v>5</v>
      </c>
      <c r="AP77" s="61" t="str">
        <f t="shared" si="3"/>
        <v>La ejecución de la meta registrada se encuentra por encima de la meta programada en la formulación del plan de acción para el segundo trimestre, su porcentaje de cumplimiento es 500%,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77" s="63"/>
      <c r="AR77" s="64"/>
      <c r="AS77" s="65"/>
      <c r="AT77" s="65"/>
      <c r="AU77" s="66"/>
      <c r="AV77" s="67"/>
      <c r="AW77" s="68"/>
      <c r="AX77" s="63"/>
      <c r="AY77" s="64"/>
      <c r="AZ77" s="69"/>
      <c r="BA77" s="65"/>
      <c r="BB77" s="70"/>
      <c r="BC77" s="71"/>
      <c r="BD77" s="72"/>
      <c r="BE77" s="73"/>
      <c r="BF77" s="64"/>
      <c r="BG77" s="69"/>
      <c r="BH77" s="65"/>
      <c r="BI77" s="66"/>
      <c r="BJ77" s="71"/>
      <c r="BK77" s="72"/>
      <c r="BL77" s="74"/>
      <c r="BN77" s="5" t="str">
        <f t="shared" si="23"/>
        <v>1</v>
      </c>
      <c r="BP77" s="5"/>
    </row>
    <row r="78" ht="37.5" customHeight="1">
      <c r="A78" s="45"/>
      <c r="B78" s="46">
        <f>IFERROR(__xludf.DUMMYFUNCTION("""COMPUTED_VALUE"""),76.0)</f>
        <v>76</v>
      </c>
      <c r="C78" s="47" t="str">
        <f>IFERROR(__xludf.DUMMYFUNCTION("""COMPUTED_VALUE"""),"Direccionamiento estratégico")</f>
        <v>Direccionamiento estratégico</v>
      </c>
      <c r="D78" s="48" t="str">
        <f>IFERROR(__xludf.DUMMYFUNCTION("""COMPUTED_VALUE"""),"Planeación")</f>
        <v>Planeación</v>
      </c>
      <c r="E78" s="48" t="str">
        <f>IFERROR(__xludf.DUMMYFUNCTION("""COMPUTED_VALUE"""),"Fortalecimiento de la capacidad de gestión de la autoridad nacional de acuicultura y pesca - aunap nacional")</f>
        <v>Fortalecimiento de la capacidad de gestión de la autoridad nacional de acuicultura y pesca - aunap nacional</v>
      </c>
      <c r="F78" s="49">
        <f>IFERROR(__xludf.DUMMYFUNCTION("""COMPUTED_VALUE"""),2.018011000241E12)</f>
        <v>2018011000241</v>
      </c>
      <c r="G78" s="50" t="str">
        <f>IFERROR(__xludf.DUMMYFUNCTION("""COMPUTED_VALUE"""),"Fortalecimiento")</f>
        <v>Fortalecimiento</v>
      </c>
      <c r="H78" s="48" t="str">
        <f>IFERROR(__xludf.DUMMYFUNCTION("""COMPUTED_VALUE"""),"Fortalecer los sistemas de gestión de la Entidad")</f>
        <v>Fortalecer los sistemas de gestión de la Entidad</v>
      </c>
      <c r="I78" s="48" t="str">
        <f>IFERROR(__xludf.DUMMYFUNCTION("""COMPUTED_VALUE"""),"Servicio de Implementación Sistemas de Gestión")</f>
        <v>Servicio de Implementación Sistemas de Gestión</v>
      </c>
      <c r="J78"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78" s="51" t="str">
        <f>IFERROR(__xludf.DUMMYFUNCTION("""COMPUTED_VALUE"""),"Gestión del área")</f>
        <v>Gestión del área</v>
      </c>
      <c r="L78" s="51" t="str">
        <f>IFERROR(__xludf.DUMMYFUNCTION("""COMPUTED_VALUE"""),"Eficiencia")</f>
        <v>Eficiencia</v>
      </c>
      <c r="M78" s="51" t="str">
        <f>IFERROR(__xludf.DUMMYFUNCTION("""COMPUTED_VALUE"""),"Número")</f>
        <v>Número</v>
      </c>
      <c r="N78" s="52" t="str">
        <f>IFERROR(__xludf.DUMMYFUNCTION("""COMPUTED_VALUE"""),"Número de talleres realizados en nivel central/Número de talleres programados en nivel central")</f>
        <v>Número de talleres realizados en nivel central/Número de talleres programados en nivel central</v>
      </c>
      <c r="O78" s="53"/>
      <c r="P78" s="54">
        <f>IFERROR(__xludf.DUMMYFUNCTION("""COMPUTED_VALUE"""),4.0)</f>
        <v>4</v>
      </c>
      <c r="Q78" s="55" t="str">
        <f>IFERROR(__xludf.DUMMYFUNCTION("""COMPUTED_VALUE"""),"Realizar cuatro (4) talleres de manera presencial o virtual, dirigidos a funcionarios y contratistas en temas de Planeación de Nivel Central")</f>
        <v>Realizar cuatro (4) talleres de manera presencial o virtual, dirigidos a funcionarios y contratistas en temas de Planeación de Nivel Central</v>
      </c>
      <c r="R78" s="14" t="str">
        <f>IFERROR(__xludf.DUMMYFUNCTION("""COMPUTED_VALUE"""),"Trimestral")</f>
        <v>Trimestral</v>
      </c>
      <c r="S78" s="54">
        <f>IFERROR(__xludf.DUMMYFUNCTION("""COMPUTED_VALUE"""),0.0)</f>
        <v>0</v>
      </c>
      <c r="T78" s="54">
        <f>IFERROR(__xludf.DUMMYFUNCTION("""COMPUTED_VALUE"""),0.0)</f>
        <v>0</v>
      </c>
      <c r="U78" s="54">
        <f>IFERROR(__xludf.DUMMYFUNCTION("""COMPUTED_VALUE"""),2.0)</f>
        <v>2</v>
      </c>
      <c r="V78" s="54">
        <f>IFERROR(__xludf.DUMMYFUNCTION("""COMPUTED_VALUE"""),2.0)</f>
        <v>2</v>
      </c>
      <c r="W78" s="56" t="str">
        <f>IFERROR(__xludf.DUMMYFUNCTION("""COMPUTED_VALUE"""),"Planeación")</f>
        <v>Planeación</v>
      </c>
      <c r="X78" s="57" t="str">
        <f>IFERROR(__xludf.DUMMYFUNCTION("""COMPUTED_VALUE"""),"Elsa Malo Lecompte")</f>
        <v>Elsa Malo Lecompte</v>
      </c>
      <c r="Y78" s="47" t="str">
        <f>IFERROR(__xludf.DUMMYFUNCTION("""COMPUTED_VALUE"""),"Profesional Especializado con Funciones de Planeación")</f>
        <v>Profesional Especializado con Funciones de Planeación</v>
      </c>
      <c r="Z78" s="57" t="str">
        <f>IFERROR(__xludf.DUMMYFUNCTION("""COMPUTED_VALUE"""),"elsa.malo@aunap.gov.co")</f>
        <v>elsa.malo@aunap.gov.co</v>
      </c>
      <c r="AA78" s="47" t="str">
        <f>IFERROR(__xludf.DUMMYFUNCTION("""COMPUTED_VALUE"""),"Talento Humano")</f>
        <v>Talento Humano</v>
      </c>
      <c r="AB78" s="47" t="str">
        <f>IFERROR(__xludf.DUMMYFUNCTION("""COMPUTED_VALUE"""),"No asociado")</f>
        <v>No asociado</v>
      </c>
      <c r="AC78" s="47" t="str">
        <f>IFERROR(__xludf.DUMMYFUNCTION("""COMPUTED_VALUE"""),"Propiciar la formalización de la pesca y la acuicultura")</f>
        <v>Propiciar la formalización de la pesca y la acuicultura</v>
      </c>
      <c r="AD78" s="47" t="str">
        <f>IFERROR(__xludf.DUMMYFUNCTION("""COMPUTED_VALUE"""),"Direccionamiento Estratégico")</f>
        <v>Direccionamiento Estratégico</v>
      </c>
      <c r="AE78" s="47" t="str">
        <f>IFERROR(__xludf.DUMMYFUNCTION("""COMPUTED_VALUE"""),"Planeación Institucional")</f>
        <v>Planeación Institucional</v>
      </c>
      <c r="AF78" s="47" t="str">
        <f>IFERROR(__xludf.DUMMYFUNCTION("""COMPUTED_VALUE"""),"16. Paz, justicia e instituciones sólidas")</f>
        <v>16. Paz, justicia e instituciones sólidas</v>
      </c>
      <c r="AG78" s="82">
        <f>IFERROR(__xludf.DUMMYFUNCTION("""COMPUTED_VALUE"""),2.0)</f>
        <v>2</v>
      </c>
      <c r="AH78" s="59" t="str">
        <f>IFERROR(__xludf.DUMMYFUNCTION("""COMPUTED_VALUE"""),"Se realizaron dos (2) talleres de manera presencial o virtual en temas de Planeación dirigido al nivel central.")</f>
        <v>Se realizaron dos (2) talleres de manera presencial o virtual en temas de Planeación dirigido al nivel central.</v>
      </c>
      <c r="AI78" s="81" t="str">
        <f>IFERROR(__xludf.DUMMYFUNCTION("""COMPUTED_VALUE"""),"https://drive.google.com/drive/folders/1stQ7abrVMkRv1Xn4XCk_B6By_TFRvzv_?usp=sharing")</f>
        <v>https://drive.google.com/drive/folders/1stQ7abrVMkRv1Xn4XCk_B6By_TFRvzv_?usp=sharing</v>
      </c>
      <c r="AJ78" s="59">
        <f>IFERROR(__xludf.DUMMYFUNCTION("""COMPUTED_VALUE"""),4.0)</f>
        <v>4</v>
      </c>
      <c r="AK78" s="59" t="str">
        <f>IFERROR(__xludf.DUMMYFUNCTION("""COMPUTED_VALUE"""),"Se realizo el cumplimiento de las acciones propuestas para la vigencia 2021")</f>
        <v>Se realizo el cumplimiento de las acciones propuestas para la vigencia 2021</v>
      </c>
      <c r="AL78" s="59"/>
      <c r="AM78" s="60"/>
      <c r="AN78" s="61" t="str">
        <f>IFERROR(IF((AO78+1)&lt;2,Alertas!$B$2&amp;TEXT(AO78,"0%")&amp;Alertas!$D$2, IF((AO78+1)=2,Alertas!$B$3,IF((AO78+1)&gt;2,Alertas!$B$4&amp;TEXT(AO78,"0%")&amp;Alertas!$D$4,AO78+1))),"Sin meta para el segundo trimestre")</f>
        <v>La ejecución de la meta registrada se encuentra por encima de la meta programada en la formulación del plan de acción para el segundo trimestre, su porcentaje de cumplimiento es 300%,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78" s="62">
        <f t="shared" si="2"/>
        <v>3</v>
      </c>
      <c r="AP78" s="61" t="str">
        <f t="shared" si="3"/>
        <v>La ejecución de la meta registrada se encuentra por encima de la meta programada en la formulación del plan de acción para el segundo trimestre, su porcentaje de cumplimiento es 300%,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78" s="63"/>
      <c r="AR78" s="64"/>
      <c r="AS78" s="65"/>
      <c r="AT78" s="65"/>
      <c r="AU78" s="66"/>
      <c r="AV78" s="67"/>
      <c r="AW78" s="68"/>
      <c r="AX78" s="63"/>
      <c r="AY78" s="64"/>
      <c r="AZ78" s="69"/>
      <c r="BA78" s="65"/>
      <c r="BB78" s="70"/>
      <c r="BC78" s="71"/>
      <c r="BD78" s="72"/>
      <c r="BE78" s="73"/>
      <c r="BF78" s="64"/>
      <c r="BG78" s="69"/>
      <c r="BH78" s="65"/>
      <c r="BI78" s="66"/>
      <c r="BJ78" s="71"/>
      <c r="BK78" s="72"/>
      <c r="BL78" s="74"/>
      <c r="BN78" s="5" t="str">
        <f t="shared" si="23"/>
        <v>1</v>
      </c>
      <c r="BP78" s="5"/>
    </row>
    <row r="79" ht="37.5" customHeight="1">
      <c r="A79" s="45"/>
      <c r="B79" s="46">
        <f>IFERROR(__xludf.DUMMYFUNCTION("""COMPUTED_VALUE"""),77.0)</f>
        <v>77</v>
      </c>
      <c r="C79" s="47" t="str">
        <f>IFERROR(__xludf.DUMMYFUNCTION("""COMPUTED_VALUE"""),"Gestión de la información y generación del conocimiento")</f>
        <v>Gestión de la información y generación del conocimiento</v>
      </c>
      <c r="D79" s="48" t="str">
        <f>IFERROR(__xludf.DUMMYFUNCTION("""COMPUTED_VALUE"""),"Sistemas")</f>
        <v>Sistemas</v>
      </c>
      <c r="E79" s="48" t="str">
        <f>IFERROR(__xludf.DUMMYFUNCTION("""COMPUTED_VALUE"""),"Fortalecimiento de la capacidad de gestión de la autoridad nacional de acuicultura y pesca - aunap nacional")</f>
        <v>Fortalecimiento de la capacidad de gestión de la autoridad nacional de acuicultura y pesca - aunap nacional</v>
      </c>
      <c r="F79" s="49">
        <f>IFERROR(__xludf.DUMMYFUNCTION("""COMPUTED_VALUE"""),2.018011000241E12)</f>
        <v>2018011000241</v>
      </c>
      <c r="G79" s="50" t="str">
        <f>IFERROR(__xludf.DUMMYFUNCTION("""COMPUTED_VALUE"""),"Fortalecimiento")</f>
        <v>Fortalecimiento</v>
      </c>
      <c r="H79" s="48" t="str">
        <f>IFERROR(__xludf.DUMMYFUNCTION("""COMPUTED_VALUE"""),"Fortalecer la Infraestructura Tecnológica de la entidad")</f>
        <v>Fortalecer la Infraestructura Tecnológica de la entidad</v>
      </c>
      <c r="I79" s="48" t="str">
        <f>IFERROR(__xludf.DUMMYFUNCTION("""COMPUTED_VALUE"""),"Servicios tecnológicos")</f>
        <v>Servicios tecnológicos</v>
      </c>
      <c r="J79" s="48" t="str">
        <f>IFERROR(__xludf.DUMMYFUNCTION("""COMPUTED_VALUE"""),"Implementar y gestionar los procesos de soporte y mantenimiento de los servicios Tecnológicos de la Entidad.")</f>
        <v>Implementar y gestionar los procesos de soporte y mantenimiento de los servicios Tecnológicos de la Entidad.</v>
      </c>
      <c r="K79" s="51" t="str">
        <f>IFERROR(__xludf.DUMMYFUNCTION("""COMPUTED_VALUE"""),"Gestión del área")</f>
        <v>Gestión del área</v>
      </c>
      <c r="L79" s="51" t="str">
        <f>IFERROR(__xludf.DUMMYFUNCTION("""COMPUTED_VALUE"""),"Eficacia")</f>
        <v>Eficacia</v>
      </c>
      <c r="M79" s="51" t="str">
        <f>IFERROR(__xludf.DUMMYFUNCTION("""COMPUTED_VALUE"""),"Número")</f>
        <v>Número</v>
      </c>
      <c r="N79" s="52" t="str">
        <f>IFERROR(__xludf.DUMMYFUNCTION("""COMPUTED_VALUE"""),"Lista de activos tangibles e intangibles operando")</f>
        <v>Lista de activos tangibles e intangibles operando</v>
      </c>
      <c r="O79" s="53">
        <f>IFERROR(__xludf.DUMMYFUNCTION("""COMPUTED_VALUE"""),1.0)</f>
        <v>1</v>
      </c>
      <c r="P79" s="54">
        <f>IFERROR(__xludf.DUMMYFUNCTION("""COMPUTED_VALUE"""),1.0)</f>
        <v>1</v>
      </c>
      <c r="Q79" s="55" t="str">
        <f>IFERROR(__xludf.DUMMYFUNCTION("""COMPUTED_VALUE"""),"Mantener actualizado el inventario de activos de las TICs que facilite el plan de mantenimiento.")</f>
        <v>Mantener actualizado el inventario de activos de las TICs que facilite el plan de mantenimiento.</v>
      </c>
      <c r="R79" s="14" t="str">
        <f>IFERROR(__xludf.DUMMYFUNCTION("""COMPUTED_VALUE"""),"Anual")</f>
        <v>Anual</v>
      </c>
      <c r="S79" s="54">
        <f>IFERROR(__xludf.DUMMYFUNCTION("""COMPUTED_VALUE"""),0.0)</f>
        <v>0</v>
      </c>
      <c r="T79" s="54">
        <f>IFERROR(__xludf.DUMMYFUNCTION("""COMPUTED_VALUE"""),0.0)</f>
        <v>0</v>
      </c>
      <c r="U79" s="54">
        <f>IFERROR(__xludf.DUMMYFUNCTION("""COMPUTED_VALUE"""),0.0)</f>
        <v>0</v>
      </c>
      <c r="V79" s="54">
        <f>IFERROR(__xludf.DUMMYFUNCTION("""COMPUTED_VALUE"""),1.0)</f>
        <v>1</v>
      </c>
      <c r="W79" s="56" t="str">
        <f>IFERROR(__xludf.DUMMYFUNCTION("""COMPUTED_VALUE"""),"Sistemas")</f>
        <v>Sistemas</v>
      </c>
      <c r="X79" s="57" t="str">
        <f>IFERROR(__xludf.DUMMYFUNCTION("""COMPUTED_VALUE"""),"Maria Angarita Peñaranda")</f>
        <v>Maria Angarita Peñaranda</v>
      </c>
      <c r="Y79" s="47" t="str">
        <f>IFERROR(__xludf.DUMMYFUNCTION("""COMPUTED_VALUE"""),"Jefe de Oficina")</f>
        <v>Jefe de Oficina</v>
      </c>
      <c r="Z79" s="57" t="str">
        <f>IFERROR(__xludf.DUMMYFUNCTION("""COMPUTED_VALUE"""),"maria.angarita@aunap.gov.co")</f>
        <v>maria.angarita@aunap.gov.co</v>
      </c>
      <c r="AA79" s="47" t="str">
        <f>IFERROR(__xludf.DUMMYFUNCTION("""COMPUTED_VALUE"""),"Humanos, fisicos, financieros y tecnologicos")</f>
        <v>Humanos, fisicos, financieros y tecnologicos</v>
      </c>
      <c r="AB79" s="47" t="str">
        <f>IFERROR(__xludf.DUMMYFUNCTION("""COMPUTED_VALUE"""),"Plan Estratégico de Tecnologías de la Información y las Comunicaciones -PETIT")</f>
        <v>Plan Estratégico de Tecnologías de la Información y las Comunicaciones -PETIT</v>
      </c>
      <c r="AC79" s="47" t="str">
        <f>IFERROR(__xludf.DUMMYFUNCTION("""COMPUTED_VALUE"""),"Llegar con actividades de pesca y acuicultura a todas las regiones")</f>
        <v>Llegar con actividades de pesca y acuicultura a todas las regiones</v>
      </c>
      <c r="AD79" s="47" t="str">
        <f>IFERROR(__xludf.DUMMYFUNCTION("""COMPUTED_VALUE"""),"Gestión del conocimiento")</f>
        <v>Gestión del conocimiento</v>
      </c>
      <c r="AE79" s="47" t="str">
        <f>IFERROR(__xludf.DUMMYFUNCTION("""COMPUTED_VALUE"""),"Seguridad Digital")</f>
        <v>Seguridad Digital</v>
      </c>
      <c r="AF79" s="47" t="str">
        <f>IFERROR(__xludf.DUMMYFUNCTION("""COMPUTED_VALUE"""),"9. Industria, innovación e infraestructura")</f>
        <v>9. Industria, innovación e infraestructura</v>
      </c>
      <c r="AG79" s="58">
        <f>IFERROR(__xludf.DUMMYFUNCTION("""COMPUTED_VALUE"""),1.0)</f>
        <v>1</v>
      </c>
      <c r="AH79" s="59" t="str">
        <f>IFERROR(__xludf.DUMMYFUNCTION("""COMPUTED_VALUE"""),"Se adjunta lista de activos tangibles e intangibles, los cuales se encuentran operando")</f>
        <v>Se adjunta lista de activos tangibles e intangibles, los cuales se encuentran operando</v>
      </c>
      <c r="AI79" s="81" t="str">
        <f>IFERROR(__xludf.DUMMYFUNCTION("""COMPUTED_VALUE"""),"https://drive.google.com/file/d/1smkUL8QxFwqtU9VFphCIYs86sMk50zZO/view?usp=sharing")</f>
        <v>https://drive.google.com/file/d/1smkUL8QxFwqtU9VFphCIYs86sMk50zZO/view?usp=sharing</v>
      </c>
      <c r="AJ79" s="59">
        <f>IFERROR(__xludf.DUMMYFUNCTION("""COMPUTED_VALUE"""),1.0)</f>
        <v>1</v>
      </c>
      <c r="AK79" s="59" t="str">
        <f>IFERROR(__xludf.DUMMYFUNCTION("""COMPUTED_VALUE"""),"Se cumplio con la meta propuesta para el año")</f>
        <v>Se cumplio con la meta propuesta para el año</v>
      </c>
      <c r="AL79" s="59">
        <f>IFERROR(__xludf.DUMMYFUNCTION("""COMPUTED_VALUE"""),44582.0)</f>
        <v>44582</v>
      </c>
      <c r="AM79" s="60"/>
      <c r="AN79" s="61" t="str">
        <f>IFERROR(IF((AO79+1)&lt;2,Alertas!$B$2&amp;TEXT(AO79,"0%")&amp;Alertas!$D$2, IF((AO79+1)=2,Alertas!$B$3,IF((AO79+1)&gt;2,Alertas!$B$4&amp;TEXT(AO79,"0%")&amp;Alertas!$D$4,AO79+1))),"Sin meta para el segundo trimestre")</f>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79" s="62">
        <f t="shared" si="2"/>
        <v>2</v>
      </c>
      <c r="AP79" s="61" t="str">
        <f t="shared" si="3"/>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79" s="63"/>
      <c r="AR79" s="64"/>
      <c r="AS79" s="65"/>
      <c r="AT79" s="65"/>
      <c r="AU79" s="66"/>
      <c r="AV79" s="67"/>
      <c r="AW79" s="68"/>
      <c r="AX79" s="63"/>
      <c r="AY79" s="64"/>
      <c r="AZ79" s="69"/>
      <c r="BA79" s="65"/>
      <c r="BB79" s="70"/>
      <c r="BC79" s="71"/>
      <c r="BD79" s="72"/>
      <c r="BE79" s="73"/>
      <c r="BF79" s="64"/>
      <c r="BG79" s="69"/>
      <c r="BH79" s="65"/>
      <c r="BI79" s="66"/>
      <c r="BJ79" s="71"/>
      <c r="BK79" s="72"/>
      <c r="BL79" s="74"/>
      <c r="BN79" s="5" t="str">
        <f t="shared" si="23"/>
        <v>1</v>
      </c>
      <c r="BP79" s="5"/>
    </row>
    <row r="80" ht="37.5" customHeight="1">
      <c r="A80" s="45"/>
      <c r="B80" s="46">
        <f>IFERROR(__xludf.DUMMYFUNCTION("""COMPUTED_VALUE"""),78.0)</f>
        <v>78</v>
      </c>
      <c r="C80" s="47" t="str">
        <f>IFERROR(__xludf.DUMMYFUNCTION("""COMPUTED_VALUE"""),"Gestión de la información y generación del conocimiento")</f>
        <v>Gestión de la información y generación del conocimiento</v>
      </c>
      <c r="D80" s="48" t="str">
        <f>IFERROR(__xludf.DUMMYFUNCTION("""COMPUTED_VALUE"""),"Sistemas")</f>
        <v>Sistemas</v>
      </c>
      <c r="E80" s="48" t="str">
        <f>IFERROR(__xludf.DUMMYFUNCTION("""COMPUTED_VALUE"""),"Fortalecimiento de la capacidad de gestión de la autoridad nacional de acuicultura y pesca - aunap nacional")</f>
        <v>Fortalecimiento de la capacidad de gestión de la autoridad nacional de acuicultura y pesca - aunap nacional</v>
      </c>
      <c r="F80" s="49">
        <f>IFERROR(__xludf.DUMMYFUNCTION("""COMPUTED_VALUE"""),2.018011000241E12)</f>
        <v>2018011000241</v>
      </c>
      <c r="G80" s="50" t="str">
        <f>IFERROR(__xludf.DUMMYFUNCTION("""COMPUTED_VALUE"""),"Fortalecimiento")</f>
        <v>Fortalecimiento</v>
      </c>
      <c r="H80" s="48" t="str">
        <f>IFERROR(__xludf.DUMMYFUNCTION("""COMPUTED_VALUE"""),"Fortalecer la Infraestructura Tecnológica de la entidad")</f>
        <v>Fortalecer la Infraestructura Tecnológica de la entidad</v>
      </c>
      <c r="I80" s="48" t="str">
        <f>IFERROR(__xludf.DUMMYFUNCTION("""COMPUTED_VALUE"""),"Servicios tecnológicos")</f>
        <v>Servicios tecnológicos</v>
      </c>
      <c r="J80" s="48" t="str">
        <f>IFERROR(__xludf.DUMMYFUNCTION("""COMPUTED_VALUE"""),"Actualizar la infraestructura (hardware y software) de servicios, para soportar la gestión de los procesos de entidad")</f>
        <v>Actualizar la infraestructura (hardware y software) de servicios, para soportar la gestión de los procesos de entidad</v>
      </c>
      <c r="K80" s="51" t="str">
        <f>IFERROR(__xludf.DUMMYFUNCTION("""COMPUTED_VALUE"""),"Gestión del área")</f>
        <v>Gestión del área</v>
      </c>
      <c r="L80" s="51" t="str">
        <f>IFERROR(__xludf.DUMMYFUNCTION("""COMPUTED_VALUE"""),"Eficacia")</f>
        <v>Eficacia</v>
      </c>
      <c r="M80" s="51" t="str">
        <f>IFERROR(__xludf.DUMMYFUNCTION("""COMPUTED_VALUE"""),"Número")</f>
        <v>Número</v>
      </c>
      <c r="N80" s="52" t="str">
        <f>IFERROR(__xludf.DUMMYFUNCTION("""COMPUTED_VALUE"""),"Lista de equipos adquiridos que fortalecen la operación de la AUNAP")</f>
        <v>Lista de equipos adquiridos que fortalecen la operación de la AUNAP</v>
      </c>
      <c r="O80" s="53">
        <f>IFERROR(__xludf.DUMMYFUNCTION("""COMPUTED_VALUE"""),1.0)</f>
        <v>1</v>
      </c>
      <c r="P80" s="54">
        <f>IFERROR(__xludf.DUMMYFUNCTION("""COMPUTED_VALUE"""),1.0)</f>
        <v>1</v>
      </c>
      <c r="Q80" s="55" t="str">
        <f>IFERROR(__xludf.DUMMYFUNCTION("""COMPUTED_VALUE"""),"Continuar con el fortalecemiento de la infraestructura de TICs para atender los requerimientos tecnológicos de las diferentes dependencias y oficinas de la AUNAP a nivel central y regional y su DATACENTER")</f>
        <v>Continuar con el fortalecemiento de la infraestructura de TICs para atender los requerimientos tecnológicos de las diferentes dependencias y oficinas de la AUNAP a nivel central y regional y su DATACENTER</v>
      </c>
      <c r="R80" s="14" t="str">
        <f>IFERROR(__xludf.DUMMYFUNCTION("""COMPUTED_VALUE"""),"Anual")</f>
        <v>Anual</v>
      </c>
      <c r="S80" s="54">
        <f>IFERROR(__xludf.DUMMYFUNCTION("""COMPUTED_VALUE"""),0.0)</f>
        <v>0</v>
      </c>
      <c r="T80" s="54">
        <f>IFERROR(__xludf.DUMMYFUNCTION("""COMPUTED_VALUE"""),0.0)</f>
        <v>0</v>
      </c>
      <c r="U80" s="54">
        <f>IFERROR(__xludf.DUMMYFUNCTION("""COMPUTED_VALUE"""),0.0)</f>
        <v>0</v>
      </c>
      <c r="V80" s="54">
        <f>IFERROR(__xludf.DUMMYFUNCTION("""COMPUTED_VALUE"""),1.0)</f>
        <v>1</v>
      </c>
      <c r="W80" s="56" t="str">
        <f>IFERROR(__xludf.DUMMYFUNCTION("""COMPUTED_VALUE"""),"Sistemas")</f>
        <v>Sistemas</v>
      </c>
      <c r="X80" s="57" t="str">
        <f>IFERROR(__xludf.DUMMYFUNCTION("""COMPUTED_VALUE"""),"Maria Angarita Peñaranda")</f>
        <v>Maria Angarita Peñaranda</v>
      </c>
      <c r="Y80" s="47" t="str">
        <f>IFERROR(__xludf.DUMMYFUNCTION("""COMPUTED_VALUE"""),"Jefe de Oficina")</f>
        <v>Jefe de Oficina</v>
      </c>
      <c r="Z80" s="57" t="str">
        <f>IFERROR(__xludf.DUMMYFUNCTION("""COMPUTED_VALUE"""),"maria.angarita@aunap.gov.co")</f>
        <v>maria.angarita@aunap.gov.co</v>
      </c>
      <c r="AA80" s="47" t="str">
        <f>IFERROR(__xludf.DUMMYFUNCTION("""COMPUTED_VALUE"""),"Humanos, fisicos, financieros y tecnologicos")</f>
        <v>Humanos, fisicos, financieros y tecnologicos</v>
      </c>
      <c r="AB80" s="47" t="str">
        <f>IFERROR(__xludf.DUMMYFUNCTION("""COMPUTED_VALUE"""),"Plan Estratégico de Tecnologías de la Información y las Comunicaciones -PETIT")</f>
        <v>Plan Estratégico de Tecnologías de la Información y las Comunicaciones -PETIT</v>
      </c>
      <c r="AC80" s="47" t="str">
        <f>IFERROR(__xludf.DUMMYFUNCTION("""COMPUTED_VALUE"""),"Llegar con actividades de pesca y acuicultura a todas las regiones")</f>
        <v>Llegar con actividades de pesca y acuicultura a todas las regiones</v>
      </c>
      <c r="AD80" s="47" t="str">
        <f>IFERROR(__xludf.DUMMYFUNCTION("""COMPUTED_VALUE"""),"Gestión del conocimiento")</f>
        <v>Gestión del conocimiento</v>
      </c>
      <c r="AE80" s="47" t="str">
        <f>IFERROR(__xludf.DUMMYFUNCTION("""COMPUTED_VALUE"""),"Seguridad Digital")</f>
        <v>Seguridad Digital</v>
      </c>
      <c r="AF80" s="47" t="str">
        <f>IFERROR(__xludf.DUMMYFUNCTION("""COMPUTED_VALUE"""),"9. Industria, innovación e infraestructura")</f>
        <v>9. Industria, innovación e infraestructura</v>
      </c>
      <c r="AG80" s="58">
        <f>IFERROR(__xludf.DUMMYFUNCTION("""COMPUTED_VALUE"""),1.0)</f>
        <v>1</v>
      </c>
      <c r="AH80" s="59" t="str">
        <f>IFERROR(__xludf.DUMMYFUNCTION("""COMPUTED_VALUE"""),"Se adjunta lista de equipos adquiridos que fortalecen la operación de la AUNAP")</f>
        <v>Se adjunta lista de equipos adquiridos que fortalecen la operación de la AUNAP</v>
      </c>
      <c r="AI80" s="81" t="str">
        <f>IFERROR(__xludf.DUMMYFUNCTION("""COMPUTED_VALUE"""),"https://drive.google.com/file/d/1P1PGVlWqmjAw-ubR8LqXbA0wuBTejmKK/view?usp=sharing")</f>
        <v>https://drive.google.com/file/d/1P1PGVlWqmjAw-ubR8LqXbA0wuBTejmKK/view?usp=sharing</v>
      </c>
      <c r="AJ80" s="59">
        <f>IFERROR(__xludf.DUMMYFUNCTION("""COMPUTED_VALUE"""),1.0)</f>
        <v>1</v>
      </c>
      <c r="AK80" s="59" t="str">
        <f>IFERROR(__xludf.DUMMYFUNCTION("""COMPUTED_VALUE"""),"Se cumplio con la meta propuesta para el año")</f>
        <v>Se cumplio con la meta propuesta para el año</v>
      </c>
      <c r="AL80" s="59">
        <f>IFERROR(__xludf.DUMMYFUNCTION("""COMPUTED_VALUE"""),44582.0)</f>
        <v>44582</v>
      </c>
      <c r="AM80" s="60"/>
      <c r="AN80" s="61" t="str">
        <f>IFERROR(IF((AO80+1)&lt;2,Alertas!$B$2&amp;TEXT(AO80,"0%")&amp;Alertas!$D$2, IF((AO80+1)=2,Alertas!$B$3,IF((AO80+1)&gt;2,Alertas!$B$4&amp;TEXT(AO80,"0%")&amp;Alertas!$D$4,AO80+1))),"Sin meta para el segundo trimestre")</f>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80" s="62">
        <f t="shared" si="2"/>
        <v>2</v>
      </c>
      <c r="AP80" s="61" t="str">
        <f t="shared" si="3"/>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80" s="63"/>
      <c r="AR80" s="64"/>
      <c r="AS80" s="65"/>
      <c r="AT80" s="65"/>
      <c r="AU80" s="66"/>
      <c r="AV80" s="67"/>
      <c r="AW80" s="68"/>
      <c r="AX80" s="63"/>
      <c r="AY80" s="64"/>
      <c r="AZ80" s="69"/>
      <c r="BA80" s="65"/>
      <c r="BB80" s="70"/>
      <c r="BC80" s="71"/>
      <c r="BD80" s="72"/>
      <c r="BE80" s="73"/>
      <c r="BF80" s="64"/>
      <c r="BG80" s="69"/>
      <c r="BH80" s="65"/>
      <c r="BI80" s="66"/>
      <c r="BJ80" s="71"/>
      <c r="BK80" s="72"/>
      <c r="BL80" s="74"/>
      <c r="BN80" s="5" t="str">
        <f t="shared" si="23"/>
        <v>1</v>
      </c>
      <c r="BP80" s="5"/>
    </row>
    <row r="81" ht="37.5" customHeight="1">
      <c r="A81" s="45"/>
      <c r="B81" s="46">
        <f>IFERROR(__xludf.DUMMYFUNCTION("""COMPUTED_VALUE"""),79.0)</f>
        <v>79</v>
      </c>
      <c r="C81" s="47" t="str">
        <f>IFERROR(__xludf.DUMMYFUNCTION("""COMPUTED_VALUE"""),"Gestión de la información y generación del conocimiento")</f>
        <v>Gestión de la información y generación del conocimiento</v>
      </c>
      <c r="D81" s="48" t="str">
        <f>IFERROR(__xludf.DUMMYFUNCTION("""COMPUTED_VALUE"""),"Sistemas")</f>
        <v>Sistemas</v>
      </c>
      <c r="E81" s="48" t="str">
        <f>IFERROR(__xludf.DUMMYFUNCTION("""COMPUTED_VALUE"""),"Fortalecimiento de la capacidad de gestión de la autoridad nacional de acuicultura y pesca - aunap nacional")</f>
        <v>Fortalecimiento de la capacidad de gestión de la autoridad nacional de acuicultura y pesca - aunap nacional</v>
      </c>
      <c r="F81" s="49">
        <f>IFERROR(__xludf.DUMMYFUNCTION("""COMPUTED_VALUE"""),2.018011000241E12)</f>
        <v>2018011000241</v>
      </c>
      <c r="G81" s="50" t="str">
        <f>IFERROR(__xludf.DUMMYFUNCTION("""COMPUTED_VALUE"""),"Fortalecimiento")</f>
        <v>Fortalecimiento</v>
      </c>
      <c r="H81" s="48" t="str">
        <f>IFERROR(__xludf.DUMMYFUNCTION("""COMPUTED_VALUE"""),"Fortalecer la Infraestructura Tecnológica de la entidad")</f>
        <v>Fortalecer la Infraestructura Tecnológica de la entidad</v>
      </c>
      <c r="I81" s="48" t="str">
        <f>IFERROR(__xludf.DUMMYFUNCTION("""COMPUTED_VALUE"""),"Servicios tecnológicos")</f>
        <v>Servicios tecnológicos</v>
      </c>
      <c r="J81" s="48" t="str">
        <f>IFERROR(__xludf.DUMMYFUNCTION("""COMPUTED_VALUE"""),"Implementar y gestionar los procesos de soporte y mantenimiento de los servicios Tecnológicos de la Entidad.")</f>
        <v>Implementar y gestionar los procesos de soporte y mantenimiento de los servicios Tecnológicos de la Entidad.</v>
      </c>
      <c r="K81" s="51" t="str">
        <f>IFERROR(__xludf.DUMMYFUNCTION("""COMPUTED_VALUE"""),"Gestión del área")</f>
        <v>Gestión del área</v>
      </c>
      <c r="L81" s="51" t="str">
        <f>IFERROR(__xludf.DUMMYFUNCTION("""COMPUTED_VALUE"""),"Eficacia")</f>
        <v>Eficacia</v>
      </c>
      <c r="M81" s="51" t="str">
        <f>IFERROR(__xludf.DUMMYFUNCTION("""COMPUTED_VALUE"""),"Número")</f>
        <v>Número</v>
      </c>
      <c r="N81" s="52" t="str">
        <f>IFERROR(__xludf.DUMMYFUNCTION("""COMPUTED_VALUE"""),"Documentos técnicos fortalecidos")</f>
        <v>Documentos técnicos fortalecidos</v>
      </c>
      <c r="O81" s="53">
        <f>IFERROR(__xludf.DUMMYFUNCTION("""COMPUTED_VALUE"""),2.0)</f>
        <v>2</v>
      </c>
      <c r="P81" s="54">
        <f>IFERROR(__xludf.DUMMYFUNCTION("""COMPUTED_VALUE"""),2.0)</f>
        <v>2</v>
      </c>
      <c r="Q81" s="55" t="str">
        <f>IFERROR(__xludf.DUMMYFUNCTION("""COMPUTED_VALUE"""),"Fortalecer la formulación del manual del sistema de gestión de seguridad de la información-SGSI y del Plan Estrategico de Tecnologias de la Informacion-PETI")</f>
        <v>Fortalecer la formulación del manual del sistema de gestión de seguridad de la información-SGSI y del Plan Estrategico de Tecnologias de la Informacion-PETI</v>
      </c>
      <c r="R81" s="14" t="str">
        <f>IFERROR(__xludf.DUMMYFUNCTION("""COMPUTED_VALUE"""),"Trimestral")</f>
        <v>Trimestral</v>
      </c>
      <c r="S81" s="54">
        <f>IFERROR(__xludf.DUMMYFUNCTION("""COMPUTED_VALUE"""),0.0)</f>
        <v>0</v>
      </c>
      <c r="T81" s="54">
        <f>IFERROR(__xludf.DUMMYFUNCTION("""COMPUTED_VALUE"""),1.0)</f>
        <v>1</v>
      </c>
      <c r="U81" s="54">
        <f>IFERROR(__xludf.DUMMYFUNCTION("""COMPUTED_VALUE"""),1.0)</f>
        <v>1</v>
      </c>
      <c r="V81" s="54">
        <f>IFERROR(__xludf.DUMMYFUNCTION("""COMPUTED_VALUE"""),0.0)</f>
        <v>0</v>
      </c>
      <c r="W81" s="56" t="str">
        <f>IFERROR(__xludf.DUMMYFUNCTION("""COMPUTED_VALUE"""),"Sistemas")</f>
        <v>Sistemas</v>
      </c>
      <c r="X81" s="57" t="str">
        <f>IFERROR(__xludf.DUMMYFUNCTION("""COMPUTED_VALUE"""),"Maria Angarita Peñaranda")</f>
        <v>Maria Angarita Peñaranda</v>
      </c>
      <c r="Y81" s="47" t="str">
        <f>IFERROR(__xludf.DUMMYFUNCTION("""COMPUTED_VALUE"""),"Jefe de Oficina")</f>
        <v>Jefe de Oficina</v>
      </c>
      <c r="Z81" s="57" t="str">
        <f>IFERROR(__xludf.DUMMYFUNCTION("""COMPUTED_VALUE"""),"maria.angarita@aunap.gov.co")</f>
        <v>maria.angarita@aunap.gov.co</v>
      </c>
      <c r="AA81" s="47" t="str">
        <f>IFERROR(__xludf.DUMMYFUNCTION("""COMPUTED_VALUE"""),"Humanos, fisicos, financieros y tecnologicos")</f>
        <v>Humanos, fisicos, financieros y tecnologicos</v>
      </c>
      <c r="AB81" s="47" t="str">
        <f>IFERROR(__xludf.DUMMYFUNCTION("""COMPUTED_VALUE"""),"Plan Estratégico de Tecnologías de la Información y las Comunicaciones -PETIT")</f>
        <v>Plan Estratégico de Tecnologías de la Información y las Comunicaciones -PETIT</v>
      </c>
      <c r="AC81" s="47" t="str">
        <f>IFERROR(__xludf.DUMMYFUNCTION("""COMPUTED_VALUE"""),"Llegar con actividades de pesca y acuicultura a todas las regiones")</f>
        <v>Llegar con actividades de pesca y acuicultura a todas las regiones</v>
      </c>
      <c r="AD81" s="47" t="str">
        <f>IFERROR(__xludf.DUMMYFUNCTION("""COMPUTED_VALUE"""),"Gestión del conocimiento")</f>
        <v>Gestión del conocimiento</v>
      </c>
      <c r="AE81" s="47" t="str">
        <f>IFERROR(__xludf.DUMMYFUNCTION("""COMPUTED_VALUE"""),"Seguridad Digital")</f>
        <v>Seguridad Digital</v>
      </c>
      <c r="AF81" s="47" t="str">
        <f>IFERROR(__xludf.DUMMYFUNCTION("""COMPUTED_VALUE"""),"9. Industria, innovación e infraestructura")</f>
        <v>9. Industria, innovación e infraestructura</v>
      </c>
      <c r="AG81" s="84" t="str">
        <f>IFERROR(__xludf.DUMMYFUNCTION("""COMPUTED_VALUE"""),"N/A")</f>
        <v>N/A</v>
      </c>
      <c r="AH81" s="59" t="str">
        <f>IFERROR(__xludf.DUMMYFUNCTION("""COMPUTED_VALUE"""),"N/A")</f>
        <v>N/A</v>
      </c>
      <c r="AI81" s="59" t="str">
        <f>IFERROR(__xludf.DUMMYFUNCTION("""COMPUTED_VALUE"""),"N/A")</f>
        <v>N/A</v>
      </c>
      <c r="AJ81" s="59" t="str">
        <f>IFERROR(__xludf.DUMMYFUNCTION("""COMPUTED_VALUE"""),"N/A")</f>
        <v>N/A</v>
      </c>
      <c r="AK81" s="59" t="str">
        <f>IFERROR(__xludf.DUMMYFUNCTION("""COMPUTED_VALUE"""),"N/A")</f>
        <v>N/A</v>
      </c>
      <c r="AL81" s="59">
        <f>IFERROR(__xludf.DUMMYFUNCTION("""COMPUTED_VALUE"""),44582.0)</f>
        <v>44582</v>
      </c>
      <c r="AM81" s="60"/>
      <c r="AN81" s="61" t="str">
        <f>IFERROR(IF((AO81+1)&lt;2,Alertas!$B$2&amp;TEXT(AO81,"0%")&amp;Alertas!$D$2, IF((AO81+1)=2,Alertas!$B$3,IF((AO81+1)&gt;2,Alertas!$B$4&amp;TEXT(AO81,"0%")&amp;Alertas!$D$4,AO81+1))),"Sin meta para el segundo trimestre")</f>
        <v>Sin meta para el segundo trimestre</v>
      </c>
      <c r="AO81" s="62" t="str">
        <f t="shared" si="2"/>
        <v>#VALUE!</v>
      </c>
      <c r="AP81" s="61" t="str">
        <f t="shared" si="3"/>
        <v>Sin meta para el segundo trimestre.</v>
      </c>
      <c r="AQ81" s="63"/>
      <c r="AR81" s="64"/>
      <c r="AS81" s="65"/>
      <c r="AT81" s="65"/>
      <c r="AU81" s="66"/>
      <c r="AV81" s="67"/>
      <c r="AW81" s="68"/>
      <c r="AX81" s="63"/>
      <c r="AY81" s="64"/>
      <c r="AZ81" s="69"/>
      <c r="BA81" s="65"/>
      <c r="BB81" s="70"/>
      <c r="BC81" s="71"/>
      <c r="BD81" s="72"/>
      <c r="BE81" s="73"/>
      <c r="BF81" s="64"/>
      <c r="BG81" s="69"/>
      <c r="BH81" s="65"/>
      <c r="BI81" s="66"/>
      <c r="BJ81" s="71"/>
      <c r="BK81" s="72"/>
      <c r="BL81" s="74"/>
      <c r="BN81" s="5" t="str">
        <f t="shared" si="23"/>
        <v>-</v>
      </c>
      <c r="BP81" s="5"/>
    </row>
    <row r="82" ht="37.5" customHeight="1">
      <c r="A82" s="45"/>
      <c r="B82" s="46">
        <f>IFERROR(__xludf.DUMMYFUNCTION("""COMPUTED_VALUE"""),80.0)</f>
        <v>80</v>
      </c>
      <c r="C82" s="47" t="str">
        <f>IFERROR(__xludf.DUMMYFUNCTION("""COMPUTED_VALUE"""),"Gestión de la información y generación del conocimiento")</f>
        <v>Gestión de la información y generación del conocimiento</v>
      </c>
      <c r="D82" s="48" t="str">
        <f>IFERROR(__xludf.DUMMYFUNCTION("""COMPUTED_VALUE"""),"Sistemas")</f>
        <v>Sistemas</v>
      </c>
      <c r="E82" s="48" t="str">
        <f>IFERROR(__xludf.DUMMYFUNCTION("""COMPUTED_VALUE"""),"Fortalecimiento de la capacidad de gestión de la autoridad nacional de acuicultura y pesca - aunap nacional")</f>
        <v>Fortalecimiento de la capacidad de gestión de la autoridad nacional de acuicultura y pesca - aunap nacional</v>
      </c>
      <c r="F82" s="49">
        <f>IFERROR(__xludf.DUMMYFUNCTION("""COMPUTED_VALUE"""),2.018011000241E12)</f>
        <v>2018011000241</v>
      </c>
      <c r="G82" s="50" t="str">
        <f>IFERROR(__xludf.DUMMYFUNCTION("""COMPUTED_VALUE"""),"Fortalecimiento")</f>
        <v>Fortalecimiento</v>
      </c>
      <c r="H82" s="48" t="str">
        <f>IFERROR(__xludf.DUMMYFUNCTION("""COMPUTED_VALUE"""),"Fortalecer la Infraestructura Tecnológica de la entidad")</f>
        <v>Fortalecer la Infraestructura Tecnológica de la entidad</v>
      </c>
      <c r="I82" s="48" t="str">
        <f>IFERROR(__xludf.DUMMYFUNCTION("""COMPUTED_VALUE"""),"Servicios tecnológicos")</f>
        <v>Servicios tecnológicos</v>
      </c>
      <c r="J82" s="48" t="str">
        <f>IFERROR(__xludf.DUMMYFUNCTION("""COMPUTED_VALUE"""),"Implementar y gestionar los procesos de soporte y mantenimiento de los servicios Tecnológicos de la Entidad.")</f>
        <v>Implementar y gestionar los procesos de soporte y mantenimiento de los servicios Tecnológicos de la Entidad.</v>
      </c>
      <c r="K82" s="51" t="str">
        <f>IFERROR(__xludf.DUMMYFUNCTION("""COMPUTED_VALUE"""),"Gestión del área")</f>
        <v>Gestión del área</v>
      </c>
      <c r="L82" s="51" t="str">
        <f>IFERROR(__xludf.DUMMYFUNCTION("""COMPUTED_VALUE"""),"Eficacia")</f>
        <v>Eficacia</v>
      </c>
      <c r="M82" s="51" t="str">
        <f>IFERROR(__xludf.DUMMYFUNCTION("""COMPUTED_VALUE"""),"Número")</f>
        <v>Número</v>
      </c>
      <c r="N82" s="52" t="str">
        <f>IFERROR(__xludf.DUMMYFUNCTION("""COMPUTED_VALUE"""),"Documentos técnicos actualizados")</f>
        <v>Documentos técnicos actualizados</v>
      </c>
      <c r="O82" s="53">
        <f>IFERROR(__xludf.DUMMYFUNCTION("""COMPUTED_VALUE"""),2.0)</f>
        <v>2</v>
      </c>
      <c r="P82" s="54">
        <f>IFERROR(__xludf.DUMMYFUNCTION("""COMPUTED_VALUE"""),2.0)</f>
        <v>2</v>
      </c>
      <c r="Q82" s="55" t="str">
        <f>IFERROR(__xludf.DUMMYFUNCTION("""COMPUTED_VALUE"""),"Conforme a los resultados de la socializacion y retroalimentacion de los planes de tecnologias de la AUNAP, se actualizara el plan estratégicos de seguridad de la información - PESI  y el plan de tratamiento de riesgos de seguridad y privacidad de la Info"&amp;"rmación")</f>
        <v>Conforme a los resultados de la socializacion y retroalimentacion de los planes de tecnologias de la AUNAP, se actualizara el plan estratégicos de seguridad de la información - PESI  y el plan de tratamiento de riesgos de seguridad y privacidad de la Información</v>
      </c>
      <c r="R82" s="14" t="str">
        <f>IFERROR(__xludf.DUMMYFUNCTION("""COMPUTED_VALUE"""),"Trimestral")</f>
        <v>Trimestral</v>
      </c>
      <c r="S82" s="54">
        <f>IFERROR(__xludf.DUMMYFUNCTION("""COMPUTED_VALUE"""),0.0)</f>
        <v>0</v>
      </c>
      <c r="T82" s="54">
        <f>IFERROR(__xludf.DUMMYFUNCTION("""COMPUTED_VALUE"""),0.0)</f>
        <v>0</v>
      </c>
      <c r="U82" s="54">
        <f>IFERROR(__xludf.DUMMYFUNCTION("""COMPUTED_VALUE"""),1.0)</f>
        <v>1</v>
      </c>
      <c r="V82" s="54">
        <f>IFERROR(__xludf.DUMMYFUNCTION("""COMPUTED_VALUE"""),1.0)</f>
        <v>1</v>
      </c>
      <c r="W82" s="56" t="str">
        <f>IFERROR(__xludf.DUMMYFUNCTION("""COMPUTED_VALUE"""),"Sistemas")</f>
        <v>Sistemas</v>
      </c>
      <c r="X82" s="57" t="str">
        <f>IFERROR(__xludf.DUMMYFUNCTION("""COMPUTED_VALUE"""),"Maria Angarita Peñaranda")</f>
        <v>Maria Angarita Peñaranda</v>
      </c>
      <c r="Y82" s="47" t="str">
        <f>IFERROR(__xludf.DUMMYFUNCTION("""COMPUTED_VALUE"""),"Jefe de Oficina")</f>
        <v>Jefe de Oficina</v>
      </c>
      <c r="Z82" s="57" t="str">
        <f>IFERROR(__xludf.DUMMYFUNCTION("""COMPUTED_VALUE"""),"maria.angarita@aunap.gov.co")</f>
        <v>maria.angarita@aunap.gov.co</v>
      </c>
      <c r="AA82" s="47" t="str">
        <f>IFERROR(__xludf.DUMMYFUNCTION("""COMPUTED_VALUE"""),"Humanos, fisicos, financieros y tecnologicos")</f>
        <v>Humanos, fisicos, financieros y tecnologicos</v>
      </c>
      <c r="AB82" s="47" t="str">
        <f>IFERROR(__xludf.DUMMYFUNCTION("""COMPUTED_VALUE"""),"Plan Estratégico de Tecnologías de la Información y las Comunicaciones -PETIT")</f>
        <v>Plan Estratégico de Tecnologías de la Información y las Comunicaciones -PETIT</v>
      </c>
      <c r="AC82" s="47" t="str">
        <f>IFERROR(__xludf.DUMMYFUNCTION("""COMPUTED_VALUE"""),"Llegar con actividades de pesca y acuicultura a todas las regiones")</f>
        <v>Llegar con actividades de pesca y acuicultura a todas las regiones</v>
      </c>
      <c r="AD82" s="47" t="str">
        <f>IFERROR(__xludf.DUMMYFUNCTION("""COMPUTED_VALUE"""),"Gestión del conocimiento")</f>
        <v>Gestión del conocimiento</v>
      </c>
      <c r="AE82" s="47" t="str">
        <f>IFERROR(__xludf.DUMMYFUNCTION("""COMPUTED_VALUE"""),"Seguridad Digital")</f>
        <v>Seguridad Digital</v>
      </c>
      <c r="AF82" s="47" t="str">
        <f>IFERROR(__xludf.DUMMYFUNCTION("""COMPUTED_VALUE"""),"9. Industria, innovación e infraestructura")</f>
        <v>9. Industria, innovación e infraestructura</v>
      </c>
      <c r="AG82" s="58">
        <f>IFERROR(__xludf.DUMMYFUNCTION("""COMPUTED_VALUE"""),1.0)</f>
        <v>1</v>
      </c>
      <c r="AH82" s="59" t="str">
        <f>IFERROR(__xludf.DUMMYFUNCTION("""COMPUTED_VALUE"""),"Se actualizo el plan estratégicos de seguridad de la información - PESI, el cual fue cargado en la plataforma de sistema integrado de gestion de la AUNAP")</f>
        <v>Se actualizo el plan estratégicos de seguridad de la información - PESI, el cual fue cargado en la plataforma de sistema integrado de gestion de la AUNAP</v>
      </c>
      <c r="AI82" s="81" t="str">
        <f>IFERROR(__xludf.DUMMYFUNCTION("""COMPUTED_VALUE"""),"https://drive.google.com/file/d/1BsgwzxT-9ZQxDkYW-UycedXUUzrgG_LX/view?usp=sharing")</f>
        <v>https://drive.google.com/file/d/1BsgwzxT-9ZQxDkYW-UycedXUUzrgG_LX/view?usp=sharing</v>
      </c>
      <c r="AJ82" s="59">
        <f>IFERROR(__xludf.DUMMYFUNCTION("""COMPUTED_VALUE"""),2.0)</f>
        <v>2</v>
      </c>
      <c r="AK82" s="59" t="str">
        <f>IFERROR(__xludf.DUMMYFUNCTION("""COMPUTED_VALUE"""),"Se cumplio con las acciones propuestas")</f>
        <v>Se cumplio con las acciones propuestas</v>
      </c>
      <c r="AL82" s="59">
        <f>IFERROR(__xludf.DUMMYFUNCTION("""COMPUTED_VALUE"""),44582.0)</f>
        <v>44582</v>
      </c>
      <c r="AM82" s="60"/>
      <c r="AN82" s="61" t="str">
        <f>IFERROR(IF((AO82+1)&lt;2,Alertas!$B$2&amp;TEXT(AO82,"0%")&amp;Alertas!$D$2, IF((AO82+1)=2,Alertas!$B$3,IF((AO82+1)&gt;2,Alertas!$B$4&amp;TEXT(AO82,"0%")&amp;Alertas!$D$4,AO82+1))),"Sin meta para el segundo trimestre")</f>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82" s="62">
        <f t="shared" si="2"/>
        <v>2</v>
      </c>
      <c r="AP82" s="61" t="str">
        <f t="shared" si="3"/>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82" s="63"/>
      <c r="AR82" s="64"/>
      <c r="AS82" s="65"/>
      <c r="AT82" s="65"/>
      <c r="AU82" s="66"/>
      <c r="AV82" s="67"/>
      <c r="AW82" s="68"/>
      <c r="AX82" s="63"/>
      <c r="AY82" s="64"/>
      <c r="AZ82" s="69"/>
      <c r="BA82" s="65"/>
      <c r="BB82" s="70"/>
      <c r="BC82" s="71"/>
      <c r="BD82" s="72"/>
      <c r="BE82" s="73"/>
      <c r="BF82" s="64"/>
      <c r="BG82" s="69"/>
      <c r="BH82" s="65"/>
      <c r="BI82" s="66"/>
      <c r="BJ82" s="71"/>
      <c r="BK82" s="72"/>
      <c r="BL82" s="74"/>
      <c r="BN82" s="5" t="str">
        <f t="shared" si="23"/>
        <v>1</v>
      </c>
      <c r="BP82" s="5"/>
    </row>
    <row r="83" ht="37.5" customHeight="1">
      <c r="A83" s="45"/>
      <c r="B83" s="46">
        <f>IFERROR(__xludf.DUMMYFUNCTION("""COMPUTED_VALUE"""),81.0)</f>
        <v>81</v>
      </c>
      <c r="C83" s="47" t="str">
        <f>IFERROR(__xludf.DUMMYFUNCTION("""COMPUTED_VALUE"""),"Gestión de la información y generación del conocimiento")</f>
        <v>Gestión de la información y generación del conocimiento</v>
      </c>
      <c r="D83" s="48" t="str">
        <f>IFERROR(__xludf.DUMMYFUNCTION("""COMPUTED_VALUE"""),"Sistemas")</f>
        <v>Sistemas</v>
      </c>
      <c r="E83" s="48" t="str">
        <f>IFERROR(__xludf.DUMMYFUNCTION("""COMPUTED_VALUE"""),"Fortalecimiento de la capacidad de gestión de la autoridad nacional de acuicultura y pesca - aunap nacional")</f>
        <v>Fortalecimiento de la capacidad de gestión de la autoridad nacional de acuicultura y pesca - aunap nacional</v>
      </c>
      <c r="F83" s="49">
        <f>IFERROR(__xludf.DUMMYFUNCTION("""COMPUTED_VALUE"""),2.018011000241E12)</f>
        <v>2018011000241</v>
      </c>
      <c r="G83" s="50" t="str">
        <f>IFERROR(__xludf.DUMMYFUNCTION("""COMPUTED_VALUE"""),"Fortalecimiento")</f>
        <v>Fortalecimiento</v>
      </c>
      <c r="H83" s="48" t="str">
        <f>IFERROR(__xludf.DUMMYFUNCTION("""COMPUTED_VALUE"""),"Fortalecer la Infraestructura Tecnológica de la entidad")</f>
        <v>Fortalecer la Infraestructura Tecnológica de la entidad</v>
      </c>
      <c r="I83" s="48" t="str">
        <f>IFERROR(__xludf.DUMMYFUNCTION("""COMPUTED_VALUE"""),"Servicios tecnológicos")</f>
        <v>Servicios tecnológicos</v>
      </c>
      <c r="J83" s="48" t="str">
        <f>IFERROR(__xludf.DUMMYFUNCTION("""COMPUTED_VALUE"""),"Implementar y gestionar los procesos de soporte y mantenimiento de los servicios Tecnológicos de la Entidad.")</f>
        <v>Implementar y gestionar los procesos de soporte y mantenimiento de los servicios Tecnológicos de la Entidad.</v>
      </c>
      <c r="K83" s="51" t="str">
        <f>IFERROR(__xludf.DUMMYFUNCTION("""COMPUTED_VALUE"""),"Gestión del área")</f>
        <v>Gestión del área</v>
      </c>
      <c r="L83" s="51" t="str">
        <f>IFERROR(__xludf.DUMMYFUNCTION("""COMPUTED_VALUE"""),"Eficacia")</f>
        <v>Eficacia</v>
      </c>
      <c r="M83" s="51" t="str">
        <f>IFERROR(__xludf.DUMMYFUNCTION("""COMPUTED_VALUE"""),"Número")</f>
        <v>Número</v>
      </c>
      <c r="N83" s="52" t="str">
        <f>IFERROR(__xludf.DUMMYFUNCTION("""COMPUTED_VALUE"""),"Formatos")</f>
        <v>Formatos</v>
      </c>
      <c r="O83" s="53">
        <f>IFERROR(__xludf.DUMMYFUNCTION("""COMPUTED_VALUE"""),2.0)</f>
        <v>2</v>
      </c>
      <c r="P83" s="54">
        <f>IFERROR(__xludf.DUMMYFUNCTION("""COMPUTED_VALUE"""),3.0)</f>
        <v>3</v>
      </c>
      <c r="Q83" s="55" t="str">
        <f>IFERROR(__xludf.DUMMYFUNCTION("""COMPUTED_VALUE"""),"Fortalecer el compromiso de confidencialidad para ser diligenciado por los contratistas, y crear formato de paz y salvo para contratistas y formato de entrega activos de tecnologia e informacion para los funcionarios, con la finalidad de entregar la docum"&amp;"entación trabajada durante el vínculo con la entidad, y solicitar a la coordinación de gestión contractual, incluir esto como obligación general en los estudios previos de los contratistas, con el fin de dar cumplimiento con lo estipulado en el Plan Estra"&amp;"tégico de Seguridad de la Información.")</f>
        <v>Fortalecer el compromiso de confidencialidad para ser diligenciado por los contratistas, y crear formato de paz y salvo para contratistas y formato de entrega activos de tecnologia e informacion para los funcionarios, con la finalidad de entregar la documentación trabajada durante el vínculo con la entidad, y solicitar a la coordinación de gestión contractual, incluir esto como obligación general en los estudios previos de los contratistas, con el fin de dar cumplimiento con lo estipulado en el Plan Estratégico de Seguridad de la Información.</v>
      </c>
      <c r="R83" s="14" t="str">
        <f>IFERROR(__xludf.DUMMYFUNCTION("""COMPUTED_VALUE"""),"Trimestral")</f>
        <v>Trimestral</v>
      </c>
      <c r="S83" s="54">
        <f>IFERROR(__xludf.DUMMYFUNCTION("""COMPUTED_VALUE"""),1.0)</f>
        <v>1</v>
      </c>
      <c r="T83" s="54">
        <f>IFERROR(__xludf.DUMMYFUNCTION("""COMPUTED_VALUE"""),0.0)</f>
        <v>0</v>
      </c>
      <c r="U83" s="54">
        <f>IFERROR(__xludf.DUMMYFUNCTION("""COMPUTED_VALUE"""),2.0)</f>
        <v>2</v>
      </c>
      <c r="V83" s="54">
        <f>IFERROR(__xludf.DUMMYFUNCTION("""COMPUTED_VALUE"""),0.0)</f>
        <v>0</v>
      </c>
      <c r="W83" s="56" t="str">
        <f>IFERROR(__xludf.DUMMYFUNCTION("""COMPUTED_VALUE"""),"Sistemas")</f>
        <v>Sistemas</v>
      </c>
      <c r="X83" s="57" t="str">
        <f>IFERROR(__xludf.DUMMYFUNCTION("""COMPUTED_VALUE"""),"Maria Angarita Peñaranda")</f>
        <v>Maria Angarita Peñaranda</v>
      </c>
      <c r="Y83" s="47" t="str">
        <f>IFERROR(__xludf.DUMMYFUNCTION("""COMPUTED_VALUE"""),"Jefe de Oficina")</f>
        <v>Jefe de Oficina</v>
      </c>
      <c r="Z83" s="57" t="str">
        <f>IFERROR(__xludf.DUMMYFUNCTION("""COMPUTED_VALUE"""),"maria.angarita@aunap.gov.co")</f>
        <v>maria.angarita@aunap.gov.co</v>
      </c>
      <c r="AA83" s="47" t="str">
        <f>IFERROR(__xludf.DUMMYFUNCTION("""COMPUTED_VALUE"""),"Humanos, fisicos, financieros y tecnologicos")</f>
        <v>Humanos, fisicos, financieros y tecnologicos</v>
      </c>
      <c r="AB83" s="47" t="str">
        <f>IFERROR(__xludf.DUMMYFUNCTION("""COMPUTED_VALUE"""),"Plan Estratégico de Tecnologías de la Información y las Comunicaciones -PETIT")</f>
        <v>Plan Estratégico de Tecnologías de la Información y las Comunicaciones -PETIT</v>
      </c>
      <c r="AC83" s="47" t="str">
        <f>IFERROR(__xludf.DUMMYFUNCTION("""COMPUTED_VALUE"""),"Llegar con actividades de pesca y acuicultura a todas las regiones")</f>
        <v>Llegar con actividades de pesca y acuicultura a todas las regiones</v>
      </c>
      <c r="AD83" s="47" t="str">
        <f>IFERROR(__xludf.DUMMYFUNCTION("""COMPUTED_VALUE"""),"Gestión del conocimiento")</f>
        <v>Gestión del conocimiento</v>
      </c>
      <c r="AE83" s="47" t="str">
        <f>IFERROR(__xludf.DUMMYFUNCTION("""COMPUTED_VALUE"""),"Seguridad Digital")</f>
        <v>Seguridad Digital</v>
      </c>
      <c r="AF83" s="47" t="str">
        <f>IFERROR(__xludf.DUMMYFUNCTION("""COMPUTED_VALUE"""),"9. Industria, innovación e infraestructura")</f>
        <v>9. Industria, innovación e infraestructura</v>
      </c>
      <c r="AG83" s="84" t="str">
        <f>IFERROR(__xludf.DUMMYFUNCTION("""COMPUTED_VALUE"""),"N/A")</f>
        <v>N/A</v>
      </c>
      <c r="AH83" s="59" t="str">
        <f>IFERROR(__xludf.DUMMYFUNCTION("""COMPUTED_VALUE"""),"N/A")</f>
        <v>N/A</v>
      </c>
      <c r="AI83" s="59" t="str">
        <f>IFERROR(__xludf.DUMMYFUNCTION("""COMPUTED_VALUE"""),"N/A")</f>
        <v>N/A</v>
      </c>
      <c r="AJ83" s="59" t="str">
        <f>IFERROR(__xludf.DUMMYFUNCTION("""COMPUTED_VALUE"""),"N/A")</f>
        <v>N/A</v>
      </c>
      <c r="AK83" s="59" t="str">
        <f>IFERROR(__xludf.DUMMYFUNCTION("""COMPUTED_VALUE"""),"N/A")</f>
        <v>N/A</v>
      </c>
      <c r="AL83" s="59">
        <f>IFERROR(__xludf.DUMMYFUNCTION("""COMPUTED_VALUE"""),44582.0)</f>
        <v>44582</v>
      </c>
      <c r="AM83" s="60"/>
      <c r="AN83" s="61" t="str">
        <f>IFERROR(IF((AO83+1)&lt;2,Alertas!$B$2&amp;TEXT(AO83,"0%")&amp;Alertas!$D$2, IF((AO83+1)=2,Alertas!$B$3,IF((AO83+1)&gt;2,Alertas!$B$4&amp;TEXT(AO83,"0%")&amp;Alertas!$D$4,AO83+1))),"Sin meta para el segundo trimestre")</f>
        <v>Sin meta para el segundo trimestre</v>
      </c>
      <c r="AO83" s="62" t="str">
        <f t="shared" si="2"/>
        <v>#VALUE!</v>
      </c>
      <c r="AP83" s="61" t="str">
        <f t="shared" si="3"/>
        <v>Sin meta para el segundo trimestre.</v>
      </c>
      <c r="AQ83" s="63"/>
      <c r="AR83" s="64"/>
      <c r="AS83" s="65"/>
      <c r="AT83" s="65"/>
      <c r="AU83" s="66"/>
      <c r="AV83" s="67"/>
      <c r="AW83" s="68"/>
      <c r="AX83" s="63"/>
      <c r="AY83" s="64"/>
      <c r="AZ83" s="69"/>
      <c r="BA83" s="65"/>
      <c r="BB83" s="70"/>
      <c r="BC83" s="71"/>
      <c r="BD83" s="72"/>
      <c r="BE83" s="73"/>
      <c r="BF83" s="64"/>
      <c r="BG83" s="69"/>
      <c r="BH83" s="65"/>
      <c r="BI83" s="66"/>
      <c r="BJ83" s="71"/>
      <c r="BK83" s="72"/>
      <c r="BL83" s="74"/>
      <c r="BN83" s="5" t="str">
        <f t="shared" si="23"/>
        <v>-</v>
      </c>
      <c r="BP83" s="5"/>
    </row>
    <row r="84" ht="37.5" customHeight="1">
      <c r="A84" s="45"/>
      <c r="B84" s="46">
        <f>IFERROR(__xludf.DUMMYFUNCTION("""COMPUTED_VALUE"""),82.0)</f>
        <v>82</v>
      </c>
      <c r="C84" s="47" t="str">
        <f>IFERROR(__xludf.DUMMYFUNCTION("""COMPUTED_VALUE"""),"Gestión del talento humano")</f>
        <v>Gestión del talento humano</v>
      </c>
      <c r="D84" s="48" t="str">
        <f>IFERROR(__xludf.DUMMYFUNCTION("""COMPUTED_VALUE"""),"Talento Humano")</f>
        <v>Talento Humano</v>
      </c>
      <c r="E84" s="48" t="str">
        <f>IFERROR(__xludf.DUMMYFUNCTION("""COMPUTED_VALUE"""),"Fortalecimiento de la capacidad de gestión de la autoridad nacional de acuicultura y pesca - aunap nacional")</f>
        <v>Fortalecimiento de la capacidad de gestión de la autoridad nacional de acuicultura y pesca - aunap nacional</v>
      </c>
      <c r="F84" s="49">
        <f>IFERROR(__xludf.DUMMYFUNCTION("""COMPUTED_VALUE"""),2.018011000241E12)</f>
        <v>2018011000241</v>
      </c>
      <c r="G84" s="50" t="str">
        <f>IFERROR(__xludf.DUMMYFUNCTION("""COMPUTED_VALUE"""),"Fortalecimiento")</f>
        <v>Fortalecimiento</v>
      </c>
      <c r="H84" s="48" t="str">
        <f>IFERROR(__xludf.DUMMYFUNCTION("""COMPUTED_VALUE"""),"Fortalecer los sistemas de gestión de la Entidad")</f>
        <v>Fortalecer los sistemas de gestión de la Entidad</v>
      </c>
      <c r="I84" s="48" t="str">
        <f>IFERROR(__xludf.DUMMYFUNCTION("""COMPUTED_VALUE"""),"Servicio de Implementación Sistemas de Gestión")</f>
        <v>Servicio de Implementación Sistemas de Gestión</v>
      </c>
      <c r="J84"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84" s="51" t="str">
        <f>IFERROR(__xludf.DUMMYFUNCTION("""COMPUTED_VALUE"""),"Gestión del área")</f>
        <v>Gestión del área</v>
      </c>
      <c r="L84" s="51" t="str">
        <f>IFERROR(__xludf.DUMMYFUNCTION("""COMPUTED_VALUE"""),"Eficacia")</f>
        <v>Eficacia</v>
      </c>
      <c r="M84" s="51" t="str">
        <f>IFERROR(__xludf.DUMMYFUNCTION("""COMPUTED_VALUE"""),"Porcentaje")</f>
        <v>Porcentaje</v>
      </c>
      <c r="N84" s="52" t="str">
        <f>IFERROR(__xludf.DUMMYFUNCTION("""COMPUTED_VALUE"""),"Numero de actividades desarrolladas Vs Numero de actividades propuestas en el plan de Bienestar e incentivos")</f>
        <v>Numero de actividades desarrolladas Vs Numero de actividades propuestas en el plan de Bienestar e incentivos</v>
      </c>
      <c r="O84" s="83"/>
      <c r="P84" s="54">
        <f>IFERROR(__xludf.DUMMYFUNCTION("""COMPUTED_VALUE"""),1.0)</f>
        <v>1</v>
      </c>
      <c r="Q84" s="55" t="str">
        <f>IFERROR(__xludf.DUMMYFUNCTION("""COMPUTED_VALUE"""),"Ejecutar las actividades propuestas en el plan de Bienestar e incentivos")</f>
        <v>Ejecutar las actividades propuestas en el plan de Bienestar e incentivos</v>
      </c>
      <c r="R84" s="14" t="str">
        <f>IFERROR(__xludf.DUMMYFUNCTION("""COMPUTED_VALUE"""),"Semestral")</f>
        <v>Semestral</v>
      </c>
      <c r="S84" s="54">
        <f>IFERROR(__xludf.DUMMYFUNCTION("""COMPUTED_VALUE"""),0.0)</f>
        <v>0</v>
      </c>
      <c r="T84" s="54">
        <f>IFERROR(__xludf.DUMMYFUNCTION("""COMPUTED_VALUE"""),0.5)</f>
        <v>0.5</v>
      </c>
      <c r="U84" s="54">
        <f>IFERROR(__xludf.DUMMYFUNCTION("""COMPUTED_VALUE"""),0.0)</f>
        <v>0</v>
      </c>
      <c r="V84" s="54">
        <f>IFERROR(__xludf.DUMMYFUNCTION("""COMPUTED_VALUE"""),0.5)</f>
        <v>0.5</v>
      </c>
      <c r="W84" s="56" t="str">
        <f>IFERROR(__xludf.DUMMYFUNCTION("""COMPUTED_VALUE"""),"Talento Humano")</f>
        <v>Talento Humano</v>
      </c>
      <c r="X84" s="57" t="str">
        <f>IFERROR(__xludf.DUMMYFUNCTION("""COMPUTED_VALUE"""),"Helmuth Bettin")</f>
        <v>Helmuth Bettin</v>
      </c>
      <c r="Y84" s="47" t="str">
        <f>IFERROR(__xludf.DUMMYFUNCTION("""COMPUTED_VALUE"""),"Coordinador del Area")</f>
        <v>Coordinador del Area</v>
      </c>
      <c r="Z84" s="57" t="str">
        <f>IFERROR(__xludf.DUMMYFUNCTION("""COMPUTED_VALUE"""),"helmuth.bettin@aunap.gov.co")</f>
        <v>helmuth.bettin@aunap.gov.co</v>
      </c>
      <c r="AA84" s="47" t="str">
        <f>IFERROR(__xludf.DUMMYFUNCTION("""COMPUTED_VALUE"""),"Humano, físico, financiero, tecnológico")</f>
        <v>Humano, físico, financiero, tecnológico</v>
      </c>
      <c r="AB84" s="47" t="str">
        <f>IFERROR(__xludf.DUMMYFUNCTION("""COMPUTED_VALUE"""),"Plan de Incentivos Institucionales")</f>
        <v>Plan de Incentivos Institucionales</v>
      </c>
      <c r="AC84" s="47" t="str">
        <f>IFERROR(__xludf.DUMMYFUNCTION("""COMPUTED_VALUE"""),"Llegar con actividades de pesca y acuicultura a todas las regiones")</f>
        <v>Llegar con actividades de pesca y acuicultura a todas las regiones</v>
      </c>
      <c r="AD84" s="47" t="str">
        <f>IFERROR(__xludf.DUMMYFUNCTION("""COMPUTED_VALUE"""),"Talento Humano")</f>
        <v>Talento Humano</v>
      </c>
      <c r="AE84" s="47" t="str">
        <f>IFERROR(__xludf.DUMMYFUNCTION("""COMPUTED_VALUE"""),"Talento Humano")</f>
        <v>Talento Humano</v>
      </c>
      <c r="AF84" s="47" t="str">
        <f>IFERROR(__xludf.DUMMYFUNCTION("""COMPUTED_VALUE"""),"16. Paz, justicia e instituciones sólidas")</f>
        <v>16. Paz, justicia e instituciones sólidas</v>
      </c>
      <c r="AG84" s="80">
        <f>IFERROR(__xludf.DUMMYFUNCTION("""COMPUTED_VALUE"""),0.5)</f>
        <v>0.5</v>
      </c>
      <c r="AH84" s="59" t="str">
        <f>IFERROR(__xludf.DUMMYFUNCTION("""COMPUTED_VALUE"""),"Durante el periodo en mención se ejecutaron al 100% conforme lo programado")</f>
        <v>Durante el periodo en mención se ejecutaron al 100% conforme lo programado</v>
      </c>
      <c r="AI84" s="77" t="str">
        <f>IFERROR(__xludf.DUMMYFUNCTION("""COMPUTED_VALUE"""),"https://drive.google.com/drive/folders/1X-PytDYwzX5q3cTPleWEiXlWkA2yL4Nj")</f>
        <v>https://drive.google.com/drive/folders/1X-PytDYwzX5q3cTPleWEiXlWkA2yL4Nj</v>
      </c>
      <c r="AJ84" s="59">
        <f>IFERROR(__xludf.DUMMYFUNCTION("""COMPUTED_VALUE"""),1.0)</f>
        <v>1</v>
      </c>
      <c r="AK84" s="59" t="str">
        <f>IFERROR(__xludf.DUMMYFUNCTION("""COMPUTED_VALUE"""),"Durante el periodo en mención se ejecutaron al 100% conforme lo programado")</f>
        <v>Durante el periodo en mención se ejecutaron al 100% conforme lo programado</v>
      </c>
      <c r="AL84" s="59">
        <f>IFERROR(__xludf.DUMMYFUNCTION("""COMPUTED_VALUE"""),44582.0)</f>
        <v>44582</v>
      </c>
      <c r="AM84" s="60"/>
      <c r="AN84" s="61" t="str">
        <f>IFERROR(IF((AO84+1)&lt;2,Alertas!$B$2&amp;TEXT(AO84,"0%")&amp;Alertas!$D$2, IF((AO84+1)=2,Alertas!$B$3,IF((AO84+1)&gt;2,Alertas!$B$4&amp;TEXT(AO84,"0%")&amp;Alertas!$D$4,AO84+1))),"Sin meta para el segundo trimestre")</f>
        <v>La ejecución de la meta registrada se encuentra acorde a la meta programada en la formulación del plan de acción para el segundo trimestre</v>
      </c>
      <c r="AO84" s="62">
        <f t="shared" si="2"/>
        <v>1</v>
      </c>
      <c r="AP84" s="61" t="str">
        <f t="shared" si="3"/>
        <v>La ejecución de la meta registrada se encuentra acorde a la meta programada en la formulación del plan de acción para el segundo trimestre.</v>
      </c>
      <c r="AQ84" s="63"/>
      <c r="AR84" s="64"/>
      <c r="AS84" s="65"/>
      <c r="AT84" s="65"/>
      <c r="AU84" s="66"/>
      <c r="AV84" s="67"/>
      <c r="AW84" s="68"/>
      <c r="AX84" s="63"/>
      <c r="AY84" s="64"/>
      <c r="AZ84" s="69"/>
      <c r="BA84" s="65"/>
      <c r="BB84" s="70"/>
      <c r="BC84" s="71"/>
      <c r="BD84" s="72"/>
      <c r="BE84" s="73"/>
      <c r="BF84" s="64"/>
      <c r="BG84" s="69"/>
      <c r="BH84" s="65"/>
      <c r="BI84" s="66"/>
      <c r="BJ84" s="71"/>
      <c r="BK84" s="72"/>
      <c r="BL84" s="74"/>
      <c r="BN84" s="5" t="str">
        <f t="shared" si="23"/>
        <v>0</v>
      </c>
      <c r="BP84" s="5"/>
    </row>
    <row r="85" ht="37.5" customHeight="1">
      <c r="A85" s="45"/>
      <c r="B85" s="46">
        <f>IFERROR(__xludf.DUMMYFUNCTION("""COMPUTED_VALUE"""),83.0)</f>
        <v>83</v>
      </c>
      <c r="C85" s="47" t="str">
        <f>IFERROR(__xludf.DUMMYFUNCTION("""COMPUTED_VALUE"""),"Gestión del talento humano")</f>
        <v>Gestión del talento humano</v>
      </c>
      <c r="D85" s="48" t="str">
        <f>IFERROR(__xludf.DUMMYFUNCTION("""COMPUTED_VALUE"""),"Talento Humano")</f>
        <v>Talento Humano</v>
      </c>
      <c r="E85" s="48" t="str">
        <f>IFERROR(__xludf.DUMMYFUNCTION("""COMPUTED_VALUE"""),"Fortalecimiento de la capacidad de gestión de la autoridad nacional de acuicultura y pesca - aunap nacional")</f>
        <v>Fortalecimiento de la capacidad de gestión de la autoridad nacional de acuicultura y pesca - aunap nacional</v>
      </c>
      <c r="F85" s="49">
        <f>IFERROR(__xludf.DUMMYFUNCTION("""COMPUTED_VALUE"""),2.018011000241E12)</f>
        <v>2018011000241</v>
      </c>
      <c r="G85" s="50" t="str">
        <f>IFERROR(__xludf.DUMMYFUNCTION("""COMPUTED_VALUE"""),"Fortalecimiento")</f>
        <v>Fortalecimiento</v>
      </c>
      <c r="H85" s="48" t="str">
        <f>IFERROR(__xludf.DUMMYFUNCTION("""COMPUTED_VALUE"""),"Fortalecer los sistemas de gestión de la Entidad")</f>
        <v>Fortalecer los sistemas de gestión de la Entidad</v>
      </c>
      <c r="I85" s="48" t="str">
        <f>IFERROR(__xludf.DUMMYFUNCTION("""COMPUTED_VALUE"""),"Servicio de Implementación Sistemas de Gestión")</f>
        <v>Servicio de Implementación Sistemas de Gestión</v>
      </c>
      <c r="J85"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85" s="51" t="str">
        <f>IFERROR(__xludf.DUMMYFUNCTION("""COMPUTED_VALUE"""),"Gestión del área")</f>
        <v>Gestión del área</v>
      </c>
      <c r="L85" s="51" t="str">
        <f>IFERROR(__xludf.DUMMYFUNCTION("""COMPUTED_VALUE"""),"Eficacia")</f>
        <v>Eficacia</v>
      </c>
      <c r="M85" s="51" t="str">
        <f>IFERROR(__xludf.DUMMYFUNCTION("""COMPUTED_VALUE"""),"Porcentaje")</f>
        <v>Porcentaje</v>
      </c>
      <c r="N85" s="52" t="str">
        <f>IFERROR(__xludf.DUMMYFUNCTION("""COMPUTED_VALUE"""),"Numero de actividades realizadas Vs Numero de actividades establecidas en el Plan de Seguridad y Salud en el Trabajo PTASST")</f>
        <v>Numero de actividades realizadas Vs Numero de actividades establecidas en el Plan de Seguridad y Salud en el Trabajo PTASST</v>
      </c>
      <c r="O85" s="53"/>
      <c r="P85" s="54">
        <f>IFERROR(__xludf.DUMMYFUNCTION("""COMPUTED_VALUE"""),1.0)</f>
        <v>1</v>
      </c>
      <c r="Q85" s="55" t="str">
        <f>IFERROR(__xludf.DUMMYFUNCTION("""COMPUTED_VALUE"""),"Ejecutar las actividades establecidas el Plan de Seguridad y Salud en el Trabajo PTASST")</f>
        <v>Ejecutar las actividades establecidas el Plan de Seguridad y Salud en el Trabajo PTASST</v>
      </c>
      <c r="R85" s="14" t="str">
        <f>IFERROR(__xludf.DUMMYFUNCTION("""COMPUTED_VALUE"""),"Anual")</f>
        <v>Anual</v>
      </c>
      <c r="S85" s="54">
        <f>IFERROR(__xludf.DUMMYFUNCTION("""COMPUTED_VALUE"""),0.0)</f>
        <v>0</v>
      </c>
      <c r="T85" s="54">
        <f>IFERROR(__xludf.DUMMYFUNCTION("""COMPUTED_VALUE"""),0.0)</f>
        <v>0</v>
      </c>
      <c r="U85" s="54">
        <f>IFERROR(__xludf.DUMMYFUNCTION("""COMPUTED_VALUE"""),0.0)</f>
        <v>0</v>
      </c>
      <c r="V85" s="54">
        <f>IFERROR(__xludf.DUMMYFUNCTION("""COMPUTED_VALUE"""),1.0)</f>
        <v>1</v>
      </c>
      <c r="W85" s="56" t="str">
        <f>IFERROR(__xludf.DUMMYFUNCTION("""COMPUTED_VALUE"""),"Talento Humano")</f>
        <v>Talento Humano</v>
      </c>
      <c r="X85" s="57" t="str">
        <f>IFERROR(__xludf.DUMMYFUNCTION("""COMPUTED_VALUE"""),"Helmuth Bettin")</f>
        <v>Helmuth Bettin</v>
      </c>
      <c r="Y85" s="47" t="str">
        <f>IFERROR(__xludf.DUMMYFUNCTION("""COMPUTED_VALUE"""),"Coordinador del Area")</f>
        <v>Coordinador del Area</v>
      </c>
      <c r="Z85" s="57" t="str">
        <f>IFERROR(__xludf.DUMMYFUNCTION("""COMPUTED_VALUE"""),"helmuth.bettin@aunap.gov.co")</f>
        <v>helmuth.bettin@aunap.gov.co</v>
      </c>
      <c r="AA85" s="47" t="str">
        <f>IFERROR(__xludf.DUMMYFUNCTION("""COMPUTED_VALUE"""),"Humano, físico, financiero, tecnológico")</f>
        <v>Humano, físico, financiero, tecnológico</v>
      </c>
      <c r="AB85" s="47" t="str">
        <f>IFERROR(__xludf.DUMMYFUNCTION("""COMPUTED_VALUE"""),"Plan de Trabajo Anual en Seguridad y Salud en el Trabajo PTASST")</f>
        <v>Plan de Trabajo Anual en Seguridad y Salud en el Trabajo PTASST</v>
      </c>
      <c r="AC85" s="47" t="str">
        <f>IFERROR(__xludf.DUMMYFUNCTION("""COMPUTED_VALUE"""),"Llegar con actividades de pesca y acuicultura a todas las regiones")</f>
        <v>Llegar con actividades de pesca y acuicultura a todas las regiones</v>
      </c>
      <c r="AD85" s="47" t="str">
        <f>IFERROR(__xludf.DUMMYFUNCTION("""COMPUTED_VALUE"""),"Talento Humano")</f>
        <v>Talento Humano</v>
      </c>
      <c r="AE85" s="47" t="str">
        <f>IFERROR(__xludf.DUMMYFUNCTION("""COMPUTED_VALUE"""),"Talento Humano")</f>
        <v>Talento Humano</v>
      </c>
      <c r="AF85" s="47" t="str">
        <f>IFERROR(__xludf.DUMMYFUNCTION("""COMPUTED_VALUE"""),"16. Paz, justicia e instituciones sólidas")</f>
        <v>16. Paz, justicia e instituciones sólidas</v>
      </c>
      <c r="AG85" s="80">
        <f>IFERROR(__xludf.DUMMYFUNCTION("""COMPUTED_VALUE"""),1.0)</f>
        <v>1</v>
      </c>
      <c r="AH85" s="59" t="str">
        <f>IFERROR(__xludf.DUMMYFUNCTION("""COMPUTED_VALUE"""),"Durante el periodo en mención se ejecutaron al 100% conforme lo programado")</f>
        <v>Durante el periodo en mención se ejecutaron al 100% conforme lo programado</v>
      </c>
      <c r="AI85" s="59" t="str">
        <f>IFERROR(__xludf.DUMMYFUNCTION("""COMPUTED_VALUE"""),"https://drive.google.com/drive/folders/19mxk8-0iDAd51c3bUKgKANGWliLfwUJr
https://drive.google.com/drive/folders/1s3FB80LqvI8SPwr9S_0BieGYn5TwHs9q")</f>
        <v>https://drive.google.com/drive/folders/19mxk8-0iDAd51c3bUKgKANGWliLfwUJr
https://drive.google.com/drive/folders/1s3FB80LqvI8SPwr9S_0BieGYn5TwHs9q</v>
      </c>
      <c r="AJ85" s="59">
        <f>IFERROR(__xludf.DUMMYFUNCTION("""COMPUTED_VALUE"""),1.0)</f>
        <v>1</v>
      </c>
      <c r="AK85" s="59" t="str">
        <f>IFERROR(__xludf.DUMMYFUNCTION("""COMPUTED_VALUE"""),"Durante el periodo en mención se ejecutaron al 100% conforme lo programado")</f>
        <v>Durante el periodo en mención se ejecutaron al 100% conforme lo programado</v>
      </c>
      <c r="AL85" s="59">
        <f>IFERROR(__xludf.DUMMYFUNCTION("""COMPUTED_VALUE"""),44582.0)</f>
        <v>44582</v>
      </c>
      <c r="AM85" s="60"/>
      <c r="AN85" s="61" t="str">
        <f>IFERROR(IF((AO85+1)&lt;2,Alertas!$B$2&amp;TEXT(AO85,"0%")&amp;Alertas!$D$2, IF((AO85+1)=2,Alertas!$B$3,IF((AO85+1)&gt;2,Alertas!$B$4&amp;TEXT(AO85,"0%")&amp;Alertas!$D$4,AO85+1))),"Sin meta para el segundo trimestre")</f>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85" s="62">
        <f t="shared" si="2"/>
        <v>2</v>
      </c>
      <c r="AP85" s="61" t="str">
        <f t="shared" si="3"/>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85" s="63"/>
      <c r="AR85" s="64"/>
      <c r="AS85" s="65"/>
      <c r="AT85" s="65"/>
      <c r="AU85" s="66"/>
      <c r="AV85" s="67"/>
      <c r="AW85" s="68"/>
      <c r="AX85" s="63"/>
      <c r="AY85" s="64"/>
      <c r="AZ85" s="69"/>
      <c r="BA85" s="65"/>
      <c r="BB85" s="70"/>
      <c r="BC85" s="71"/>
      <c r="BD85" s="72"/>
      <c r="BE85" s="73"/>
      <c r="BF85" s="64"/>
      <c r="BG85" s="69"/>
      <c r="BH85" s="65"/>
      <c r="BI85" s="66"/>
      <c r="BJ85" s="71"/>
      <c r="BK85" s="72"/>
      <c r="BL85" s="74"/>
      <c r="BN85" s="5" t="str">
        <f t="shared" si="23"/>
        <v>1</v>
      </c>
      <c r="BP85" s="5"/>
    </row>
    <row r="86" ht="37.5" customHeight="1">
      <c r="A86" s="45"/>
      <c r="B86" s="46">
        <f>IFERROR(__xludf.DUMMYFUNCTION("""COMPUTED_VALUE"""),84.0)</f>
        <v>84</v>
      </c>
      <c r="C86" s="47" t="str">
        <f>IFERROR(__xludf.DUMMYFUNCTION("""COMPUTED_VALUE"""),"Gestión del talento humano")</f>
        <v>Gestión del talento humano</v>
      </c>
      <c r="D86" s="48" t="str">
        <f>IFERROR(__xludf.DUMMYFUNCTION("""COMPUTED_VALUE"""),"Talento Humano")</f>
        <v>Talento Humano</v>
      </c>
      <c r="E86" s="48" t="str">
        <f>IFERROR(__xludf.DUMMYFUNCTION("""COMPUTED_VALUE"""),"Fortalecimiento de la capacidad de gestión de la autoridad nacional de acuicultura y pesca - aunap nacional")</f>
        <v>Fortalecimiento de la capacidad de gestión de la autoridad nacional de acuicultura y pesca - aunap nacional</v>
      </c>
      <c r="F86" s="49">
        <f>IFERROR(__xludf.DUMMYFUNCTION("""COMPUTED_VALUE"""),2.018011000241E12)</f>
        <v>2018011000241</v>
      </c>
      <c r="G86" s="50" t="str">
        <f>IFERROR(__xludf.DUMMYFUNCTION("""COMPUTED_VALUE"""),"Fortalecimiento")</f>
        <v>Fortalecimiento</v>
      </c>
      <c r="H86" s="48" t="str">
        <f>IFERROR(__xludf.DUMMYFUNCTION("""COMPUTED_VALUE"""),"Fortalecer los sistemas de gestión de la Entidad")</f>
        <v>Fortalecer los sistemas de gestión de la Entidad</v>
      </c>
      <c r="I86" s="48" t="str">
        <f>IFERROR(__xludf.DUMMYFUNCTION("""COMPUTED_VALUE"""),"Servicio de Educación Informal para la Gestión Administrativa")</f>
        <v>Servicio de Educación Informal para la Gestión Administrativa</v>
      </c>
      <c r="J86" s="48" t="str">
        <f>IFERROR(__xludf.DUMMYFUNCTION("""COMPUTED_VALUE"""),"Capacitar a los servidores públicos, en los procesos de gestión institucional de la entidad")</f>
        <v>Capacitar a los servidores públicos, en los procesos de gestión institucional de la entidad</v>
      </c>
      <c r="K86" s="51" t="str">
        <f>IFERROR(__xludf.DUMMYFUNCTION("""COMPUTED_VALUE"""),"Gestión del área")</f>
        <v>Gestión del área</v>
      </c>
      <c r="L86" s="51" t="str">
        <f>IFERROR(__xludf.DUMMYFUNCTION("""COMPUTED_VALUE"""),"Eficacia")</f>
        <v>Eficacia</v>
      </c>
      <c r="M86" s="51" t="str">
        <f>IFERROR(__xludf.DUMMYFUNCTION("""COMPUTED_VALUE"""),"Porcentaje")</f>
        <v>Porcentaje</v>
      </c>
      <c r="N86" s="52" t="str">
        <f>IFERROR(__xludf.DUMMYFUNCTION("""COMPUTED_VALUE"""),"Numero de capacitaciones realizadas Vs Numero de capacitaciones programadas en el PNFC")</f>
        <v>Numero de capacitaciones realizadas Vs Numero de capacitaciones programadas en el PNFC</v>
      </c>
      <c r="O86" s="53"/>
      <c r="P86" s="78">
        <f>IFERROR(__xludf.DUMMYFUNCTION("""COMPUTED_VALUE"""),1.0)</f>
        <v>1</v>
      </c>
      <c r="Q86" s="79" t="str">
        <f>IFERROR(__xludf.DUMMYFUNCTION("""COMPUTED_VALUE"""),"Ejecutar las capacitaciones programadas en el Plan Nacional de Formación Capacitación")</f>
        <v>Ejecutar las capacitaciones programadas en el Plan Nacional de Formación Capacitación</v>
      </c>
      <c r="R86" s="79" t="str">
        <f>IFERROR(__xludf.DUMMYFUNCTION("""COMPUTED_VALUE"""),"Anual")</f>
        <v>Anual</v>
      </c>
      <c r="S86" s="78">
        <f>IFERROR(__xludf.DUMMYFUNCTION("""COMPUTED_VALUE"""),0.0)</f>
        <v>0</v>
      </c>
      <c r="T86" s="78">
        <f>IFERROR(__xludf.DUMMYFUNCTION("""COMPUTED_VALUE"""),0.0)</f>
        <v>0</v>
      </c>
      <c r="U86" s="78">
        <f>IFERROR(__xludf.DUMMYFUNCTION("""COMPUTED_VALUE"""),0.0)</f>
        <v>0</v>
      </c>
      <c r="V86" s="78">
        <f>IFERROR(__xludf.DUMMYFUNCTION("""COMPUTED_VALUE"""),1.0)</f>
        <v>1</v>
      </c>
      <c r="W86" s="56" t="str">
        <f>IFERROR(__xludf.DUMMYFUNCTION("""COMPUTED_VALUE"""),"Talento Humano")</f>
        <v>Talento Humano</v>
      </c>
      <c r="X86" s="57" t="str">
        <f>IFERROR(__xludf.DUMMYFUNCTION("""COMPUTED_VALUE"""),"Helmuth Bettin")</f>
        <v>Helmuth Bettin</v>
      </c>
      <c r="Y86" s="47" t="str">
        <f>IFERROR(__xludf.DUMMYFUNCTION("""COMPUTED_VALUE"""),"Coordinador del Area")</f>
        <v>Coordinador del Area</v>
      </c>
      <c r="Z86" s="57" t="str">
        <f>IFERROR(__xludf.DUMMYFUNCTION("""COMPUTED_VALUE"""),"helmuth.bettin@aunap.gov.co")</f>
        <v>helmuth.bettin@aunap.gov.co</v>
      </c>
      <c r="AA86" s="47" t="str">
        <f>IFERROR(__xludf.DUMMYFUNCTION("""COMPUTED_VALUE"""),"Humano, físico, financiero, tecnológico")</f>
        <v>Humano, físico, financiero, tecnológico</v>
      </c>
      <c r="AB86" s="47" t="str">
        <f>IFERROR(__xludf.DUMMYFUNCTION("""COMPUTED_VALUE"""),"Plan Institucional de Capacitación")</f>
        <v>Plan Institucional de Capacitación</v>
      </c>
      <c r="AC86" s="47" t="str">
        <f>IFERROR(__xludf.DUMMYFUNCTION("""COMPUTED_VALUE"""),"Llegar con actividades de pesca y acuicultura a todas las regiones")</f>
        <v>Llegar con actividades de pesca y acuicultura a todas las regiones</v>
      </c>
      <c r="AD86" s="47" t="str">
        <f>IFERROR(__xludf.DUMMYFUNCTION("""COMPUTED_VALUE"""),"Talento Humano")</f>
        <v>Talento Humano</v>
      </c>
      <c r="AE86" s="47" t="str">
        <f>IFERROR(__xludf.DUMMYFUNCTION("""COMPUTED_VALUE"""),"Talento Humano")</f>
        <v>Talento Humano</v>
      </c>
      <c r="AF86" s="47" t="str">
        <f>IFERROR(__xludf.DUMMYFUNCTION("""COMPUTED_VALUE"""),"16. Paz, justicia e instituciones sólidas")</f>
        <v>16. Paz, justicia e instituciones sólidas</v>
      </c>
      <c r="AG86" s="80">
        <f>IFERROR(__xludf.DUMMYFUNCTION("""COMPUTED_VALUE"""),1.0)</f>
        <v>1</v>
      </c>
      <c r="AH86" s="59" t="str">
        <f>IFERROR(__xludf.DUMMYFUNCTION("""COMPUTED_VALUE"""),"Durante el periodo en mención se ejecutaron al 100% conforme lo programado")</f>
        <v>Durante el periodo en mención se ejecutaron al 100% conforme lo programado</v>
      </c>
      <c r="AI86" s="81" t="str">
        <f>IFERROR(__xludf.DUMMYFUNCTION("""COMPUTED_VALUE"""),"https://drive.google.com/drive/folders/1OkrotXBtdN045YALAQIHM3WghgmOe8KH")</f>
        <v>https://drive.google.com/drive/folders/1OkrotXBtdN045YALAQIHM3WghgmOe8KH</v>
      </c>
      <c r="AJ86" s="59">
        <f>IFERROR(__xludf.DUMMYFUNCTION("""COMPUTED_VALUE"""),1.0)</f>
        <v>1</v>
      </c>
      <c r="AK86" s="59" t="str">
        <f>IFERROR(__xludf.DUMMYFUNCTION("""COMPUTED_VALUE"""),"Durante el periodo en mención se ejecutaron al 100% conforme lo programado")</f>
        <v>Durante el periodo en mención se ejecutaron al 100% conforme lo programado</v>
      </c>
      <c r="AL86" s="59">
        <f>IFERROR(__xludf.DUMMYFUNCTION("""COMPUTED_VALUE"""),44582.0)</f>
        <v>44582</v>
      </c>
      <c r="AM86" s="60"/>
      <c r="AN86" s="61" t="str">
        <f>IFERROR(IF((AO86+1)&lt;2,Alertas!$B$2&amp;TEXT(AO86,"0%")&amp;Alertas!$D$2, IF((AO86+1)=2,Alertas!$B$3,IF((AO86+1)&gt;2,Alertas!$B$4&amp;TEXT(AO86,"0%")&amp;Alertas!$D$4,AO86+1))),"Sin meta para el segundo trimestre")</f>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86" s="62">
        <f t="shared" si="2"/>
        <v>2</v>
      </c>
      <c r="AP86" s="61" t="str">
        <f t="shared" si="3"/>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86" s="63"/>
      <c r="AR86" s="64"/>
      <c r="AS86" s="65"/>
      <c r="AT86" s="65"/>
      <c r="AU86" s="66"/>
      <c r="AV86" s="67"/>
      <c r="AW86" s="68"/>
      <c r="AX86" s="63"/>
      <c r="AY86" s="64"/>
      <c r="AZ86" s="69"/>
      <c r="BA86" s="65"/>
      <c r="BB86" s="70"/>
      <c r="BC86" s="71"/>
      <c r="BD86" s="72"/>
      <c r="BE86" s="73"/>
      <c r="BF86" s="64"/>
      <c r="BG86" s="69"/>
      <c r="BH86" s="65"/>
      <c r="BI86" s="66"/>
      <c r="BJ86" s="71"/>
      <c r="BK86" s="72"/>
      <c r="BL86" s="74"/>
      <c r="BN86" s="5" t="str">
        <f t="shared" si="23"/>
        <v>1</v>
      </c>
      <c r="BP86" s="5"/>
    </row>
    <row r="87" ht="37.5" customHeight="1">
      <c r="A87" s="45"/>
      <c r="B87" s="46">
        <f>IFERROR(__xludf.DUMMYFUNCTION("""COMPUTED_VALUE"""),85.0)</f>
        <v>85</v>
      </c>
      <c r="C87" s="47" t="str">
        <f>IFERROR(__xludf.DUMMYFUNCTION("""COMPUTED_VALUE"""),"Gestión del talento humano")</f>
        <v>Gestión del talento humano</v>
      </c>
      <c r="D87" s="48" t="str">
        <f>IFERROR(__xludf.DUMMYFUNCTION("""COMPUTED_VALUE"""),"Talento Humano")</f>
        <v>Talento Humano</v>
      </c>
      <c r="E87" s="48" t="str">
        <f>IFERROR(__xludf.DUMMYFUNCTION("""COMPUTED_VALUE"""),"Fortalecimiento de la capacidad de gestión de la autoridad nacional de acuicultura y pesca - aunap nacional")</f>
        <v>Fortalecimiento de la capacidad de gestión de la autoridad nacional de acuicultura y pesca - aunap nacional</v>
      </c>
      <c r="F87" s="49">
        <f>IFERROR(__xludf.DUMMYFUNCTION("""COMPUTED_VALUE"""),2.018011000241E12)</f>
        <v>2018011000241</v>
      </c>
      <c r="G87" s="50" t="str">
        <f>IFERROR(__xludf.DUMMYFUNCTION("""COMPUTED_VALUE"""),"Fortalecimiento")</f>
        <v>Fortalecimiento</v>
      </c>
      <c r="H87" s="48" t="str">
        <f>IFERROR(__xludf.DUMMYFUNCTION("""COMPUTED_VALUE"""),"Fortalecer los sistemas de gestión de la Entidad")</f>
        <v>Fortalecer los sistemas de gestión de la Entidad</v>
      </c>
      <c r="I87" s="48" t="str">
        <f>IFERROR(__xludf.DUMMYFUNCTION("""COMPUTED_VALUE"""),"Servicio de Implementación Sistemas de Gestión")</f>
        <v>Servicio de Implementación Sistemas de Gestión</v>
      </c>
      <c r="J87" s="48" t="str">
        <f>IFERROR(__xludf.DUMMYFUNCTION("""COMPUTED_VALUE"""),"Implementar y mantener el Modelo Integrado de Planeación y Gestión V2, con sus siete (7) dimensiones operativas")</f>
        <v>Implementar y mantener el Modelo Integrado de Planeación y Gestión V2, con sus siete (7) dimensiones operativas</v>
      </c>
      <c r="K87" s="51" t="str">
        <f>IFERROR(__xludf.DUMMYFUNCTION("""COMPUTED_VALUE"""),"Gestión del área")</f>
        <v>Gestión del área</v>
      </c>
      <c r="L87" s="51" t="str">
        <f>IFERROR(__xludf.DUMMYFUNCTION("""COMPUTED_VALUE"""),"Eficacia")</f>
        <v>Eficacia</v>
      </c>
      <c r="M87" s="51" t="str">
        <f>IFERROR(__xludf.DUMMYFUNCTION("""COMPUTED_VALUE"""),"Porcentaje")</f>
        <v>Porcentaje</v>
      </c>
      <c r="N87" s="52" t="str">
        <f>IFERROR(__xludf.DUMMYFUNCTION("""COMPUTED_VALUE"""),"Numero de actividades  realizadas Vs Numero de actividades programadas")</f>
        <v>Numero de actividades  realizadas Vs Numero de actividades programadas</v>
      </c>
      <c r="O87" s="53"/>
      <c r="P87" s="54">
        <f>IFERROR(__xludf.DUMMYFUNCTION("""COMPUTED_VALUE"""),1.0)</f>
        <v>1</v>
      </c>
      <c r="Q87" s="55" t="str">
        <f>IFERROR(__xludf.DUMMYFUNCTION("""COMPUTED_VALUE"""),"Cumplir con el 100% de las actividades propuestas en el Procedimiento de Vinculacion de Vacantes en cada uno de los nombramientos.")</f>
        <v>Cumplir con el 100% de las actividades propuestas en el Procedimiento de Vinculacion de Vacantes en cada uno de los nombramientos.</v>
      </c>
      <c r="R87" s="14" t="str">
        <f>IFERROR(__xludf.DUMMYFUNCTION("""COMPUTED_VALUE"""),"Trimestral")</f>
        <v>Trimestral</v>
      </c>
      <c r="S87" s="54">
        <f>IFERROR(__xludf.DUMMYFUNCTION("""COMPUTED_VALUE"""),0.25)</f>
        <v>0.25</v>
      </c>
      <c r="T87" s="54">
        <f>IFERROR(__xludf.DUMMYFUNCTION("""COMPUTED_VALUE"""),0.25)</f>
        <v>0.25</v>
      </c>
      <c r="U87" s="54">
        <f>IFERROR(__xludf.DUMMYFUNCTION("""COMPUTED_VALUE"""),0.25)</f>
        <v>0.25</v>
      </c>
      <c r="V87" s="54">
        <f>IFERROR(__xludf.DUMMYFUNCTION("""COMPUTED_VALUE"""),0.25)</f>
        <v>0.25</v>
      </c>
      <c r="W87" s="56" t="str">
        <f>IFERROR(__xludf.DUMMYFUNCTION("""COMPUTED_VALUE"""),"Talento Humano")</f>
        <v>Talento Humano</v>
      </c>
      <c r="X87" s="57" t="str">
        <f>IFERROR(__xludf.DUMMYFUNCTION("""COMPUTED_VALUE"""),"Helmuth Bettin")</f>
        <v>Helmuth Bettin</v>
      </c>
      <c r="Y87" s="47" t="str">
        <f>IFERROR(__xludf.DUMMYFUNCTION("""COMPUTED_VALUE"""),"Coordinador del Area")</f>
        <v>Coordinador del Area</v>
      </c>
      <c r="Z87" s="57" t="str">
        <f>IFERROR(__xludf.DUMMYFUNCTION("""COMPUTED_VALUE"""),"helmuth.bettin@aunap.gov.co")</f>
        <v>helmuth.bettin@aunap.gov.co</v>
      </c>
      <c r="AA87" s="47" t="str">
        <f>IFERROR(__xludf.DUMMYFUNCTION("""COMPUTED_VALUE"""),"Humano, físico, financiero, tecnológico")</f>
        <v>Humano, físico, financiero, tecnológico</v>
      </c>
      <c r="AB87" s="47" t="str">
        <f>IFERROR(__xludf.DUMMYFUNCTION("""COMPUTED_VALUE"""),"Plan Anual de Vacantes")</f>
        <v>Plan Anual de Vacantes</v>
      </c>
      <c r="AC87" s="47" t="str">
        <f>IFERROR(__xludf.DUMMYFUNCTION("""COMPUTED_VALUE"""),"Llegar con actividades de pesca y acuicultura a todas las regiones")</f>
        <v>Llegar con actividades de pesca y acuicultura a todas las regiones</v>
      </c>
      <c r="AD87" s="47" t="str">
        <f>IFERROR(__xludf.DUMMYFUNCTION("""COMPUTED_VALUE"""),"Talento Humano")</f>
        <v>Talento Humano</v>
      </c>
      <c r="AE87" s="47" t="str">
        <f>IFERROR(__xludf.DUMMYFUNCTION("""COMPUTED_VALUE"""),"Talento Humano")</f>
        <v>Talento Humano</v>
      </c>
      <c r="AF87" s="47" t="str">
        <f>IFERROR(__xludf.DUMMYFUNCTION("""COMPUTED_VALUE"""),"16. Paz, justicia e instituciones sólidas")</f>
        <v>16. Paz, justicia e instituciones sólidas</v>
      </c>
      <c r="AG87" s="80">
        <f>IFERROR(__xludf.DUMMYFUNCTION("""COMPUTED_VALUE"""),0.25)</f>
        <v>0.25</v>
      </c>
      <c r="AH87" s="59" t="str">
        <f>IFERROR(__xludf.DUMMYFUNCTION("""COMPUTED_VALUE"""),"Durante el periodo en mención se ejecutaron al 100% conforme lo programado")</f>
        <v>Durante el periodo en mención se ejecutaron al 100% conforme lo programado</v>
      </c>
      <c r="AI87" s="59" t="str">
        <f>IFERROR(__xludf.DUMMYFUNCTION("""COMPUTED_VALUE"""),"https://drive.google.com/drive/folders/1QgtKoKaJ98AShUnji_IZm1vNbXCbqXT2
https://drive.google.com/drive/folders/1UxCUmPm4TrTc_w4BgUcPTcfBctfb4xkz")</f>
        <v>https://drive.google.com/drive/folders/1QgtKoKaJ98AShUnji_IZm1vNbXCbqXT2
https://drive.google.com/drive/folders/1UxCUmPm4TrTc_w4BgUcPTcfBctfb4xkz</v>
      </c>
      <c r="AJ87" s="59">
        <f>IFERROR(__xludf.DUMMYFUNCTION("""COMPUTED_VALUE"""),1.0)</f>
        <v>1</v>
      </c>
      <c r="AK87" s="59" t="str">
        <f>IFERROR(__xludf.DUMMYFUNCTION("""COMPUTED_VALUE"""),"Durante el periodo en mención se ejecutaron al 100% conforme lo programado")</f>
        <v>Durante el periodo en mención se ejecutaron al 100% conforme lo programado</v>
      </c>
      <c r="AL87" s="59">
        <f>IFERROR(__xludf.DUMMYFUNCTION("""COMPUTED_VALUE"""),44582.0)</f>
        <v>44582</v>
      </c>
      <c r="AM87" s="60"/>
      <c r="AN87" s="61" t="str">
        <f>IFERROR(IF((AO87+1)&lt;2,Alertas!$B$2&amp;TEXT(AO87,"0%")&amp;Alertas!$D$2, IF((AO87+1)=2,Alertas!$B$3,IF((AO87+1)&gt;2,Alertas!$B$4&amp;TEXT(AO87,"0%")&amp;Alertas!$D$4,AO87+1))),"Sin meta para el segundo trimestre")</f>
        <v>La ejecución de la meta registrada se encuentra acorde a la meta programada en la formulación del plan de acción para el segundo trimestre</v>
      </c>
      <c r="AO87" s="62">
        <f t="shared" si="2"/>
        <v>1</v>
      </c>
      <c r="AP87" s="61" t="str">
        <f t="shared" si="3"/>
        <v>La ejecución de la meta registrada se encuentra acorde a la meta programada en la formulación del plan de acción para el segundo trimestre.</v>
      </c>
      <c r="AQ87" s="63"/>
      <c r="AR87" s="64"/>
      <c r="AS87" s="65"/>
      <c r="AT87" s="65"/>
      <c r="AU87" s="66"/>
      <c r="AV87" s="67"/>
      <c r="AW87" s="68"/>
      <c r="AX87" s="63"/>
      <c r="AY87" s="64"/>
      <c r="AZ87" s="69"/>
      <c r="BA87" s="65"/>
      <c r="BB87" s="70"/>
      <c r="BC87" s="71"/>
      <c r="BD87" s="72"/>
      <c r="BE87" s="73"/>
      <c r="BF87" s="64"/>
      <c r="BG87" s="69"/>
      <c r="BH87" s="65"/>
      <c r="BI87" s="66"/>
      <c r="BJ87" s="71"/>
      <c r="BK87" s="72"/>
      <c r="BL87" s="74"/>
      <c r="BN87" s="5" t="str">
        <f t="shared" si="23"/>
        <v>0</v>
      </c>
      <c r="BP87" s="5"/>
    </row>
    <row r="88" ht="37.5" customHeight="1">
      <c r="A88" s="45"/>
      <c r="B88" s="46">
        <f>IFERROR(__xludf.DUMMYFUNCTION("""COMPUTED_VALUE"""),86.0)</f>
        <v>86</v>
      </c>
      <c r="C88" s="47" t="str">
        <f>IFERROR(__xludf.DUMMYFUNCTION("""COMPUTED_VALUE"""),"Gestión de la inspección y vigilancia")</f>
        <v>Gestión de la inspección y vigilancia</v>
      </c>
      <c r="D88" s="48" t="str">
        <f>IFERROR(__xludf.DUMMYFUNCTION("""COMPUTED_VALUE"""),"Regional Barrancabermeja")</f>
        <v>Regional Barrancabermeja</v>
      </c>
      <c r="E88"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88" s="49">
        <f>IFERROR(__xludf.DUMMYFUNCTION("""COMPUTED_VALUE"""),2.019011000276E12)</f>
        <v>2019011000276</v>
      </c>
      <c r="G88" s="50" t="str">
        <f>IFERROR(__xludf.DUMMYFUNCTION("""COMPUTED_VALUE"""),"Inspección")</f>
        <v>Inspección</v>
      </c>
      <c r="H88" s="48" t="str">
        <f>IFERROR(__xludf.DUMMYFUNCTION("""COMPUTED_VALUE"""),"Fortalecer los mecanismos de seguimiento y control de la actividad pesquera y de la acuicultura.")</f>
        <v>Fortalecer los mecanismos de seguimiento y control de la actividad pesquera y de la acuicultura.</v>
      </c>
      <c r="I88" s="48" t="str">
        <f>IFERROR(__xludf.DUMMYFUNCTION("""COMPUTED_VALUE"""),"Servicio de inspección, vigilancia y control de la pesca y la acuicultura")</f>
        <v>Servicio de inspección, vigilancia y control de la pesca y la acuicultura</v>
      </c>
      <c r="J88" s="48" t="str">
        <f>IFERROR(__xludf.DUMMYFUNCTION("""COMPUTED_VALUE"""),"Realizar los operativos de inspección, vigilancia y control.")</f>
        <v>Realizar los operativos de inspección, vigilancia y control.</v>
      </c>
      <c r="K88" s="51" t="str">
        <f>IFERROR(__xludf.DUMMYFUNCTION("""COMPUTED_VALUE"""),"Producto")</f>
        <v>Producto</v>
      </c>
      <c r="L88" s="51" t="str">
        <f>IFERROR(__xludf.DUMMYFUNCTION("""COMPUTED_VALUE"""),"Eficacia")</f>
        <v>Eficacia</v>
      </c>
      <c r="M88" s="51" t="str">
        <f>IFERROR(__xludf.DUMMYFUNCTION("""COMPUTED_VALUE"""),"Número")</f>
        <v>Número</v>
      </c>
      <c r="N88" s="52" t="str">
        <f>IFERROR(__xludf.DUMMYFUNCTION("""COMPUTED_VALUE"""),"Operativos de inspección, vigilancia y control realizados")</f>
        <v>Operativos de inspección, vigilancia y control realizados</v>
      </c>
      <c r="O88" s="53">
        <f>IFERROR(__xludf.DUMMYFUNCTION("""COMPUTED_VALUE"""),157.0)</f>
        <v>157</v>
      </c>
      <c r="P88" s="54">
        <f>IFERROR(__xludf.DUMMYFUNCTION("""COMPUTED_VALUE"""),280.0)</f>
        <v>280</v>
      </c>
      <c r="Q88" s="55" t="str">
        <f>IFERROR(__xludf.DUMMYFUNCTION("""COMPUTED_VALUE"""),"Realizar operativos de control y sensibilización")</f>
        <v>Realizar operativos de control y sensibilización</v>
      </c>
      <c r="R88" s="14" t="str">
        <f>IFERROR(__xludf.DUMMYFUNCTION("""COMPUTED_VALUE"""),"Trimestral")</f>
        <v>Trimestral</v>
      </c>
      <c r="S88" s="54">
        <f>IFERROR(__xludf.DUMMYFUNCTION("""COMPUTED_VALUE"""),36.0)</f>
        <v>36</v>
      </c>
      <c r="T88" s="54">
        <f>IFERROR(__xludf.DUMMYFUNCTION("""COMPUTED_VALUE"""),94.0)</f>
        <v>94</v>
      </c>
      <c r="U88" s="54">
        <f>IFERROR(__xludf.DUMMYFUNCTION("""COMPUTED_VALUE"""),92.0)</f>
        <v>92</v>
      </c>
      <c r="V88" s="54">
        <f>IFERROR(__xludf.DUMMYFUNCTION("""COMPUTED_VALUE"""),58.0)</f>
        <v>58</v>
      </c>
      <c r="W88" s="56" t="str">
        <f>IFERROR(__xludf.DUMMYFUNCTION("""COMPUTED_VALUE"""),"Regional Barrancabermeja")</f>
        <v>Regional Barrancabermeja</v>
      </c>
      <c r="X88" s="57" t="str">
        <f>IFERROR(__xludf.DUMMYFUNCTION("""COMPUTED_VALUE"""),"JAVIER JESUS OVALLE MARTINEZ")</f>
        <v>JAVIER JESUS OVALLE MARTINEZ</v>
      </c>
      <c r="Y88" s="47" t="str">
        <f>IFERROR(__xludf.DUMMYFUNCTION("""COMPUTED_VALUE"""),"DIRECTOR REGIONAL")</f>
        <v>DIRECTOR REGIONAL</v>
      </c>
      <c r="Z88" s="57" t="str">
        <f>IFERROR(__xludf.DUMMYFUNCTION("""COMPUTED_VALUE"""),"javier.ovalle@aunap.gov.co")</f>
        <v>javier.ovalle@aunap.gov.co</v>
      </c>
      <c r="AA88" s="47" t="str">
        <f>IFERROR(__xludf.DUMMYFUNCTION("""COMPUTED_VALUE"""),"Personal, viaticos, transporte")</f>
        <v>Personal, viaticos, transporte</v>
      </c>
      <c r="AB88" s="47" t="str">
        <f>IFERROR(__xludf.DUMMYFUNCTION("""COMPUTED_VALUE"""),"No asociado")</f>
        <v>No asociado</v>
      </c>
      <c r="AC88"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88" s="47" t="str">
        <f>IFERROR(__xludf.DUMMYFUNCTION("""COMPUTED_VALUE"""),"Gestión con valores para resultados")</f>
        <v>Gestión con valores para resultados</v>
      </c>
      <c r="AE88" s="47" t="str">
        <f>IFERROR(__xludf.DUMMYFUNCTION("""COMPUTED_VALUE"""),"Fortalecimiento Organizacional y Simplificación de Procesos")</f>
        <v>Fortalecimiento Organizacional y Simplificación de Procesos</v>
      </c>
      <c r="AF88" s="47" t="str">
        <f>IFERROR(__xludf.DUMMYFUNCTION("""COMPUTED_VALUE"""),"12. Producción y consumo responsable")</f>
        <v>12. Producción y consumo responsable</v>
      </c>
      <c r="AG88" s="58">
        <f>IFERROR(__xludf.DUMMYFUNCTION("""COMPUTED_VALUE"""),77.0)</f>
        <v>77</v>
      </c>
      <c r="AH88" s="59" t="str">
        <f>IFERROR(__xludf.DUMMYFUNCTION("""COMPUTED_VALUE"""),"
Durante el cuarto Trimestre del año 2021, se realizó un total de setenta y siete (77) Operativos, distribuidos de la siguiente manera: 
(4) operativos Acuícolas: Se inspeccionaron los establecimientos y/o proyectos piscícolas del Carmen de chucuri: P"&amp;"iscícola Aguapeces SAS, Rio Negro: Grupo Pesquero del Oriente, Playón: Piscícola El Prado SAS, y Piscícola Los Andes.
(52) operativos a Establecimientos comerciales:  Se inspeccionaron los establecimientos comerciales y/o puntos de venta de:  Barrancaber"&amp;"meja: Sector El Muelle, Torcoroma y La Rampa. Bucaramanga: Centro de abastos; Cimitarra, Puerto Wilches, San Pablo, Puerto Triunfo, Lebrija, Puerto Berrio, Cúcuta, Puerto Boyacá: Barrio El Centro, Plazo de Mercado, Aguachica, Piedecuesta, Floridablanca y "&amp;"San Gil en Centros de abastos, Plazas de Mercado, Puntos de Venta. 
(21) Operativo de Pesca Artesanal:  Se inspeccionaron a los pescadores artesanales al igual que sus equipos y aparejos de pesca reglamentarios en el Embalse Topocoro, Puertos y/o Muelles"&amp;"  de desembarcos de Simiti, Barrancabermeja, San Pablo, Simiti, Puerto Boyacá, Yondó, Puerto Wilches. 
Se efectuaron recorridos en las Ciénaga de Barbacoas (Yondó), Ciénaga de Chucuri (Barrancabermeja). 
Es importante resaltar que de los setenta y siete"&amp;" (77) operativos realizados durante el cuarto trimestre, se efectuaron treinta y dos (32) informes técnicos de decomiso.
")</f>
        <v>
Durante el cuarto Trimestre del año 2021, se realizó un total de setenta y siete (77) Operativos, distribuidos de la siguiente manera: 
(4) operativos Acuícolas: Se inspeccionaron los establecimientos y/o proyectos piscícolas del Carmen de chucuri: Piscícola Aguapeces SAS, Rio Negro: Grupo Pesquero del Oriente, Playón: Piscícola El Prado SAS, y Piscícola Los Andes.
(52) operativos a Establecimientos comerciales:  Se inspeccionaron los establecimientos comerciales y/o puntos de venta de:  Barrancabermeja: Sector El Muelle, Torcoroma y La Rampa. Bucaramanga: Centro de abastos; Cimitarra, Puerto Wilches, San Pablo, Puerto Triunfo, Lebrija, Puerto Berrio, Cúcuta, Puerto Boyacá: Barrio El Centro, Plazo de Mercado, Aguachica, Piedecuesta, Floridablanca y San Gil en Centros de abastos, Plazas de Mercado, Puntos de Venta. 
(21) Operativo de Pesca Artesanal:  Se inspeccionaron a los pescadores artesanales al igual que sus equipos y aparejos de pesca reglamentarios en el Embalse Topocoro, Puertos y/o Muelles  de desembarcos de Simiti, Barrancabermeja, San Pablo, Simiti, Puerto Boyacá, Yondó, Puerto Wilches. 
Se efectuaron recorridos en las Ciénaga de Barbacoas (Yondó), Ciénaga de Chucuri (Barrancabermeja). 
Es importante resaltar que de los setenta y siete (77) operativos realizados durante el cuarto trimestre, se efectuaron treinta y dos (32) informes técnicos de decomiso.
</v>
      </c>
      <c r="AI88" s="77" t="str">
        <f>IFERROR(__xludf.DUMMYFUNCTION("""COMPUTED_VALUE"""),"https://drive.google.com/drive/folders/1KjwvpbKi1AE1hNrESrulKY1RHFbTvkpZ?usp=sharing")</f>
        <v>https://drive.google.com/drive/folders/1KjwvpbKi1AE1hNrESrulKY1RHFbTvkpZ?usp=sharing</v>
      </c>
      <c r="AJ88" s="59">
        <f>IFERROR(__xludf.DUMMYFUNCTION("""COMPUTED_VALUE"""),343.0)</f>
        <v>343</v>
      </c>
      <c r="AK88" s="59" t="str">
        <f>IFERROR(__xludf.DUMMYFUNCTION("""COMPUTED_VALUE"""),"La Dirección Regional Barrancabermeja, cumplió con la meta asignada en el Plan de Acción 2021, sin embargo hubo un aumento en su gestión debido al incremento de la atención de solicitudes y denuncias por parte de la comunidad pesquera y fuerza pública. ")</f>
        <v>La Dirección Regional Barrancabermeja, cumplió con la meta asignada en el Plan de Acción 2021, sin embargo hubo un aumento en su gestión debido al incremento de la atención de solicitudes y denuncias por parte de la comunidad pesquera y fuerza pública. </v>
      </c>
      <c r="AL88" s="59">
        <f>IFERROR(__xludf.DUMMYFUNCTION("""COMPUTED_VALUE"""),44582.0)</f>
        <v>44582</v>
      </c>
      <c r="AM88" s="60"/>
      <c r="AN88" s="61" t="str">
        <f>IFERROR(IF((AO88+1)&lt;2,Alertas!$B$2&amp;TEXT(AO88,"0%")&amp;Alertas!$D$2, IF((AO88+1)=2,Alertas!$B$3,IF((AO88+1)&gt;2,Alertas!$B$4&amp;TEXT(AO88,"0%")&amp;Alertas!$D$4,AO88+1))),"Sin meta para el segundo trimestre")</f>
        <v>La ejecución de la meta registrada se encuentra por debajo de la meta programada en la formulación del plan de acción para el segundo trimestre, su porcentaje de cumplimiento es 82%, lo cual indica un incumplimiento que puede ser entendido por los entes de control como falencias en el proceso de planeación y gestión de la dependencia. se recomienda realizar acciones para garantizar el cumplimiento de la meta durante lo que resta de vigencia</v>
      </c>
      <c r="AO88" s="62">
        <f t="shared" si="2"/>
        <v>0.8191489362</v>
      </c>
      <c r="AP88" s="61" t="str">
        <f t="shared" si="3"/>
        <v>La ejecución de la meta registrada se encuentra por debajo de la meta programada en la formulación del plan de acción para el segundo trimestre, su porcentaje de cumplimiento es 82%, lo cual indica un incumplimiento que puede ser entendido por los entes de control como falencias en el proceso de planeación y gestión de la dependencia. se recomienda realizar acciones para garantizar el cumplimiento de la meta durante lo que resta de vigencia.</v>
      </c>
      <c r="AQ88" s="63"/>
      <c r="AR88" s="64"/>
      <c r="AS88" s="65"/>
      <c r="AT88" s="65"/>
      <c r="AU88" s="66"/>
      <c r="AV88" s="67"/>
      <c r="AW88" s="68"/>
      <c r="AX88" s="63"/>
      <c r="AY88" s="64"/>
      <c r="AZ88" s="69"/>
      <c r="BA88" s="65"/>
      <c r="BB88" s="70"/>
      <c r="BC88" s="71"/>
      <c r="BD88" s="72"/>
      <c r="BE88" s="73"/>
      <c r="BF88" s="64"/>
      <c r="BG88" s="69"/>
      <c r="BH88" s="65"/>
      <c r="BI88" s="66"/>
      <c r="BJ88" s="71"/>
      <c r="BK88" s="72"/>
      <c r="BL88" s="74"/>
      <c r="BN88" s="5" t="str">
        <f t="shared" si="23"/>
        <v>-1</v>
      </c>
      <c r="BP88" s="5"/>
    </row>
    <row r="89" ht="37.5" customHeight="1">
      <c r="A89" s="45"/>
      <c r="B89" s="46">
        <f>IFERROR(__xludf.DUMMYFUNCTION("""COMPUTED_VALUE"""),87.0)</f>
        <v>87</v>
      </c>
      <c r="C89" s="47" t="str">
        <f>IFERROR(__xludf.DUMMYFUNCTION("""COMPUTED_VALUE"""),"Gestión de la inspección y vigilancia")</f>
        <v>Gestión de la inspección y vigilancia</v>
      </c>
      <c r="D89" s="48" t="str">
        <f>IFERROR(__xludf.DUMMYFUNCTION("""COMPUTED_VALUE"""),"Regional Barrancabermeja")</f>
        <v>Regional Barrancabermeja</v>
      </c>
      <c r="E89"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89" s="49">
        <f>IFERROR(__xludf.DUMMYFUNCTION("""COMPUTED_VALUE"""),2.019011000276E12)</f>
        <v>2019011000276</v>
      </c>
      <c r="G89" s="50" t="str">
        <f>IFERROR(__xludf.DUMMYFUNCTION("""COMPUTED_VALUE"""),"Inspección")</f>
        <v>Inspección</v>
      </c>
      <c r="H89" s="48" t="str">
        <f>IFERROR(__xludf.DUMMYFUNCTION("""COMPUTED_VALUE"""),"Fortalecer los mecanismos de seguimiento y control de la actividad pesquera y de la acuicultura.")</f>
        <v>Fortalecer los mecanismos de seguimiento y control de la actividad pesquera y de la acuicultura.</v>
      </c>
      <c r="I89" s="48" t="str">
        <f>IFERROR(__xludf.DUMMYFUNCTION("""COMPUTED_VALUE"""),"Servicio de inspección, vigilancia y control de la pesca y la acuicultura")</f>
        <v>Servicio de inspección, vigilancia y control de la pesca y la acuicultura</v>
      </c>
      <c r="J89" s="48" t="str">
        <f>IFERROR(__xludf.DUMMYFUNCTION("""COMPUTED_VALUE"""),"Realizar los operativos de inspección, vigilancia y control.")</f>
        <v>Realizar los operativos de inspección, vigilancia y control.</v>
      </c>
      <c r="K89" s="51" t="str">
        <f>IFERROR(__xludf.DUMMYFUNCTION("""COMPUTED_VALUE"""),"Gestión del área")</f>
        <v>Gestión del área</v>
      </c>
      <c r="L89" s="51" t="str">
        <f>IFERROR(__xludf.DUMMYFUNCTION("""COMPUTED_VALUE"""),"Eficacia")</f>
        <v>Eficacia</v>
      </c>
      <c r="M89" s="51" t="str">
        <f>IFERROR(__xludf.DUMMYFUNCTION("""COMPUTED_VALUE"""),"Número")</f>
        <v>Número</v>
      </c>
      <c r="N89" s="52" t="str">
        <f>IFERROR(__xludf.DUMMYFUNCTION("""COMPUTED_VALUE"""),"Número de eventos realizados/número de eventos desarrollados.")</f>
        <v>Número de eventos realizados/número de eventos desarrollados.</v>
      </c>
      <c r="O89" s="53"/>
      <c r="P89" s="54">
        <f>IFERROR(__xludf.DUMMYFUNCTION("""COMPUTED_VALUE"""),45.0)</f>
        <v>45</v>
      </c>
      <c r="Q89" s="55" t="str">
        <f>IFERROR(__xludf.DUMMYFUNCTION("""COMPUTED_VALUE"""),"Realizar eventos de divulgación y socialización a nivel nacional en pro de disminuir las malas prácticas, en el ejercicio del control y vigilancia preventiva de la actividad pesquera y acuícola.")</f>
        <v>Realizar eventos de divulgación y socialización a nivel nacional en pro de disminuir las malas prácticas, en el ejercicio del control y vigilancia preventiva de la actividad pesquera y acuícola.</v>
      </c>
      <c r="R89" s="14" t="str">
        <f>IFERROR(__xludf.DUMMYFUNCTION("""COMPUTED_VALUE"""),"Trimestral")</f>
        <v>Trimestral</v>
      </c>
      <c r="S89" s="54">
        <f>IFERROR(__xludf.DUMMYFUNCTION("""COMPUTED_VALUE"""),8.0)</f>
        <v>8</v>
      </c>
      <c r="T89" s="54">
        <f>IFERROR(__xludf.DUMMYFUNCTION("""COMPUTED_VALUE"""),10.0)</f>
        <v>10</v>
      </c>
      <c r="U89" s="54">
        <f>IFERROR(__xludf.DUMMYFUNCTION("""COMPUTED_VALUE"""),20.0)</f>
        <v>20</v>
      </c>
      <c r="V89" s="54">
        <f>IFERROR(__xludf.DUMMYFUNCTION("""COMPUTED_VALUE"""),7.0)</f>
        <v>7</v>
      </c>
      <c r="W89" s="56" t="str">
        <f>IFERROR(__xludf.DUMMYFUNCTION("""COMPUTED_VALUE"""),"Regional Barrancabermeja")</f>
        <v>Regional Barrancabermeja</v>
      </c>
      <c r="X89" s="57" t="str">
        <f>IFERROR(__xludf.DUMMYFUNCTION("""COMPUTED_VALUE"""),"JAVIER JESUS OVALLE MARTINEZ")</f>
        <v>JAVIER JESUS OVALLE MARTINEZ</v>
      </c>
      <c r="Y89" s="47" t="str">
        <f>IFERROR(__xludf.DUMMYFUNCTION("""COMPUTED_VALUE"""),"DIRECTOR REGIONAL")</f>
        <v>DIRECTOR REGIONAL</v>
      </c>
      <c r="Z89" s="57" t="str">
        <f>IFERROR(__xludf.DUMMYFUNCTION("""COMPUTED_VALUE"""),"javier.ovalle@aunap.gov.co")</f>
        <v>javier.ovalle@aunap.gov.co</v>
      </c>
      <c r="AA89" s="47" t="str">
        <f>IFERROR(__xludf.DUMMYFUNCTION("""COMPUTED_VALUE"""),"Personal, viaticos, transporte")</f>
        <v>Personal, viaticos, transporte</v>
      </c>
      <c r="AB89" s="47" t="str">
        <f>IFERROR(__xludf.DUMMYFUNCTION("""COMPUTED_VALUE"""),"No asociado")</f>
        <v>No asociado</v>
      </c>
      <c r="AC89"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89" s="47" t="str">
        <f>IFERROR(__xludf.DUMMYFUNCTION("""COMPUTED_VALUE"""),"Gestión con valores para resultados")</f>
        <v>Gestión con valores para resultados</v>
      </c>
      <c r="AE89" s="47" t="str">
        <f>IFERROR(__xludf.DUMMYFUNCTION("""COMPUTED_VALUE"""),"Fortalecimiento Organizacional y Simplificación de Procesos")</f>
        <v>Fortalecimiento Organizacional y Simplificación de Procesos</v>
      </c>
      <c r="AF89" s="47" t="str">
        <f>IFERROR(__xludf.DUMMYFUNCTION("""COMPUTED_VALUE"""),"12. Producción y consumo responsable")</f>
        <v>12. Producción y consumo responsable</v>
      </c>
      <c r="AG89" s="58">
        <f>IFERROR(__xludf.DUMMYFUNCTION("""COMPUTED_VALUE"""),8.0)</f>
        <v>8</v>
      </c>
      <c r="AH89" s="59" t="str">
        <f>IFERROR(__xludf.DUMMYFUNCTION("""COMPUTED_VALUE"""),"
Durante el cuarto trimestre, se realizaron ocho (08) eventos de divulgación en pro de disminuir las malas prácticas pesqueras dirigidas a: 
* Gremio de Comercializadores de Productos Pesqueros de Bucaramanga
* Integrantes de la Policía Nacional, Cara"&amp;"bineros y Ejercito Nacional de los municipios de Puerto Boyacá (Boyacá); Bucaramanga, Floridablanca,Piedecuesta (Santander) y Santa Rosa del Sur (Bolívar).
*Entidades como la Secretaria de Agricultura de Betulia.
*Integrantes de la Armada Nacional de In"&amp;"fantería de Marina de Puerto Boyacá. Se atendieron sesenta y tres (63) personas.
")</f>
        <v>
Durante el cuarto trimestre, se realizaron ocho (08) eventos de divulgación en pro de disminuir las malas prácticas pesqueras dirigidas a: 
* Gremio de Comercializadores de Productos Pesqueros de Bucaramanga
* Integrantes de la Policía Nacional, Carabineros y Ejercito Nacional de los municipios de Puerto Boyacá (Boyacá); Bucaramanga, Floridablanca,Piedecuesta (Santander) y Santa Rosa del Sur (Bolívar).
*Entidades como la Secretaria de Agricultura de Betulia.
*Integrantes de la Armada Nacional de Infantería de Marina de Puerto Boyacá. Se atendieron sesenta y tres (63) personas.
</v>
      </c>
      <c r="AI89" s="77" t="str">
        <f>IFERROR(__xludf.DUMMYFUNCTION("""COMPUTED_VALUE"""),"https://drive.google.com/drive/folders/16xuPGygP5LtQ8BVotVnS4Vd_bNBwKuEf?usp=sharing")</f>
        <v>https://drive.google.com/drive/folders/16xuPGygP5LtQ8BVotVnS4Vd_bNBwKuEf?usp=sharing</v>
      </c>
      <c r="AJ89" s="59">
        <f>IFERROR(__xludf.DUMMYFUNCTION("""COMPUTED_VALUE"""),60.0)</f>
        <v>60</v>
      </c>
      <c r="AK89" s="59" t="str">
        <f>IFERROR(__xludf.DUMMYFUNCTION("""COMPUTED_VALUE"""),"La Dirección Regional Barrancabermeja, dió cumplimiento en la meta, no obstante se atendieron solicitudes de la comunidad pesquera, y se contó con el apoyo del personal frente a la gestión y/o presencia  de la AUNAP en el territorio.  ")</f>
        <v>La Dirección Regional Barrancabermeja, dió cumplimiento en la meta, no obstante se atendieron solicitudes de la comunidad pesquera, y se contó con el apoyo del personal frente a la gestión y/o presencia  de la AUNAP en el territorio.  </v>
      </c>
      <c r="AL89" s="59">
        <f>IFERROR(__xludf.DUMMYFUNCTION("""COMPUTED_VALUE"""),44582.0)</f>
        <v>44582</v>
      </c>
      <c r="AM89" s="60"/>
      <c r="AN89" s="61" t="str">
        <f>IFERROR(IF((AO89+1)&lt;2,Alertas!$B$2&amp;TEXT(AO89,"0%")&amp;Alertas!$D$2, IF((AO89+1)=2,Alertas!$B$3,IF((AO89+1)&gt;2,Alertas!$B$4&amp;TEXT(AO89,"0%")&amp;Alertas!$D$4,AO89+1))),"Sin meta para el segundo trimestre")</f>
        <v>La ejecución de la meta registrada se encuentra por debajo de la meta programada en la formulación del plan de acción para el segundo trimestre, su porcentaje de cumplimiento es 80%, lo cual indica un incumplimiento que puede ser entendido por los entes de control como falencias en el proceso de planeación y gestión de la dependencia. se recomienda realizar acciones para garantizar el cumplimiento de la meta durante lo que resta de vigencia</v>
      </c>
      <c r="AO89" s="62">
        <f t="shared" si="2"/>
        <v>0.8</v>
      </c>
      <c r="AP89" s="61" t="str">
        <f t="shared" si="3"/>
        <v>La ejecución de la meta registrada se encuentra por debajo de la meta programada en la formulación del plan de acción para el segundo trimestre, su porcentaje de cumplimiento es 80%, lo cual indica un incumplimiento que puede ser entendido por los entes de control como falencias en el proceso de planeación y gestión de la dependencia. se recomienda realizar acciones para garantizar el cumplimiento de la meta durante lo que resta de vigencia.</v>
      </c>
      <c r="AQ89" s="63"/>
      <c r="AR89" s="64"/>
      <c r="AS89" s="65"/>
      <c r="AT89" s="65"/>
      <c r="AU89" s="66"/>
      <c r="AV89" s="67"/>
      <c r="AW89" s="68"/>
      <c r="AX89" s="63"/>
      <c r="AY89" s="64"/>
      <c r="AZ89" s="69"/>
      <c r="BA89" s="65"/>
      <c r="BB89" s="70"/>
      <c r="BC89" s="71"/>
      <c r="BD89" s="72"/>
      <c r="BE89" s="73"/>
      <c r="BF89" s="64"/>
      <c r="BG89" s="69"/>
      <c r="BH89" s="65"/>
      <c r="BI89" s="66"/>
      <c r="BJ89" s="71"/>
      <c r="BK89" s="72"/>
      <c r="BL89" s="74"/>
      <c r="BN89" s="5" t="str">
        <f t="shared" si="23"/>
        <v>-1</v>
      </c>
      <c r="BP89" s="5"/>
    </row>
    <row r="90" ht="37.5" customHeight="1">
      <c r="A90" s="45"/>
      <c r="B90" s="46">
        <f>IFERROR(__xludf.DUMMYFUNCTION("""COMPUTED_VALUE"""),88.0)</f>
        <v>88</v>
      </c>
      <c r="C90" s="47" t="str">
        <f>IFERROR(__xludf.DUMMYFUNCTION("""COMPUTED_VALUE"""),"Gestión de la administración y fomento")</f>
        <v>Gestión de la administración y fomento</v>
      </c>
      <c r="D90" s="48" t="str">
        <f>IFERROR(__xludf.DUMMYFUNCTION("""COMPUTED_VALUE"""),"Regional Barrancabermeja")</f>
        <v>Regional Barrancabermeja</v>
      </c>
      <c r="E90" s="48" t="str">
        <f>IFERROR(__xludf.DUMMYFUNCTION("""COMPUTED_VALUE"""),"Fortalecimiento de la sostenibilidad del sector pesquero y de la acuicultura en el territorio nacional")</f>
        <v>Fortalecimiento de la sostenibilidad del sector pesquero y de la acuicultura en el territorio nacional</v>
      </c>
      <c r="F90" s="49">
        <f>IFERROR(__xludf.DUMMYFUNCTION("""COMPUTED_VALUE"""),2.01901100028E12)</f>
        <v>2019011000280</v>
      </c>
      <c r="G90" s="50" t="str">
        <f>IFERROR(__xludf.DUMMYFUNCTION("""COMPUTED_VALUE"""),"Sostenibilidad")</f>
        <v>Sostenibilidad</v>
      </c>
      <c r="H90" s="48" t="str">
        <f>IFERROR(__xludf.DUMMYFUNCTION("""COMPUTED_VALUE"""),"Mejorar la explotación de los recursos pesqueros y de la acuicultura.")</f>
        <v>Mejorar la explotación de los recursos pesqueros y de la acuicultura.</v>
      </c>
      <c r="I90" s="48" t="str">
        <f>IFERROR(__xludf.DUMMYFUNCTION("""COMPUTED_VALUE"""),"Servicios de administración de los recurso pesqueros y de la acuicultura")</f>
        <v>Servicios de administración de los recurso pesqueros y de la acuicultura</v>
      </c>
      <c r="J90" s="48" t="str">
        <f>IFERROR(__xludf.DUMMYFUNCTION("""COMPUTED_VALUE"""),"Regular el manejo y el ejercicio de la actividad pesquera y de la acuicultura.")</f>
        <v>Regular el manejo y el ejercicio de la actividad pesquera y de la acuicultura.</v>
      </c>
      <c r="K90" s="51" t="str">
        <f>IFERROR(__xludf.DUMMYFUNCTION("""COMPUTED_VALUE"""),"Producto")</f>
        <v>Producto</v>
      </c>
      <c r="L90" s="51" t="str">
        <f>IFERROR(__xludf.DUMMYFUNCTION("""COMPUTED_VALUE"""),"Eficacia")</f>
        <v>Eficacia</v>
      </c>
      <c r="M90" s="51" t="str">
        <f>IFERROR(__xludf.DUMMYFUNCTION("""COMPUTED_VALUE"""),"Número")</f>
        <v>Número</v>
      </c>
      <c r="N90" s="52" t="str">
        <f>IFERROR(__xludf.DUMMYFUNCTION("""COMPUTED_VALUE"""),"Trámites atendidos")</f>
        <v>Trámites atendidos</v>
      </c>
      <c r="O90" s="53">
        <f>IFERROR(__xludf.DUMMYFUNCTION("""COMPUTED_VALUE"""),-7140.0)</f>
        <v>-7140</v>
      </c>
      <c r="P90" s="54">
        <f>IFERROR(__xludf.DUMMYFUNCTION("""COMPUTED_VALUE"""),100.0)</f>
        <v>100</v>
      </c>
      <c r="Q90" s="55" t="str">
        <f>IFERROR(__xludf.DUMMYFUNCTION("""COMPUTED_VALUE"""),"Atender Trámites")</f>
        <v>Atender Trámites</v>
      </c>
      <c r="R90" s="14" t="str">
        <f>IFERROR(__xludf.DUMMYFUNCTION("""COMPUTED_VALUE"""),"Trimestral")</f>
        <v>Trimestral</v>
      </c>
      <c r="S90" s="54">
        <f>IFERROR(__xludf.DUMMYFUNCTION("""COMPUTED_VALUE"""),18.0)</f>
        <v>18</v>
      </c>
      <c r="T90" s="54">
        <f>IFERROR(__xludf.DUMMYFUNCTION("""COMPUTED_VALUE"""),26.0)</f>
        <v>26</v>
      </c>
      <c r="U90" s="54">
        <f>IFERROR(__xludf.DUMMYFUNCTION("""COMPUTED_VALUE"""),33.0)</f>
        <v>33</v>
      </c>
      <c r="V90" s="54">
        <f>IFERROR(__xludf.DUMMYFUNCTION("""COMPUTED_VALUE"""),23.0)</f>
        <v>23</v>
      </c>
      <c r="W90" s="56" t="str">
        <f>IFERROR(__xludf.DUMMYFUNCTION("""COMPUTED_VALUE"""),"Regional Barrancabermeja")</f>
        <v>Regional Barrancabermeja</v>
      </c>
      <c r="X90" s="57" t="str">
        <f>IFERROR(__xludf.DUMMYFUNCTION("""COMPUTED_VALUE"""),"JAVIER JESUS OVALLE MARTINEZ")</f>
        <v>JAVIER JESUS OVALLE MARTINEZ</v>
      </c>
      <c r="Y90" s="47" t="str">
        <f>IFERROR(__xludf.DUMMYFUNCTION("""COMPUTED_VALUE"""),"DIRECTOR REGIONAL")</f>
        <v>DIRECTOR REGIONAL</v>
      </c>
      <c r="Z90" s="57" t="str">
        <f>IFERROR(__xludf.DUMMYFUNCTION("""COMPUTED_VALUE"""),"javier.ovalle@aunap.gov.co")</f>
        <v>javier.ovalle@aunap.gov.co</v>
      </c>
      <c r="AA90" s="47" t="str">
        <f>IFERROR(__xludf.DUMMYFUNCTION("""COMPUTED_VALUE"""),"Personal, viaticos, transporte")</f>
        <v>Personal, viaticos, transporte</v>
      </c>
      <c r="AB90" s="47" t="str">
        <f>IFERROR(__xludf.DUMMYFUNCTION("""COMPUTED_VALUE"""),"No asociado")</f>
        <v>No asociado</v>
      </c>
      <c r="AC90" s="47" t="str">
        <f>IFERROR(__xludf.DUMMYFUNCTION("""COMPUTED_VALUE"""),"Propiciar la formalización de la pesca y la acuicultura")</f>
        <v>Propiciar la formalización de la pesca y la acuicultura</v>
      </c>
      <c r="AD90" s="47" t="str">
        <f>IFERROR(__xludf.DUMMYFUNCTION("""COMPUTED_VALUE"""),"Gestión con valores para resultados")</f>
        <v>Gestión con valores para resultados</v>
      </c>
      <c r="AE90" s="47" t="str">
        <f>IFERROR(__xludf.DUMMYFUNCTION("""COMPUTED_VALUE"""),"Fortalecimiento Organizacional y Simplificación de Procesos")</f>
        <v>Fortalecimiento Organizacional y Simplificación de Procesos</v>
      </c>
      <c r="AF90" s="47" t="str">
        <f>IFERROR(__xludf.DUMMYFUNCTION("""COMPUTED_VALUE"""),"12. Producción y consumo responsable")</f>
        <v>12. Producción y consumo responsable</v>
      </c>
      <c r="AG90" s="58">
        <f>IFERROR(__xludf.DUMMYFUNCTION("""COMPUTED_VALUE"""),42.0)</f>
        <v>42</v>
      </c>
      <c r="AH90" s="59" t="str">
        <f>IFERROR(__xludf.DUMMYFUNCTION("""COMPUTED_VALUE"""),"Durante el cuarto trimestre, la Dirección Regional Barrancabermeja atendió y gestionó: 
(8) Prórrogas de Permisos de Comercialización: 
Antioquia: Puerto Berrio: PTB- 004. Edgar José Peña Florez
Cesar: SIM 005- Maritza Ótalora
Santander: Socorro: BUC "&amp;"084-Richard Acuña; BUC 093- Pesquera Davimar y Rios, Barrancabermeja: BAR 022- Pesquera el Dorado E&amp;F S.A.S; Bucaramanga: BUC 110- Casalins SA.
Norte de Santander: Cúcuta: CUC 040- Compra y venta de pescado y queso los compadres; CUC 041- Salipez Cúcuta "&amp;"S.A.S.
(1) Prórroga de Permiso de Cultivo
Santander: Pinchote: BUC 099- Pesquera La Granja El Cúcharo
(10) Inclusión o Modificación de Permiso de Comercialización sea por proveedor, productos y/o toneladas:
Santander: Bucaramanga: BUC 077- Distribuido"&amp;"ra Pastor Julio Delgado S.A; BUC 079- Compañía Pesquera Del Mar. Girón: BUC 083- Pesquera Del Mar; BUC 085, BUC 086, BUC 087,  BUC 088 y BUC 089- Compañía Pesquera del Mar S.A.S; BUC 092 y BUC 097: Pesquera del Mar.
(1) Inclusión o Modificación de Permis"&amp;"os de Cultivo.
Santander: Carmen de Chucuri: BAR 021- Aguapeces SAS
(4) Otorgamiento de Permisos de Comercialización
Santander: Bucaramanga: BUC 082- Ricardo Rueda Gutiérrez, BUC 100- ANPAMAR SAS, BUC 103- PEZCADERIA S.A.S, San Gil: BUC 108- Super Fama"&amp;" El Cebu
(4) Otorgamiento de Permisos de Cultivo
Santander: Simacota: BAR020- Pesca Fresca Nicaragua, Floridablanca: BUC 096-DISCUS ROA FISH, Rio Negro: BUC 098- El Prado S.A.S, Pinchote: BUC 107-Tilagua (TECNI-PISCICOLA LIMPIA)
(2) Cancelación: Bucara"&amp;"manga: BUC 080-Luis Fernando Merchán Ávila, BUC 094- DISCUS ROA FISH
*Se diligenciaron diez (10) permisos Arel del municipio de Morales consecutivos Nos. 2910, 2911,2912, 2913, 2914, 2915, 2916, 2917, 2918,2919.
*Se diligenciaron cuatro (4) Permisos de "&amp;"Pequeños Comerciantes: Uno (1) del municipio de Betulia con consecutivo No. DRBJ017; y tres (3) del municipio de Puerto Wilches con consecutivos Nos. DRBJ018, DRBJ019, DRBJ20, DRBJ21.
Cabe anotar que la cancelación de los permisos no se cuenta. Por consi"&amp;"guiente, se dio trámite a 42 solicitudes, reflejando a su vez, un aumento en la meta programada.
")</f>
        <v>Durante el cuarto trimestre, la Dirección Regional Barrancabermeja atendió y gestionó: 
(8) Prórrogas de Permisos de Comercialización: 
Antioquia: Puerto Berrio: PTB- 004. Edgar José Peña Florez
Cesar: SIM 005- Maritza Ótalora
Santander: Socorro: BUC 084-Richard Acuña; BUC 093- Pesquera Davimar y Rios, Barrancabermeja: BAR 022- Pesquera el Dorado E&amp;F S.A.S; Bucaramanga: BUC 110- Casalins SA.
Norte de Santander: Cúcuta: CUC 040- Compra y venta de pescado y queso los compadres; CUC 041- Salipez Cúcuta S.A.S.
(1) Prórroga de Permiso de Cultivo
Santander: Pinchote: BUC 099- Pesquera La Granja El Cúcharo
(10) Inclusión o Modificación de Permiso de Comercialización sea por proveedor, productos y/o toneladas:
Santander: Bucaramanga: BUC 077- Distribuidora Pastor Julio Delgado S.A; BUC 079- Compañía Pesquera Del Mar. Girón: BUC 083- Pesquera Del Mar; BUC 085, BUC 086, BUC 087,  BUC 088 y BUC 089- Compañía Pesquera del Mar S.A.S; BUC 092 y BUC 097: Pesquera del Mar.
(1) Inclusión o Modificación de Permisos de Cultivo.
Santander: Carmen de Chucuri: BAR 021- Aguapeces SAS
(4) Otorgamiento de Permisos de Comercialización
Santander: Bucaramanga: BUC 082- Ricardo Rueda Gutiérrez, BUC 100- ANPAMAR SAS, BUC 103- PEZCADERIA S.A.S, San Gil: BUC 108- Super Fama El Cebu
(4) Otorgamiento de Permisos de Cultivo
Santander: Simacota: BAR020- Pesca Fresca Nicaragua, Floridablanca: BUC 096-DISCUS ROA FISH, Rio Negro: BUC 098- El Prado S.A.S, Pinchote: BUC 107-Tilagua (TECNI-PISCICOLA LIMPIA)
(2) Cancelación: Bucaramanga: BUC 080-Luis Fernando Merchán Ávila, BUC 094- DISCUS ROA FISH
*Se diligenciaron diez (10) permisos Arel del municipio de Morales consecutivos Nos. 2910, 2911,2912, 2913, 2914, 2915, 2916, 2917, 2918,2919.
*Se diligenciaron cuatro (4) Permisos de Pequeños Comerciantes: Uno (1) del municipio de Betulia con consecutivo No. DRBJ017; y tres (3) del municipio de Puerto Wilches con consecutivos Nos. DRBJ018, DRBJ019, DRBJ20, DRBJ21.
Cabe anotar que la cancelación de los permisos no se cuenta. Por consiguiente, se dio trámite a 42 solicitudes, reflejando a su vez, un aumento en la meta programada.
</v>
      </c>
      <c r="AI90" s="77" t="str">
        <f>IFERROR(__xludf.DUMMYFUNCTION("""COMPUTED_VALUE"""),"https://drive.google.com/drive/folders/1KMugiVNh_pW8feDhcC3o7aj9hVcgm919?usp=sharing")</f>
        <v>https://drive.google.com/drive/folders/1KMugiVNh_pW8feDhcC3o7aj9hVcgm919?usp=sharing</v>
      </c>
      <c r="AJ90" s="59">
        <f>IFERROR(__xludf.DUMMYFUNCTION("""COMPUTED_VALUE"""),156.0)</f>
        <v>156</v>
      </c>
      <c r="AK90" s="59" t="str">
        <f>IFERROR(__xludf.DUMMYFUNCTION("""COMPUTED_VALUE"""),"La Dirección Regional Barrancabermeja, cumplió con la meta asignada en el Plan de Acción 2021; debido a la gestión realizada y al interes de los comerciantes y piscicultores se vincularon nuevos permisionarios, también se incrementó la inclusión de provee"&amp;"dores en el territorio. ")</f>
        <v>La Dirección Regional Barrancabermeja, cumplió con la meta asignada en el Plan de Acción 2021; debido a la gestión realizada y al interes de los comerciantes y piscicultores se vincularon nuevos permisionarios, también se incrementó la inclusión de proveedores en el territorio. </v>
      </c>
      <c r="AL90" s="59">
        <f>IFERROR(__xludf.DUMMYFUNCTION("""COMPUTED_VALUE"""),44582.0)</f>
        <v>44582</v>
      </c>
      <c r="AM90" s="60"/>
      <c r="AN90" s="61" t="str">
        <f>IFERROR(IF((AO90+1)&lt;2,Alertas!$B$2&amp;TEXT(AO90,"0%")&amp;Alertas!$D$2, IF((AO90+1)=2,Alertas!$B$3,IF((AO90+1)&gt;2,Alertas!$B$4&amp;TEXT(AO90,"0%")&amp;Alertas!$D$4,AO90+1))),"Sin meta para el segundo trimestre")</f>
        <v>La ejecución de la meta registrada se encuentra por encima de la meta programada en la formulación del plan de acción para el segundo trimestre, su porcentaje de cumplimiento es 162%,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90" s="62">
        <f t="shared" si="2"/>
        <v>1.615384615</v>
      </c>
      <c r="AP90" s="61" t="str">
        <f t="shared" si="3"/>
        <v>La ejecución de la meta registrada se encuentra por encima de la meta programada en la formulación del plan de acción para el segundo trimestre, su porcentaje de cumplimiento es 162%,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90" s="63"/>
      <c r="AR90" s="64"/>
      <c r="AS90" s="65"/>
      <c r="AT90" s="65"/>
      <c r="AU90" s="66"/>
      <c r="AV90" s="67"/>
      <c r="AW90" s="68"/>
      <c r="AX90" s="63"/>
      <c r="AY90" s="64"/>
      <c r="AZ90" s="69"/>
      <c r="BA90" s="65"/>
      <c r="BB90" s="70"/>
      <c r="BC90" s="71"/>
      <c r="BD90" s="72"/>
      <c r="BE90" s="73"/>
      <c r="BF90" s="64"/>
      <c r="BG90" s="69"/>
      <c r="BH90" s="65"/>
      <c r="BI90" s="66"/>
      <c r="BJ90" s="71"/>
      <c r="BK90" s="72"/>
      <c r="BL90" s="74"/>
      <c r="BN90" s="5" t="str">
        <f t="shared" si="23"/>
        <v>1</v>
      </c>
      <c r="BP90" s="5"/>
    </row>
    <row r="91" ht="37.5" customHeight="1">
      <c r="A91" s="45"/>
      <c r="B91" s="46">
        <f>IFERROR(__xludf.DUMMYFUNCTION("""COMPUTED_VALUE"""),89.0)</f>
        <v>89</v>
      </c>
      <c r="C91" s="47" t="str">
        <f>IFERROR(__xludf.DUMMYFUNCTION("""COMPUTED_VALUE"""),"Gestión de la administración y fomento")</f>
        <v>Gestión de la administración y fomento</v>
      </c>
      <c r="D91" s="48" t="str">
        <f>IFERROR(__xludf.DUMMYFUNCTION("""COMPUTED_VALUE"""),"Regional Barrancabermeja")</f>
        <v>Regional Barrancabermeja</v>
      </c>
      <c r="E91" s="48" t="str">
        <f>IFERROR(__xludf.DUMMYFUNCTION("""COMPUTED_VALUE"""),"Fortalecimiento de la sostenibilidad del sector pesquero y de la acuicultura en el territorio nacional")</f>
        <v>Fortalecimiento de la sostenibilidad del sector pesquero y de la acuicultura en el territorio nacional</v>
      </c>
      <c r="F91" s="49">
        <f>IFERROR(__xludf.DUMMYFUNCTION("""COMPUTED_VALUE"""),2.01901100028E12)</f>
        <v>2019011000280</v>
      </c>
      <c r="G91" s="50" t="str">
        <f>IFERROR(__xludf.DUMMYFUNCTION("""COMPUTED_VALUE"""),"Sostenibilidad")</f>
        <v>Sostenibilidad</v>
      </c>
      <c r="H91" s="48" t="str">
        <f>IFERROR(__xludf.DUMMYFUNCTION("""COMPUTED_VALUE"""),"Mejorar la explotación de los recursos pesqueros y de la acuicultura.")</f>
        <v>Mejorar la explotación de los recursos pesqueros y de la acuicultura.</v>
      </c>
      <c r="I91" s="48" t="str">
        <f>IFERROR(__xludf.DUMMYFUNCTION("""COMPUTED_VALUE"""),"Servicios de administración de los recurso pesqueros y de la acuicultura")</f>
        <v>Servicios de administración de los recurso pesqueros y de la acuicultura</v>
      </c>
      <c r="J91" s="48" t="str">
        <f>IFERROR(__xludf.DUMMYFUNCTION("""COMPUTED_VALUE"""),"Realizar acciones de divulgación y formalización de la actividad pesquera y de la acuicultura.")</f>
        <v>Realizar acciones de divulgación y formalización de la actividad pesquera y de la acuicultura.</v>
      </c>
      <c r="K91" s="51" t="str">
        <f>IFERROR(__xludf.DUMMYFUNCTION("""COMPUTED_VALUE"""),"Gestión del área")</f>
        <v>Gestión del área</v>
      </c>
      <c r="L91" s="51" t="str">
        <f>IFERROR(__xludf.DUMMYFUNCTION("""COMPUTED_VALUE"""),"Eficacia")</f>
        <v>Eficacia</v>
      </c>
      <c r="M91" s="51" t="str">
        <f>IFERROR(__xludf.DUMMYFUNCTION("""COMPUTED_VALUE"""),"Número")</f>
        <v>Número</v>
      </c>
      <c r="N91" s="52" t="str">
        <f>IFERROR(__xludf.DUMMYFUNCTION("""COMPUTED_VALUE"""),"Número de Asociones capacitadas/Número de asociaciones programadas para capacitar")</f>
        <v>Número de Asociones capacitadas/Número de asociaciones programadas para capacitar</v>
      </c>
      <c r="O91" s="53"/>
      <c r="P91" s="54">
        <f>IFERROR(__xludf.DUMMYFUNCTION("""COMPUTED_VALUE"""),20.0)</f>
        <v>20</v>
      </c>
      <c r="Q91" s="55" t="str">
        <f>IFERROR(__xludf.DUMMYFUNCTION("""COMPUTED_VALUE"""),"Capacitar asociaciones en temas de pesca y acuicutura")</f>
        <v>Capacitar asociaciones en temas de pesca y acuicutura</v>
      </c>
      <c r="R91" s="14" t="str">
        <f>IFERROR(__xludf.DUMMYFUNCTION("""COMPUTED_VALUE"""),"Trimestral")</f>
        <v>Trimestral</v>
      </c>
      <c r="S91" s="54">
        <f>IFERROR(__xludf.DUMMYFUNCTION("""COMPUTED_VALUE"""),3.0)</f>
        <v>3</v>
      </c>
      <c r="T91" s="54">
        <f>IFERROR(__xludf.DUMMYFUNCTION("""COMPUTED_VALUE"""),3.0)</f>
        <v>3</v>
      </c>
      <c r="U91" s="54">
        <f>IFERROR(__xludf.DUMMYFUNCTION("""COMPUTED_VALUE"""),7.0)</f>
        <v>7</v>
      </c>
      <c r="V91" s="54">
        <f>IFERROR(__xludf.DUMMYFUNCTION("""COMPUTED_VALUE"""),7.0)</f>
        <v>7</v>
      </c>
      <c r="W91" s="56" t="str">
        <f>IFERROR(__xludf.DUMMYFUNCTION("""COMPUTED_VALUE"""),"Regional Barrancabermeja")</f>
        <v>Regional Barrancabermeja</v>
      </c>
      <c r="X91" s="57" t="str">
        <f>IFERROR(__xludf.DUMMYFUNCTION("""COMPUTED_VALUE"""),"JAVIER JESUS OVALLE MARTINEZ")</f>
        <v>JAVIER JESUS OVALLE MARTINEZ</v>
      </c>
      <c r="Y91" s="47" t="str">
        <f>IFERROR(__xludf.DUMMYFUNCTION("""COMPUTED_VALUE"""),"DIRECTOR REGIONAL")</f>
        <v>DIRECTOR REGIONAL</v>
      </c>
      <c r="Z91" s="57" t="str">
        <f>IFERROR(__xludf.DUMMYFUNCTION("""COMPUTED_VALUE"""),"javier.ovalle@aunap.gov.co")</f>
        <v>javier.ovalle@aunap.gov.co</v>
      </c>
      <c r="AA91" s="47" t="str">
        <f>IFERROR(__xludf.DUMMYFUNCTION("""COMPUTED_VALUE"""),"Personal, viaticos, transporte")</f>
        <v>Personal, viaticos, transporte</v>
      </c>
      <c r="AB91" s="47" t="str">
        <f>IFERROR(__xludf.DUMMYFUNCTION("""COMPUTED_VALUE"""),"No asociado")</f>
        <v>No asociado</v>
      </c>
      <c r="AC91" s="47" t="str">
        <f>IFERROR(__xludf.DUMMYFUNCTION("""COMPUTED_VALUE"""),"Propiciar la formalización de la pesca y la acuicultura")</f>
        <v>Propiciar la formalización de la pesca y la acuicultura</v>
      </c>
      <c r="AD91" s="47" t="str">
        <f>IFERROR(__xludf.DUMMYFUNCTION("""COMPUTED_VALUE"""),"Gestión con valores para resultados")</f>
        <v>Gestión con valores para resultados</v>
      </c>
      <c r="AE91" s="47" t="str">
        <f>IFERROR(__xludf.DUMMYFUNCTION("""COMPUTED_VALUE"""),"Fortalecimiento Organizacional y Simplificación de Procesos")</f>
        <v>Fortalecimiento Organizacional y Simplificación de Procesos</v>
      </c>
      <c r="AF91" s="47" t="str">
        <f>IFERROR(__xludf.DUMMYFUNCTION("""COMPUTED_VALUE"""),"12. Producción y consumo responsable")</f>
        <v>12. Producción y consumo responsable</v>
      </c>
      <c r="AG91" s="58">
        <f>IFERROR(__xludf.DUMMYFUNCTION("""COMPUTED_VALUE"""),8.0)</f>
        <v>8</v>
      </c>
      <c r="AH91" s="59" t="str">
        <f>IFERROR(__xludf.DUMMYFUNCTION("""COMPUTED_VALUE"""),"Durante el cuarto trimestre, se realizaron ocho (8) capacitaciones en temas de pesca y acuicultura dirigidas a :     
                                                                                                                                         "&amp;"                                                                  
* Gremio de pescadores artesanales y acuicultores como: ASODESBA (B/bermeja), ASOPESAGRO (Aguachica). GEO VON LENGUERKE (Girón), AGROEMCA (Yondó) y Pescadores Independientes de Cimitarra y"&amp;" Puerto Nare. 
*Comerciante dirigida a  ASOCOPEZ (Bucaramanga)
*Entidades como CORNARE de Puerto Nare
Se atendieron ochenta y tres (83) personas.
")</f>
        <v>Durante el cuarto trimestre, se realizaron ocho (8) capacitaciones en temas de pesca y acuicultura dirigidas a :     
* Gremio de pescadores artesanales y acuicultores como: ASODESBA (B/bermeja), ASOPESAGRO (Aguachica). GEO VON LENGUERKE (Girón), AGROEMCA (Yondó) y Pescadores Independientes de Cimitarra y Puerto Nare. 
*Comerciante dirigida a  ASOCOPEZ (Bucaramanga)
*Entidades como CORNARE de Puerto Nare
Se atendieron ochenta y tres (83) personas.
</v>
      </c>
      <c r="AI91" s="77" t="str">
        <f>IFERROR(__xludf.DUMMYFUNCTION("""COMPUTED_VALUE"""),"https://drive.google.com/drive/folders/1v8RN5rOIe2Hmc23pb_g65Rn_enq11WV3?usp=sharing")</f>
        <v>https://drive.google.com/drive/folders/1v8RN5rOIe2Hmc23pb_g65Rn_enq11WV3?usp=sharing</v>
      </c>
      <c r="AJ91" s="59">
        <f>IFERROR(__xludf.DUMMYFUNCTION("""COMPUTED_VALUE"""),26.0)</f>
        <v>26</v>
      </c>
      <c r="AK91" s="59" t="str">
        <f>IFERROR(__xludf.DUMMYFUNCTION("""COMPUTED_VALUE"""),"La Dirección Regional Barrancabermeja, cumplió con la meta, aunque se aumentó fue debido a la gestión del equipo de trabajo en sus oficinas satelites y con la comunidad pesquera y acuicola al  dar a conocer las funciones de la AUNAP.")</f>
        <v>La Dirección Regional Barrancabermeja, cumplió con la meta, aunque se aumentó fue debido a la gestión del equipo de trabajo en sus oficinas satelites y con la comunidad pesquera y acuicola al  dar a conocer las funciones de la AUNAP.</v>
      </c>
      <c r="AL91" s="59"/>
      <c r="AM91" s="60"/>
      <c r="AN91" s="61" t="str">
        <f>IFERROR(IF((AO91+1)&lt;2,Alertas!$B$2&amp;TEXT(AO91,"0%")&amp;Alertas!$D$2, IF((AO91+1)=2,Alertas!$B$3,IF((AO91+1)&gt;2,Alertas!$B$4&amp;TEXT(AO91,"0%")&amp;Alertas!$D$4,AO91+1))),"Sin meta para el segundo trimestre")</f>
        <v>La ejecución de la meta registrada se encuentra por encima de la meta programada en la formulación del plan de acción para el segundo trimestre, su porcentaje de cumplimiento es 267%,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91" s="62">
        <f t="shared" si="2"/>
        <v>2.666666667</v>
      </c>
      <c r="AP91" s="61" t="str">
        <f t="shared" si="3"/>
        <v>No reporto evidencia.
La ejecución de la meta registrada se encuentra por encima de la meta programada en la formulación del plan de acción para el segundo trimestre, su porcentaje de cumplimiento es 267%,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91" s="63"/>
      <c r="AR91" s="64"/>
      <c r="AS91" s="65"/>
      <c r="AT91" s="65"/>
      <c r="AU91" s="66"/>
      <c r="AV91" s="67"/>
      <c r="AW91" s="68"/>
      <c r="AX91" s="63"/>
      <c r="AY91" s="64"/>
      <c r="AZ91" s="69"/>
      <c r="BA91" s="65"/>
      <c r="BB91" s="70"/>
      <c r="BC91" s="71"/>
      <c r="BD91" s="72"/>
      <c r="BE91" s="73"/>
      <c r="BF91" s="64"/>
      <c r="BG91" s="69"/>
      <c r="BH91" s="65"/>
      <c r="BI91" s="66"/>
      <c r="BJ91" s="71"/>
      <c r="BK91" s="72"/>
      <c r="BL91" s="74"/>
      <c r="BN91" s="5" t="str">
        <f t="shared" si="23"/>
        <v>1</v>
      </c>
      <c r="BP91" s="5"/>
    </row>
    <row r="92" ht="37.5" customHeight="1">
      <c r="A92" s="45"/>
      <c r="B92" s="46">
        <f>IFERROR(__xludf.DUMMYFUNCTION("""COMPUTED_VALUE"""),90.0)</f>
        <v>90</v>
      </c>
      <c r="C92" s="47" t="str">
        <f>IFERROR(__xludf.DUMMYFUNCTION("""COMPUTED_VALUE"""),"Gestión de la administración y fomento")</f>
        <v>Gestión de la administración y fomento</v>
      </c>
      <c r="D92" s="48" t="str">
        <f>IFERROR(__xludf.DUMMYFUNCTION("""COMPUTED_VALUE"""),"Regional Barrancabermeja")</f>
        <v>Regional Barrancabermeja</v>
      </c>
      <c r="E92" s="48" t="str">
        <f>IFERROR(__xludf.DUMMYFUNCTION("""COMPUTED_VALUE"""),"Fortalecimiento de la sostenibilidad del sector pesquero y de la acuicultura en el territorio nacional")</f>
        <v>Fortalecimiento de la sostenibilidad del sector pesquero y de la acuicultura en el territorio nacional</v>
      </c>
      <c r="F92" s="49">
        <f>IFERROR(__xludf.DUMMYFUNCTION("""COMPUTED_VALUE"""),2.01901100028E12)</f>
        <v>2019011000280</v>
      </c>
      <c r="G92" s="50" t="str">
        <f>IFERROR(__xludf.DUMMYFUNCTION("""COMPUTED_VALUE"""),"Sostenibilidad")</f>
        <v>Sostenibilidad</v>
      </c>
      <c r="H92" s="48" t="str">
        <f>IFERROR(__xludf.DUMMYFUNCTION("""COMPUTED_VALUE"""),"Mejorar la explotación de los recursos pesqueros y de la acuicultura.")</f>
        <v>Mejorar la explotación de los recursos pesqueros y de la acuicultura.</v>
      </c>
      <c r="I92" s="48" t="str">
        <f>IFERROR(__xludf.DUMMYFUNCTION("""COMPUTED_VALUE"""),"Servicios de administración de los recurso pesqueros y de la acuicultura")</f>
        <v>Servicios de administración de los recurso pesqueros y de la acuicultura</v>
      </c>
      <c r="J92" s="48" t="str">
        <f>IFERROR(__xludf.DUMMYFUNCTION("""COMPUTED_VALUE"""),"Regular el manejo y el ejercicio de la actividad pesquera y de la acuicultura.")</f>
        <v>Regular el manejo y el ejercicio de la actividad pesquera y de la acuicultura.</v>
      </c>
      <c r="K92" s="51" t="str">
        <f>IFERROR(__xludf.DUMMYFUNCTION("""COMPUTED_VALUE"""),"Producto")</f>
        <v>Producto</v>
      </c>
      <c r="L92" s="51" t="str">
        <f>IFERROR(__xludf.DUMMYFUNCTION("""COMPUTED_VALUE"""),"Eficacia")</f>
        <v>Eficacia</v>
      </c>
      <c r="M92" s="51" t="str">
        <f>IFERROR(__xludf.DUMMYFUNCTION("""COMPUTED_VALUE"""),"Número")</f>
        <v>Número</v>
      </c>
      <c r="N92" s="52" t="str">
        <f>IFERROR(__xludf.DUMMYFUNCTION("""COMPUTED_VALUE"""),"Trámites atendidos")</f>
        <v>Trámites atendidos</v>
      </c>
      <c r="O92" s="53">
        <f>IFERROR(__xludf.DUMMYFUNCTION("""COMPUTED_VALUE"""),-7140.0)</f>
        <v>-7140</v>
      </c>
      <c r="P92" s="54">
        <f>IFERROR(__xludf.DUMMYFUNCTION("""COMPUTED_VALUE"""),1300.0)</f>
        <v>1300</v>
      </c>
      <c r="Q92" s="55" t="str">
        <f>IFERROR(__xludf.DUMMYFUNCTION("""COMPUTED_VALUE"""),"Formalizar pescadores artesanales")</f>
        <v>Formalizar pescadores artesanales</v>
      </c>
      <c r="R92" s="14" t="str">
        <f>IFERROR(__xludf.DUMMYFUNCTION("""COMPUTED_VALUE"""),"Trimestral")</f>
        <v>Trimestral</v>
      </c>
      <c r="S92" s="54">
        <f>IFERROR(__xludf.DUMMYFUNCTION("""COMPUTED_VALUE"""),110.0)</f>
        <v>110</v>
      </c>
      <c r="T92" s="54">
        <f>IFERROR(__xludf.DUMMYFUNCTION("""COMPUTED_VALUE"""),290.0)</f>
        <v>290</v>
      </c>
      <c r="U92" s="54">
        <f>IFERROR(__xludf.DUMMYFUNCTION("""COMPUTED_VALUE"""),515.0)</f>
        <v>515</v>
      </c>
      <c r="V92" s="54">
        <f>IFERROR(__xludf.DUMMYFUNCTION("""COMPUTED_VALUE"""),385.0)</f>
        <v>385</v>
      </c>
      <c r="W92" s="56" t="str">
        <f>IFERROR(__xludf.DUMMYFUNCTION("""COMPUTED_VALUE"""),"Regional Barrancabermeja")</f>
        <v>Regional Barrancabermeja</v>
      </c>
      <c r="X92" s="57" t="str">
        <f>IFERROR(__xludf.DUMMYFUNCTION("""COMPUTED_VALUE"""),"JAVIER JESUS OVALLE MARTINEZ")</f>
        <v>JAVIER JESUS OVALLE MARTINEZ</v>
      </c>
      <c r="Y92" s="47" t="str">
        <f>IFERROR(__xludf.DUMMYFUNCTION("""COMPUTED_VALUE"""),"DIRECTOR REGIONAL")</f>
        <v>DIRECTOR REGIONAL</v>
      </c>
      <c r="Z92" s="57" t="str">
        <f>IFERROR(__xludf.DUMMYFUNCTION("""COMPUTED_VALUE"""),"javier.ovalle@aunap.gov.co")</f>
        <v>javier.ovalle@aunap.gov.co</v>
      </c>
      <c r="AA92" s="47" t="str">
        <f>IFERROR(__xludf.DUMMYFUNCTION("""COMPUTED_VALUE"""),"Personal, viaticos, transporte")</f>
        <v>Personal, viaticos, transporte</v>
      </c>
      <c r="AB92" s="47" t="str">
        <f>IFERROR(__xludf.DUMMYFUNCTION("""COMPUTED_VALUE"""),"No asociado")</f>
        <v>No asociado</v>
      </c>
      <c r="AC92" s="47" t="str">
        <f>IFERROR(__xludf.DUMMYFUNCTION("""COMPUTED_VALUE"""),"Propiciar la formalización de la pesca y la acuicultura")</f>
        <v>Propiciar la formalización de la pesca y la acuicultura</v>
      </c>
      <c r="AD92" s="47" t="str">
        <f>IFERROR(__xludf.DUMMYFUNCTION("""COMPUTED_VALUE"""),"Gestión con valores para resultados")</f>
        <v>Gestión con valores para resultados</v>
      </c>
      <c r="AE92" s="47" t="str">
        <f>IFERROR(__xludf.DUMMYFUNCTION("""COMPUTED_VALUE"""),"Fortalecimiento Organizacional y Simplificación de Procesos")</f>
        <v>Fortalecimiento Organizacional y Simplificación de Procesos</v>
      </c>
      <c r="AF92" s="47" t="str">
        <f>IFERROR(__xludf.DUMMYFUNCTION("""COMPUTED_VALUE"""),"12. Producción y consumo responsable")</f>
        <v>12. Producción y consumo responsable</v>
      </c>
      <c r="AG92" s="58">
        <f>IFERROR(__xludf.DUMMYFUNCTION("""COMPUTED_VALUE"""),386.0)</f>
        <v>386</v>
      </c>
      <c r="AH92" s="59" t="str">
        <f>IFERROR(__xludf.DUMMYFUNCTION("""COMPUTED_VALUE"""),"Durante el Cuarto Trimestre, se realizaron trescientos ochenta y seis (386) formalizaciones de carné pesca artesanal correspondientes a los consecutivos desde el CA2021041181- CA2021041566, las zonas atendidas fueron:
*ANTIOQUIA: Yondó: APAC RIO (16), AP"&amp;"ESCOY (14), PESCADORES INDEPENDIENTES (2).
*BOLÍVAR: Morales: ASOPEBOC (7); Cantagallo: AFROPEZGALLO (9)
*BOYACÁ: Puerto Boyacá: ECOPALAGUA (11)
*SANTANDER: Barrancabermeja: ACOPESCAR (5), APARS (10), ASODESBA (7), ASOPELLMAG (59), COOPESANSILVESTRE (2"&amp;"), APALL (1), COPEZ (4), APACCO (1), AGREPESOMAG (7), ASOCIACON DE PESCADORES DE LA UNION (17), ASOPEUNION (1), APESTERGAL (1), ASOPESCASAN (1), ASOPETRADEMAG (18),ASOGEAFF (1),  ASOPESAGRIP (17), ASOPESADIBA (4), ASOPESCABA (17), PEZCOMAGDA (37), ASOPENO"&amp;"R (2), Pescadores  Independientes (60); Betulia: ASOAGROPESCABA (1), ASOGAMOSO (7), ASPEST (2); Girón: CORTURPHIALES (16); Puerto Wilches: Pescadores Independientes (28), ASPESWILL (1). 
")</f>
        <v>Durante el Cuarto Trimestre, se realizaron trescientos ochenta y seis (386) formalizaciones de carné pesca artesanal correspondientes a los consecutivos desde el CA2021041181- CA2021041566, las zonas atendidas fueron:
*ANTIOQUIA: Yondó: APAC RIO (16), APESCOY (14), PESCADORES INDEPENDIENTES (2).
*BOLÍVAR: Morales: ASOPEBOC (7); Cantagallo: AFROPEZGALLO (9)
*BOYACÁ: Puerto Boyacá: ECOPALAGUA (11)
*SANTANDER: Barrancabermeja: ACOPESCAR (5), APARS (10), ASODESBA (7), ASOPELLMAG (59), COOPESANSILVESTRE (2), APALL (1), COPEZ (4), APACCO (1), AGREPESOMAG (7), ASOCIACON DE PESCADORES DE LA UNION (17), ASOPEUNION (1), APESTERGAL (1), ASOPESCASAN (1), ASOPETRADEMAG (18),ASOGEAFF (1),  ASOPESAGRIP (17), ASOPESADIBA (4), ASOPESCABA (17), PEZCOMAGDA (37), ASOPENOR (2), Pescadores  Independientes (60); Betulia: ASOAGROPESCABA (1), ASOGAMOSO (7), ASPEST (2); Girón: CORTURPHIALES (16); Puerto Wilches: Pescadores Independientes (28), ASPESWILL (1). 
</v>
      </c>
      <c r="AI92" s="81" t="str">
        <f>IFERROR(__xludf.DUMMYFUNCTION("""COMPUTED_VALUE"""),"https://drive.google.com/drive/folders/1Pr6zdTGz8wK_5sxhGxlKOSIwSB4PSi-X?usp=sharing")</f>
        <v>https://drive.google.com/drive/folders/1Pr6zdTGz8wK_5sxhGxlKOSIwSB4PSi-X?usp=sharing</v>
      </c>
      <c r="AJ92" s="59">
        <f>IFERROR(__xludf.DUMMYFUNCTION("""COMPUTED_VALUE"""),1566.0)</f>
        <v>1566</v>
      </c>
      <c r="AK92" s="59" t="str">
        <f>IFERROR(__xludf.DUMMYFUNCTION("""COMPUTED_VALUE"""),"La Dirección Regional Barrancabermeja, cumplió con la meta asignada, pero hubo un aumento debido a la recepción y/o participación de comunidad pesquera y acuicola en proyectos de fomento y posteriormente su formalización (expedición de carnes) ")</f>
        <v>La Dirección Regional Barrancabermeja, cumplió con la meta asignada, pero hubo un aumento debido a la recepción y/o participación de comunidad pesquera y acuicola en proyectos de fomento y posteriormente su formalización (expedición de carnes) </v>
      </c>
      <c r="AL92" s="59"/>
      <c r="AM92" s="60"/>
      <c r="AN92" s="61" t="str">
        <f>IFERROR(IF((AO92+1)&lt;2,Alertas!$B$2&amp;TEXT(AO92,"0%")&amp;Alertas!$D$2, IF((AO92+1)=2,Alertas!$B$3,IF((AO92+1)&gt;2,Alertas!$B$4&amp;TEXT(AO92,"0%")&amp;Alertas!$D$4,AO92+1))),"Sin meta para el segundo trimestre")</f>
        <v>La ejecución de la meta registrada se encuentra por encima de la meta programada en la formulación del plan de acción para el segundo trimestre, su porcentaje de cumplimiento es 133%,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92" s="62">
        <f t="shared" si="2"/>
        <v>1.331034483</v>
      </c>
      <c r="AP92" s="61" t="str">
        <f t="shared" si="3"/>
        <v>No reporto evidencia.
La ejecución de la meta registrada se encuentra por encima de la meta programada en la formulación del plan de acción para el segundo trimestre, su porcentaje de cumplimiento es 133%,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92" s="63"/>
      <c r="AR92" s="64"/>
      <c r="AS92" s="65"/>
      <c r="AT92" s="65"/>
      <c r="AU92" s="66"/>
      <c r="AV92" s="67"/>
      <c r="AW92" s="68"/>
      <c r="AX92" s="63"/>
      <c r="AY92" s="64"/>
      <c r="AZ92" s="69"/>
      <c r="BA92" s="65"/>
      <c r="BB92" s="70"/>
      <c r="BC92" s="71"/>
      <c r="BD92" s="72"/>
      <c r="BE92" s="73"/>
      <c r="BF92" s="64"/>
      <c r="BG92" s="69"/>
      <c r="BH92" s="65"/>
      <c r="BI92" s="66"/>
      <c r="BJ92" s="71"/>
      <c r="BK92" s="72"/>
      <c r="BL92" s="74"/>
      <c r="BN92" s="5" t="str">
        <f t="shared" si="23"/>
        <v>1</v>
      </c>
      <c r="BP92" s="5"/>
    </row>
    <row r="93" ht="37.5" customHeight="1">
      <c r="A93" s="45"/>
      <c r="B93" s="46">
        <f>IFERROR(__xludf.DUMMYFUNCTION("""COMPUTED_VALUE"""),91.0)</f>
        <v>91</v>
      </c>
      <c r="C93" s="47" t="str">
        <f>IFERROR(__xludf.DUMMYFUNCTION("""COMPUTED_VALUE"""),"Gestión de la administración y fomento")</f>
        <v>Gestión de la administración y fomento</v>
      </c>
      <c r="D93" s="48" t="str">
        <f>IFERROR(__xludf.DUMMYFUNCTION("""COMPUTED_VALUE"""),"Regional Barrancabermeja")</f>
        <v>Regional Barrancabermeja</v>
      </c>
      <c r="E93" s="48" t="str">
        <f>IFERROR(__xludf.DUMMYFUNCTION("""COMPUTED_VALUE"""),"Fortalecimiento de la sostenibilidad del sector pesquero y de la acuicultura en el territorio nacional")</f>
        <v>Fortalecimiento de la sostenibilidad del sector pesquero y de la acuicultura en el territorio nacional</v>
      </c>
      <c r="F93" s="49">
        <f>IFERROR(__xludf.DUMMYFUNCTION("""COMPUTED_VALUE"""),2.01901100028E12)</f>
        <v>2019011000280</v>
      </c>
      <c r="G93" s="50" t="str">
        <f>IFERROR(__xludf.DUMMYFUNCTION("""COMPUTED_VALUE"""),"Sostenibilidad")</f>
        <v>Sostenibilidad</v>
      </c>
      <c r="H93" s="48" t="str">
        <f>IFERROR(__xludf.DUMMYFUNCTION("""COMPUTED_VALUE"""),"Mejorar la explotación de los recursos pesqueros y de la acuicultura.")</f>
        <v>Mejorar la explotación de los recursos pesqueros y de la acuicultura.</v>
      </c>
      <c r="I93" s="48" t="str">
        <f>IFERROR(__xludf.DUMMYFUNCTION("""COMPUTED_VALUE"""),"Servicios de administración de los recurso pesqueros y de la acuicultura")</f>
        <v>Servicios de administración de los recurso pesqueros y de la acuicultura</v>
      </c>
      <c r="J93" s="48" t="str">
        <f>IFERROR(__xludf.DUMMYFUNCTION("""COMPUTED_VALUE"""),"Realizar acciones de divulgación y formalización de la actividad pesquera y de la acuicultura.")</f>
        <v>Realizar acciones de divulgación y formalización de la actividad pesquera y de la acuicultura.</v>
      </c>
      <c r="K93" s="51" t="str">
        <f>IFERROR(__xludf.DUMMYFUNCTION("""COMPUTED_VALUE"""),"Gestión del área")</f>
        <v>Gestión del área</v>
      </c>
      <c r="L93" s="51" t="str">
        <f>IFERROR(__xludf.DUMMYFUNCTION("""COMPUTED_VALUE"""),"Eficacia")</f>
        <v>Eficacia</v>
      </c>
      <c r="M93" s="51" t="str">
        <f>IFERROR(__xludf.DUMMYFUNCTION("""COMPUTED_VALUE"""),"Número")</f>
        <v>Número</v>
      </c>
      <c r="N93" s="52" t="str">
        <f>IFERROR(__xludf.DUMMYFUNCTION("""COMPUTED_VALUE"""),"Número de capacitaciones realizadas/Número de capacitaciones programadas")</f>
        <v>Número de capacitaciones realizadas/Número de capacitaciones programadas</v>
      </c>
      <c r="O93" s="83"/>
      <c r="P93" s="54">
        <f>IFERROR(__xludf.DUMMYFUNCTION("""COMPUTED_VALUE"""),40.0)</f>
        <v>40</v>
      </c>
      <c r="Q93" s="55" t="str">
        <f>IFERROR(__xludf.DUMMYFUNCTION("""COMPUTED_VALUE"""),"Capacitar a los grupos de interes en asociatividad y normatividad para el ejercicio de la acuicultura, pesca, y actividades conexas")</f>
        <v>Capacitar a los grupos de interes en asociatividad y normatividad para el ejercicio de la acuicultura, pesca, y actividades conexas</v>
      </c>
      <c r="R93" s="14" t="str">
        <f>IFERROR(__xludf.DUMMYFUNCTION("""COMPUTED_VALUE"""),"Trimestral")</f>
        <v>Trimestral</v>
      </c>
      <c r="S93" s="54">
        <f>IFERROR(__xludf.DUMMYFUNCTION("""COMPUTED_VALUE"""),4.0)</f>
        <v>4</v>
      </c>
      <c r="T93" s="54">
        <f>IFERROR(__xludf.DUMMYFUNCTION("""COMPUTED_VALUE"""),10.0)</f>
        <v>10</v>
      </c>
      <c r="U93" s="54">
        <f>IFERROR(__xludf.DUMMYFUNCTION("""COMPUTED_VALUE"""),12.0)</f>
        <v>12</v>
      </c>
      <c r="V93" s="54">
        <f>IFERROR(__xludf.DUMMYFUNCTION("""COMPUTED_VALUE"""),14.0)</f>
        <v>14</v>
      </c>
      <c r="W93" s="56" t="str">
        <f>IFERROR(__xludf.DUMMYFUNCTION("""COMPUTED_VALUE"""),"Regional Barrancabermeja")</f>
        <v>Regional Barrancabermeja</v>
      </c>
      <c r="X93" s="57" t="str">
        <f>IFERROR(__xludf.DUMMYFUNCTION("""COMPUTED_VALUE"""),"JAVIER JESUS OVALLE MARTINEZ")</f>
        <v>JAVIER JESUS OVALLE MARTINEZ</v>
      </c>
      <c r="Y93" s="47" t="str">
        <f>IFERROR(__xludf.DUMMYFUNCTION("""COMPUTED_VALUE"""),"DIRECTOR REGIONAL")</f>
        <v>DIRECTOR REGIONAL</v>
      </c>
      <c r="Z93" s="57" t="str">
        <f>IFERROR(__xludf.DUMMYFUNCTION("""COMPUTED_VALUE"""),"javier.ovalle@aunap.gov.co")</f>
        <v>javier.ovalle@aunap.gov.co</v>
      </c>
      <c r="AA93" s="47" t="str">
        <f>IFERROR(__xludf.DUMMYFUNCTION("""COMPUTED_VALUE"""),"Personal, viaticos, transporte")</f>
        <v>Personal, viaticos, transporte</v>
      </c>
      <c r="AB93" s="47" t="str">
        <f>IFERROR(__xludf.DUMMYFUNCTION("""COMPUTED_VALUE"""),"No asociado")</f>
        <v>No asociado</v>
      </c>
      <c r="AC93" s="47" t="str">
        <f>IFERROR(__xludf.DUMMYFUNCTION("""COMPUTED_VALUE"""),"Llegar con actividades de pesca y acuicultura a todas las regiones")</f>
        <v>Llegar con actividades de pesca y acuicultura a todas las regiones</v>
      </c>
      <c r="AD93" s="47" t="str">
        <f>IFERROR(__xludf.DUMMYFUNCTION("""COMPUTED_VALUE"""),"Gestión con valores para resultados")</f>
        <v>Gestión con valores para resultados</v>
      </c>
      <c r="AE93" s="47" t="str">
        <f>IFERROR(__xludf.DUMMYFUNCTION("""COMPUTED_VALUE"""),"Fortalecimiento Organizacional y Simplificación de Procesos")</f>
        <v>Fortalecimiento Organizacional y Simplificación de Procesos</v>
      </c>
      <c r="AF93" s="47" t="str">
        <f>IFERROR(__xludf.DUMMYFUNCTION("""COMPUTED_VALUE"""),"12. Producción y consumo responsable")</f>
        <v>12. Producción y consumo responsable</v>
      </c>
      <c r="AG93" s="80">
        <f>IFERROR(__xludf.DUMMYFUNCTION("""COMPUTED_VALUE"""),16.0)</f>
        <v>16</v>
      </c>
      <c r="AH93" s="59" t="str">
        <f>IFERROR(__xludf.DUMMYFUNCTION("""COMPUTED_VALUE"""),"Durante el cuarto trimestre del año, se realizaron dieciséis (16) capacitaciones dirigidos a  grupo de interés pertenecientes a la jurisdicción de Barrancabermeja, frente a asociatividad, requisitos de formalización, dirigidos a:  
*Pescadores Artesana"&amp;"les: ASOPAB (Bolívar),  ASOPEVERNU, ASOMORROS, CORPESLAYA , APARSANA – Asociación De Pescadores De Rio Nare, AGROPRAY (Antioquia), AFROPESPRO, AFROLUCHA, ASOVESPES AFROPEFUMAG,ASOPEBE,AGROPEGU (Santander), ASOPESAGRO, ASOPEPAG, AGROPESGAM, BAGRE RAYADO, A"&amp;"PECBUL, ASOPESAG, ASOPESNAL, RIO YUMA, ASOC ATARRAYA, COOPAGA,, ASOPAGRAM, AMPESCOP (Cesar), ASOPESAGRO, ASOINPA- PESCADORES INDEPENDIENTES. (Aguachica), ASOARCEPEMOBO, ASOPESCADI, ASOPEBOC, ADAPAC, ASOPASIM, ASMUHITA, ASOPEZCAAGROVI (Morales), entre otra"&amp;"s. 
Atendiendo a doscientos cuarenta (240) personas. 
")</f>
        <v>Durante el cuarto trimestre del año, se realizaron dieciséis (16) capacitaciones dirigidos a  grupo de interés pertenecientes a la jurisdicción de Barrancabermeja, frente a asociatividad, requisitos de formalización, dirigidos a:  
*Pescadores Artesanales: ASOPAB (Bolívar),  ASOPEVERNU, ASOMORROS, CORPESLAYA , APARSANA – Asociación De Pescadores De Rio Nare, AGROPRAY (Antioquia), AFROPESPRO, AFROLUCHA, ASOVESPES AFROPEFUMAG,ASOPEBE,AGROPEGU (Santander), ASOPESAGRO, ASOPEPAG, AGROPESGAM, BAGRE RAYADO, APECBUL, ASOPESAG, ASOPESNAL, RIO YUMA, ASOC ATARRAYA, COOPAGA,, ASOPAGRAM, AMPESCOP (Cesar), ASOPESAGRO, ASOINPA- PESCADORES INDEPENDIENTES. (Aguachica), ASOARCEPEMOBO, ASOPESCADI, ASOPEBOC, ADAPAC, ASOPASIM, ASMUHITA, ASOPEZCAAGROVI (Morales), entre otras. 
Atendiendo a doscientos cuarenta (240) personas. 
</v>
      </c>
      <c r="AI93" s="81" t="str">
        <f>IFERROR(__xludf.DUMMYFUNCTION("""COMPUTED_VALUE"""),"https://drive.google.com/drive/folders/1GlFuWFvQ7YwCJd7w6vKfAiEuMG0N8s2L?usp=sharing")</f>
        <v>https://drive.google.com/drive/folders/1GlFuWFvQ7YwCJd7w6vKfAiEuMG0N8s2L?usp=sharing</v>
      </c>
      <c r="AJ93" s="59">
        <f>IFERROR(__xludf.DUMMYFUNCTION("""COMPUTED_VALUE"""),54.0)</f>
        <v>54</v>
      </c>
      <c r="AK93" s="59" t="str">
        <f>IFERROR(__xludf.DUMMYFUNCTION("""COMPUTED_VALUE"""),"La Dirección Regional Barrancabermeja, cumplió con la meta asignada, se dió un aumento en las capacitaciones debido al interes de asociatividad de pescadores independientes interesados en participar en los proyectos de fomento, también la vinculación de n"&amp;"uevas asociaciones. ")</f>
        <v>La Dirección Regional Barrancabermeja, cumplió con la meta asignada, se dió un aumento en las capacitaciones debido al interes de asociatividad de pescadores independientes interesados en participar en los proyectos de fomento, también la vinculación de nuevas asociaciones. </v>
      </c>
      <c r="AL93" s="59"/>
      <c r="AM93" s="60"/>
      <c r="AN93" s="61" t="str">
        <f>IFERROR(IF((AO93+1)&lt;2,Alertas!$B$2&amp;TEXT(AO93,"0%")&amp;Alertas!$D$2, IF((AO93+1)=2,Alertas!$B$3,IF((AO93+1)&gt;2,Alertas!$B$4&amp;TEXT(AO93,"0%")&amp;Alertas!$D$4,AO93+1))),"Sin meta para el segundo trimestre")</f>
        <v>La ejecución de la meta registrada se encuentra por encima de la meta programada en la formulación del plan de acción para el segundo trimestre, su porcentaje de cumplimiento es 160%,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93" s="62">
        <f t="shared" si="2"/>
        <v>1.6</v>
      </c>
      <c r="AP93" s="61" t="str">
        <f t="shared" si="3"/>
        <v>No reporto evidencia.
La ejecución de la meta registrada se encuentra por encima de la meta programada en la formulación del plan de acción para el segundo trimestre, su porcentaje de cumplimiento es 160%,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93" s="63"/>
      <c r="AR93" s="64"/>
      <c r="AS93" s="65"/>
      <c r="AT93" s="65"/>
      <c r="AU93" s="66"/>
      <c r="AV93" s="67"/>
      <c r="AW93" s="68"/>
      <c r="AX93" s="63"/>
      <c r="AY93" s="64"/>
      <c r="AZ93" s="69"/>
      <c r="BA93" s="65"/>
      <c r="BB93" s="70"/>
      <c r="BC93" s="71"/>
      <c r="BD93" s="72"/>
      <c r="BE93" s="73"/>
      <c r="BF93" s="64"/>
      <c r="BG93" s="69"/>
      <c r="BH93" s="65"/>
      <c r="BI93" s="66"/>
      <c r="BJ93" s="71"/>
      <c r="BK93" s="72"/>
      <c r="BL93" s="74"/>
      <c r="BN93" s="5" t="str">
        <f t="shared" si="23"/>
        <v>1</v>
      </c>
      <c r="BP93" s="5"/>
    </row>
    <row r="94" ht="37.5" customHeight="1">
      <c r="A94" s="45"/>
      <c r="B94" s="46">
        <f>IFERROR(__xludf.DUMMYFUNCTION("""COMPUTED_VALUE"""),92.0)</f>
        <v>92</v>
      </c>
      <c r="C94" s="47" t="str">
        <f>IFERROR(__xludf.DUMMYFUNCTION("""COMPUTED_VALUE"""),"Gestión de la administración y fomento")</f>
        <v>Gestión de la administración y fomento</v>
      </c>
      <c r="D94" s="48" t="str">
        <f>IFERROR(__xludf.DUMMYFUNCTION("""COMPUTED_VALUE"""),"Regional Barrancabermeja")</f>
        <v>Regional Barrancabermeja</v>
      </c>
      <c r="E94" s="48" t="str">
        <f>IFERROR(__xludf.DUMMYFUNCTION("""COMPUTED_VALUE"""),"Fortalecimiento de la sostenibilidad del sector pesquero y de la acuicultura en el territorio nacional")</f>
        <v>Fortalecimiento de la sostenibilidad del sector pesquero y de la acuicultura en el territorio nacional</v>
      </c>
      <c r="F94" s="49">
        <f>IFERROR(__xludf.DUMMYFUNCTION("""COMPUTED_VALUE"""),2.01901100028E12)</f>
        <v>2019011000280</v>
      </c>
      <c r="G94" s="50" t="str">
        <f>IFERROR(__xludf.DUMMYFUNCTION("""COMPUTED_VALUE"""),"Sostenibilidad")</f>
        <v>Sostenibilidad</v>
      </c>
      <c r="H94" s="48" t="str">
        <f>IFERROR(__xludf.DUMMYFUNCTION("""COMPUTED_VALUE"""),"Mejorar la explotación de los recursos pesqueros y de la acuicultura.")</f>
        <v>Mejorar la explotación de los recursos pesqueros y de la acuicultura.</v>
      </c>
      <c r="I94" s="48" t="str">
        <f>IFERROR(__xludf.DUMMYFUNCTION("""COMPUTED_VALUE"""),"Servicio de ordenación pesquera y de la acuicultura")</f>
        <v>Servicio de ordenación pesquera y de la acuicultura</v>
      </c>
      <c r="J94" s="48" t="str">
        <f>IFERROR(__xludf.DUMMYFUNCTION("""COMPUTED_VALUE"""),"Realizar seguimiento a los acuerdos de ordenación")</f>
        <v>Realizar seguimiento a los acuerdos de ordenación</v>
      </c>
      <c r="K94" s="51" t="str">
        <f>IFERROR(__xludf.DUMMYFUNCTION("""COMPUTED_VALUE"""),"Producto")</f>
        <v>Producto</v>
      </c>
      <c r="L94" s="51" t="str">
        <f>IFERROR(__xludf.DUMMYFUNCTION("""COMPUTED_VALUE"""),"Eficacia")</f>
        <v>Eficacia</v>
      </c>
      <c r="M94" s="51" t="str">
        <f>IFERROR(__xludf.DUMMYFUNCTION("""COMPUTED_VALUE"""),"Número")</f>
        <v>Número</v>
      </c>
      <c r="N94" s="52" t="str">
        <f>IFERROR(__xludf.DUMMYFUNCTION("""COMPUTED_VALUE"""),"Acuerdos de ordenacion atendidos")</f>
        <v>Acuerdos de ordenacion atendidos</v>
      </c>
      <c r="O94" s="83">
        <f>IFERROR(__xludf.DUMMYFUNCTION("""COMPUTED_VALUE"""),-3.0)</f>
        <v>-3</v>
      </c>
      <c r="P94" s="54">
        <f>IFERROR(__xludf.DUMMYFUNCTION("""COMPUTED_VALUE"""),2.0)</f>
        <v>2</v>
      </c>
      <c r="Q94" s="55" t="str">
        <f>IFERROR(__xludf.DUMMYFUNCTION("""COMPUTED_VALUE"""),"Realizar seguimiento a los acuerdos de ordenación pesquera")</f>
        <v>Realizar seguimiento a los acuerdos de ordenación pesquera</v>
      </c>
      <c r="R94" s="14" t="str">
        <f>IFERROR(__xludf.DUMMYFUNCTION("""COMPUTED_VALUE"""),"Trimestral")</f>
        <v>Trimestral</v>
      </c>
      <c r="S94" s="54">
        <f>IFERROR(__xludf.DUMMYFUNCTION("""COMPUTED_VALUE"""),0.0)</f>
        <v>0</v>
      </c>
      <c r="T94" s="54">
        <f>IFERROR(__xludf.DUMMYFUNCTION("""COMPUTED_VALUE"""),1.0)</f>
        <v>1</v>
      </c>
      <c r="U94" s="54">
        <f>IFERROR(__xludf.DUMMYFUNCTION("""COMPUTED_VALUE"""),1.0)</f>
        <v>1</v>
      </c>
      <c r="V94" s="54">
        <f>IFERROR(__xludf.DUMMYFUNCTION("""COMPUTED_VALUE"""),0.0)</f>
        <v>0</v>
      </c>
      <c r="W94" s="56" t="str">
        <f>IFERROR(__xludf.DUMMYFUNCTION("""COMPUTED_VALUE"""),"Regional Barrancabermeja")</f>
        <v>Regional Barrancabermeja</v>
      </c>
      <c r="X94" s="57" t="str">
        <f>IFERROR(__xludf.DUMMYFUNCTION("""COMPUTED_VALUE"""),"JAVIER JESUS OVALLE MARTINEZ")</f>
        <v>JAVIER JESUS OVALLE MARTINEZ</v>
      </c>
      <c r="Y94" s="47" t="str">
        <f>IFERROR(__xludf.DUMMYFUNCTION("""COMPUTED_VALUE"""),"DIRECTOR REGIONAL")</f>
        <v>DIRECTOR REGIONAL</v>
      </c>
      <c r="Z94" s="57" t="str">
        <f>IFERROR(__xludf.DUMMYFUNCTION("""COMPUTED_VALUE"""),"javier.ovalle@aunap.gov.co")</f>
        <v>javier.ovalle@aunap.gov.co</v>
      </c>
      <c r="AA94" s="47" t="str">
        <f>IFERROR(__xludf.DUMMYFUNCTION("""COMPUTED_VALUE"""),"Personal, viaticos, transporte")</f>
        <v>Personal, viaticos, transporte</v>
      </c>
      <c r="AB94" s="47" t="str">
        <f>IFERROR(__xludf.DUMMYFUNCTION("""COMPUTED_VALUE"""),"No asociado")</f>
        <v>No asociado</v>
      </c>
      <c r="AC94"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94" s="47" t="str">
        <f>IFERROR(__xludf.DUMMYFUNCTION("""COMPUTED_VALUE"""),"Gestión con valores para resultados")</f>
        <v>Gestión con valores para resultados</v>
      </c>
      <c r="AE94" s="47" t="str">
        <f>IFERROR(__xludf.DUMMYFUNCTION("""COMPUTED_VALUE"""),"Fortalecimiento Organizacional y Simplificación de Procesos")</f>
        <v>Fortalecimiento Organizacional y Simplificación de Procesos</v>
      </c>
      <c r="AF94" s="47" t="str">
        <f>IFERROR(__xludf.DUMMYFUNCTION("""COMPUTED_VALUE"""),"12. Producción y consumo responsable")</f>
        <v>12. Producción y consumo responsable</v>
      </c>
      <c r="AG94" s="80">
        <f>IFERROR(__xludf.DUMMYFUNCTION("""COMPUTED_VALUE"""),0.0)</f>
        <v>0</v>
      </c>
      <c r="AH94" s="59" t="str">
        <f>IFERROR(__xludf.DUMMYFUNCTION("""COMPUTED_VALUE"""),"Para el IV Trimestre no hubo programación de esta actividad. Por tanto no se adjunta evidencia. ")</f>
        <v>Para el IV Trimestre no hubo programación de esta actividad. Por tanto no se adjunta evidencia. </v>
      </c>
      <c r="AI94" s="59"/>
      <c r="AJ94" s="59">
        <f>IFERROR(__xludf.DUMMYFUNCTION("""COMPUTED_VALUE"""),2.0)</f>
        <v>2</v>
      </c>
      <c r="AK94" s="59" t="str">
        <f>IFERROR(__xludf.DUMMYFUNCTION("""COMPUTED_VALUE"""),"Durante el II y III trimestre, se dió cumplimiento en la meta, y se trabajó de la mano con la comunidad pesquera sobre los dos acuerdos de ordenación que maneja la Dirección Regional Barrancabermeja, que son las Zonas de Reserva (Ciénagas el Clavo, ubicad"&amp;"a en el Corregimiento  Bocas de Carare, municipio de Puerto Parra y Aguas Negras ubicadas en el corregimiento San Rafael de  Chucurí, Distrito de Barrancabermeja y zonas de manejo especial (ciénagas Aguas Blancas y la Colorada),  ubicadas municipio de Pue"&amp;"rto Parra establecidas  bajo la Resolución No. 2221 del 19 de Octubre del 2017 y el Acuerdo de la veda del Bagre rayado por candeleo por la cual se adopta en la Resolución 002367 de 18 de Octubre de 2019. 
")</f>
        <v>Durante el II y III trimestre, se dió cumplimiento en la meta, y se trabajó de la mano con la comunidad pesquera sobre los dos acuerdos de ordenación que maneja la Dirección Regional Barrancabermeja, que son las Zonas de Reserva (Ciénagas el Clavo, ubicada en el Corregimiento  Bocas de Carare, municipio de Puerto Parra y Aguas Negras ubicadas en el corregimiento San Rafael de  Chucurí, Distrito de Barrancabermeja y zonas de manejo especial (ciénagas Aguas Blancas y la Colorada),  ubicadas municipio de Puerto Parra establecidas  bajo la Resolución No. 2221 del 19 de Octubre del 2017 y el Acuerdo de la veda del Bagre rayado por candeleo por la cual se adopta en la Resolución 002367 de 18 de Octubre de 2019. 
</v>
      </c>
      <c r="AL94" s="59"/>
      <c r="AM94" s="60"/>
      <c r="AN94" s="61" t="str">
        <f>IFERROR(IF((AO94+1)&lt;2,Alertas!$B$2&amp;TEXT(AO94,"0%")&amp;Alertas!$D$2, IF((AO94+1)=2,Alertas!$B$3,IF((AO94+1)&gt;2,Alertas!$B$4&amp;TEXT(AO94,"0%")&amp;Alertas!$D$4,AO94+1))),"Sin meta para el segundo trimestre")</f>
        <v>La ejecución de la meta registrada se encuentra por debajo de la meta programada en la formulación del plan de acción para el segundo trimestre, su porcentaje de cumplimiento es 0%, lo cual indica un incumplimiento que puede ser entendido por los entes de control como falencias en el proceso de planeación y gestión de la dependencia. se recomienda realizar acciones para garantizar el cumplimiento de la meta durante lo que resta de vigencia</v>
      </c>
      <c r="AO94" s="62">
        <f t="shared" si="2"/>
        <v>0</v>
      </c>
      <c r="AP94" s="61" t="str">
        <f t="shared" si="3"/>
        <v>No reporto evidencia.
La ejecución de la meta registrada se encuentra por debajo de la meta programada en la formulación del plan de acción para el segundo trimestre, su porcentaje de cumplimiento es 0%, lo cual indica un incumplimiento que puede ser entendido por los entes de control como falencias en el proceso de planeación y gestión de la dependencia. se recomienda realizar acciones para garantizar el cumplimiento de la meta durante lo que resta de vigencia.</v>
      </c>
      <c r="AQ94" s="63"/>
      <c r="AR94" s="64"/>
      <c r="AS94" s="65"/>
      <c r="AT94" s="65"/>
      <c r="AU94" s="66"/>
      <c r="AV94" s="67"/>
      <c r="AW94" s="68"/>
      <c r="AX94" s="63"/>
      <c r="AY94" s="64"/>
      <c r="AZ94" s="69"/>
      <c r="BA94" s="65"/>
      <c r="BB94" s="70"/>
      <c r="BC94" s="71"/>
      <c r="BD94" s="72"/>
      <c r="BE94" s="73"/>
      <c r="BF94" s="64"/>
      <c r="BG94" s="69"/>
      <c r="BH94" s="65"/>
      <c r="BI94" s="66"/>
      <c r="BJ94" s="71"/>
      <c r="BK94" s="72"/>
      <c r="BL94" s="74"/>
      <c r="BN94" s="5" t="str">
        <f t="shared" si="23"/>
        <v>-1</v>
      </c>
      <c r="BP94" s="5"/>
    </row>
    <row r="95" ht="37.5" customHeight="1">
      <c r="A95" s="45"/>
      <c r="B95" s="46">
        <f>IFERROR(__xludf.DUMMYFUNCTION("""COMPUTED_VALUE"""),93.0)</f>
        <v>93</v>
      </c>
      <c r="C95" s="47" t="str">
        <f>IFERROR(__xludf.DUMMYFUNCTION("""COMPUTED_VALUE"""),"Gestión de la administración y fomento")</f>
        <v>Gestión de la administración y fomento</v>
      </c>
      <c r="D95" s="48" t="str">
        <f>IFERROR(__xludf.DUMMYFUNCTION("""COMPUTED_VALUE"""),"Regional Barrancabermeja")</f>
        <v>Regional Barrancabermeja</v>
      </c>
      <c r="E95" s="48" t="str">
        <f>IFERROR(__xludf.DUMMYFUNCTION("""COMPUTED_VALUE"""),"Fortalecimiento de la sostenibilidad del sector pesquero y de la acuicultura en el territorio nacional")</f>
        <v>Fortalecimiento de la sostenibilidad del sector pesquero y de la acuicultura en el territorio nacional</v>
      </c>
      <c r="F95" s="49">
        <f>IFERROR(__xludf.DUMMYFUNCTION("""COMPUTED_VALUE"""),2.01901100028E12)</f>
        <v>2019011000280</v>
      </c>
      <c r="G95" s="50" t="str">
        <f>IFERROR(__xludf.DUMMYFUNCTION("""COMPUTED_VALUE"""),"Sostenibilidad")</f>
        <v>Sostenibilidad</v>
      </c>
      <c r="H95" s="48" t="str">
        <f>IFERROR(__xludf.DUMMYFUNCTION("""COMPUTED_VALUE"""),"Mejorar la explotación de los recursos pesqueros y de la acuicultura.")</f>
        <v>Mejorar la explotación de los recursos pesqueros y de la acuicultura.</v>
      </c>
      <c r="I95" s="48" t="str">
        <f>IFERROR(__xludf.DUMMYFUNCTION("""COMPUTED_VALUE"""),"Servicio de ordenación pesquera y de la acuicultura")</f>
        <v>Servicio de ordenación pesquera y de la acuicultura</v>
      </c>
      <c r="J95" s="48" t="str">
        <f>IFERROR(__xludf.DUMMYFUNCTION("""COMPUTED_VALUE"""),"Generar acuerdos de ordenación de la actividad pesquera y de la acuicultura.")</f>
        <v>Generar acuerdos de ordenación de la actividad pesquera y de la acuicultura.</v>
      </c>
      <c r="K95" s="51" t="str">
        <f>IFERROR(__xludf.DUMMYFUNCTION("""COMPUTED_VALUE"""),"Producto")</f>
        <v>Producto</v>
      </c>
      <c r="L95" s="51" t="str">
        <f>IFERROR(__xludf.DUMMYFUNCTION("""COMPUTED_VALUE"""),"Eficacia")</f>
        <v>Eficacia</v>
      </c>
      <c r="M95" s="51" t="str">
        <f>IFERROR(__xludf.DUMMYFUNCTION("""COMPUTED_VALUE"""),"Número")</f>
        <v>Número</v>
      </c>
      <c r="N95" s="52" t="str">
        <f>IFERROR(__xludf.DUMMYFUNCTION("""COMPUTED_VALUE"""),"Acuerdos de ordenacion atendidos")</f>
        <v>Acuerdos de ordenacion atendidos</v>
      </c>
      <c r="O95" s="83">
        <f>IFERROR(__xludf.DUMMYFUNCTION("""COMPUTED_VALUE"""),-3.0)</f>
        <v>-3</v>
      </c>
      <c r="P95" s="78">
        <f>IFERROR(__xludf.DUMMYFUNCTION("""COMPUTED_VALUE"""),1.0)</f>
        <v>1</v>
      </c>
      <c r="Q95" s="79" t="str">
        <f>IFERROR(__xludf.DUMMYFUNCTION("""COMPUTED_VALUE"""),"Generar acuerdos de ordenación de la actividad pesquera y de la acuicultura")</f>
        <v>Generar acuerdos de ordenación de la actividad pesquera y de la acuicultura</v>
      </c>
      <c r="R95" s="79" t="str">
        <f>IFERROR(__xludf.DUMMYFUNCTION("""COMPUTED_VALUE"""),"Trimestral")</f>
        <v>Trimestral</v>
      </c>
      <c r="S95" s="78">
        <f>IFERROR(__xludf.DUMMYFUNCTION("""COMPUTED_VALUE"""),0.0)</f>
        <v>0</v>
      </c>
      <c r="T95" s="78">
        <f>IFERROR(__xludf.DUMMYFUNCTION("""COMPUTED_VALUE"""),0.0)</f>
        <v>0</v>
      </c>
      <c r="U95" s="78">
        <f>IFERROR(__xludf.DUMMYFUNCTION("""COMPUTED_VALUE"""),0.0)</f>
        <v>0</v>
      </c>
      <c r="V95" s="78">
        <f>IFERROR(__xludf.DUMMYFUNCTION("""COMPUTED_VALUE"""),1.0)</f>
        <v>1</v>
      </c>
      <c r="W95" s="56" t="str">
        <f>IFERROR(__xludf.DUMMYFUNCTION("""COMPUTED_VALUE"""),"Regional Barrancabermeja")</f>
        <v>Regional Barrancabermeja</v>
      </c>
      <c r="X95" s="57" t="str">
        <f>IFERROR(__xludf.DUMMYFUNCTION("""COMPUTED_VALUE"""),"JAVIER JESUS OVALLE MARTINEZ")</f>
        <v>JAVIER JESUS OVALLE MARTINEZ</v>
      </c>
      <c r="Y95" s="47" t="str">
        <f>IFERROR(__xludf.DUMMYFUNCTION("""COMPUTED_VALUE"""),"DIRECTOR REGIONAL")</f>
        <v>DIRECTOR REGIONAL</v>
      </c>
      <c r="Z95" s="57" t="str">
        <f>IFERROR(__xludf.DUMMYFUNCTION("""COMPUTED_VALUE"""),"javier.ovalle@aunap.gov.co")</f>
        <v>javier.ovalle@aunap.gov.co</v>
      </c>
      <c r="AA95" s="47" t="str">
        <f>IFERROR(__xludf.DUMMYFUNCTION("""COMPUTED_VALUE"""),"Personal, viaticos, transporte")</f>
        <v>Personal, viaticos, transporte</v>
      </c>
      <c r="AB95" s="47" t="str">
        <f>IFERROR(__xludf.DUMMYFUNCTION("""COMPUTED_VALUE"""),"No asociado")</f>
        <v>No asociado</v>
      </c>
      <c r="AC95"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95" s="47" t="str">
        <f>IFERROR(__xludf.DUMMYFUNCTION("""COMPUTED_VALUE"""),"Gestión con valores para resultados")</f>
        <v>Gestión con valores para resultados</v>
      </c>
      <c r="AE95" s="47" t="str">
        <f>IFERROR(__xludf.DUMMYFUNCTION("""COMPUTED_VALUE"""),"Fortalecimiento Organizacional y Simplificación de Procesos")</f>
        <v>Fortalecimiento Organizacional y Simplificación de Procesos</v>
      </c>
      <c r="AF95" s="47" t="str">
        <f>IFERROR(__xludf.DUMMYFUNCTION("""COMPUTED_VALUE"""),"12. Producción y consumo responsable")</f>
        <v>12. Producción y consumo responsable</v>
      </c>
      <c r="AG95" s="80">
        <f>IFERROR(__xludf.DUMMYFUNCTION("""COMPUTED_VALUE"""),1.0)</f>
        <v>1</v>
      </c>
      <c r="AH95" s="59" t="str">
        <f>IFERROR(__xludf.DUMMYFUNCTION("""COMPUTED_VALUE"""),"
Durante el cuarto trimestre del año, se remitió a la Dirección Técnica de Administración y Fomento todos los insumos recopilados del trabajo y seguimiento realizado durante el año frente al tema de Prohibición de Pesca de la Ciénaga Miramar, esta gestión"&amp;" dio como resultado la expedición de la Resolución No. 3227 del 2021 “Por medio del cual se prohíbe de manera precautoria y por tiempo indefinido la pesca en la Ciénaga Miramar ubicada en el Distrito Especial Portuario, Industrial, Turístico y Biodiverso "&amp;"de Barrancabermeja, Santander”. 
")</f>
        <v>
Durante el cuarto trimestre del año, se remitió a la Dirección Técnica de Administración y Fomento todos los insumos recopilados del trabajo y seguimiento realizado durante el año frente al tema de Prohibición de Pesca de la Ciénaga Miramar, esta gestión dio como resultado la expedición de la Resolución No. 3227 del 2021 “Por medio del cual se prohíbe de manera precautoria y por tiempo indefinido la pesca en la Ciénaga Miramar ubicada en el Distrito Especial Portuario, Industrial, Turístico y Biodiverso de Barrancabermeja, Santander”. 
</v>
      </c>
      <c r="AI95" s="81" t="str">
        <f>IFERROR(__xludf.DUMMYFUNCTION("""COMPUTED_VALUE"""),"https://drive.google.com/drive/folders/1uiZde6Mm9ukw6dLk81rYUhg8aJ0hXw3W?usp=sharing")</f>
        <v>https://drive.google.com/drive/folders/1uiZde6Mm9ukw6dLk81rYUhg8aJ0hXw3W?usp=sharing</v>
      </c>
      <c r="AJ95" s="59">
        <f>IFERROR(__xludf.DUMMYFUNCTION("""COMPUTED_VALUE"""),1.0)</f>
        <v>1</v>
      </c>
      <c r="AK95" s="59" t="str">
        <f>IFERROR(__xludf.DUMMYFUNCTION("""COMPUTED_VALUE"""),"La Dirección Regional Barrancabermeja, trabajó durante el año 2021 en recopilar los insumos necesarios para declarar la Ciénaga Miramar como zona de Prohibición de Pesca, dando como resultado la Resolución Resolución No. 3227 del 2021")</f>
        <v>La Dirección Regional Barrancabermeja, trabajó durante el año 2021 en recopilar los insumos necesarios para declarar la Ciénaga Miramar como zona de Prohibición de Pesca, dando como resultado la Resolución Resolución No. 3227 del 2021</v>
      </c>
      <c r="AL95" s="59"/>
      <c r="AM95" s="60"/>
      <c r="AN95" s="61" t="str">
        <f>IFERROR(IF((AO95+1)&lt;2,Alertas!$B$2&amp;TEXT(AO95,"0%")&amp;Alertas!$D$2, IF((AO95+1)=2,Alertas!$B$3,IF((AO95+1)&gt;2,Alertas!$B$4&amp;TEXT(AO95,"0%")&amp;Alertas!$D$4,AO95+1))),"Sin meta para el segundo trimestre")</f>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95" s="62">
        <f t="shared" si="2"/>
        <v>2</v>
      </c>
      <c r="AP95" s="61" t="str">
        <f t="shared" si="3"/>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95" s="63"/>
      <c r="AR95" s="64"/>
      <c r="AS95" s="65"/>
      <c r="AT95" s="65"/>
      <c r="AU95" s="66"/>
      <c r="AV95" s="67"/>
      <c r="AW95" s="68"/>
      <c r="AX95" s="63"/>
      <c r="AY95" s="64"/>
      <c r="AZ95" s="69"/>
      <c r="BA95" s="65"/>
      <c r="BB95" s="70"/>
      <c r="BC95" s="71"/>
      <c r="BD95" s="72"/>
      <c r="BE95" s="73"/>
      <c r="BF95" s="64"/>
      <c r="BG95" s="69"/>
      <c r="BH95" s="65"/>
      <c r="BI95" s="66"/>
      <c r="BJ95" s="71"/>
      <c r="BK95" s="72"/>
      <c r="BL95" s="74"/>
      <c r="BN95" s="5" t="str">
        <f t="shared" si="23"/>
        <v>1</v>
      </c>
      <c r="BP95" s="5"/>
    </row>
    <row r="96" ht="37.5" customHeight="1">
      <c r="A96" s="45"/>
      <c r="B96" s="46">
        <f>IFERROR(__xludf.DUMMYFUNCTION("""COMPUTED_VALUE"""),94.0)</f>
        <v>94</v>
      </c>
      <c r="C96" s="47" t="str">
        <f>IFERROR(__xludf.DUMMYFUNCTION("""COMPUTED_VALUE"""),"Gestión de la administración y fomento")</f>
        <v>Gestión de la administración y fomento</v>
      </c>
      <c r="D96" s="48" t="str">
        <f>IFERROR(__xludf.DUMMYFUNCTION("""COMPUTED_VALUE"""),"Regional Barranquilla")</f>
        <v>Regional Barranquilla</v>
      </c>
      <c r="E96" s="48" t="str">
        <f>IFERROR(__xludf.DUMMYFUNCTION("""COMPUTED_VALUE"""),"Fortalecimiento de la sostenibilidad del sector pesquero y de la acuicultura en el territorio nacional")</f>
        <v>Fortalecimiento de la sostenibilidad del sector pesquero y de la acuicultura en el territorio nacional</v>
      </c>
      <c r="F96" s="49">
        <f>IFERROR(__xludf.DUMMYFUNCTION("""COMPUTED_VALUE"""),2.01901100028E12)</f>
        <v>2019011000280</v>
      </c>
      <c r="G96" s="50" t="str">
        <f>IFERROR(__xludf.DUMMYFUNCTION("""COMPUTED_VALUE"""),"Sostenibilidad")</f>
        <v>Sostenibilidad</v>
      </c>
      <c r="H96" s="48" t="str">
        <f>IFERROR(__xludf.DUMMYFUNCTION("""COMPUTED_VALUE"""),"Mejorar la explotación de los recursos pesqueros y de la acuicultura.")</f>
        <v>Mejorar la explotación de los recursos pesqueros y de la acuicultura.</v>
      </c>
      <c r="I96" s="48" t="str">
        <f>IFERROR(__xludf.DUMMYFUNCTION("""COMPUTED_VALUE"""),"Servicios de administración de los recurso pesqueros y de la acuicultura")</f>
        <v>Servicios de administración de los recurso pesqueros y de la acuicultura</v>
      </c>
      <c r="J96" s="48" t="str">
        <f>IFERROR(__xludf.DUMMYFUNCTION("""COMPUTED_VALUE"""),"Regular el manejo y el ejercicio de la actividad pesquera y de la acuicultura.")</f>
        <v>Regular el manejo y el ejercicio de la actividad pesquera y de la acuicultura.</v>
      </c>
      <c r="K96" s="51" t="str">
        <f>IFERROR(__xludf.DUMMYFUNCTION("""COMPUTED_VALUE"""),"Producto")</f>
        <v>Producto</v>
      </c>
      <c r="L96" s="51" t="str">
        <f>IFERROR(__xludf.DUMMYFUNCTION("""COMPUTED_VALUE"""),"Eficacia")</f>
        <v>Eficacia</v>
      </c>
      <c r="M96" s="51" t="str">
        <f>IFERROR(__xludf.DUMMYFUNCTION("""COMPUTED_VALUE"""),"Número")</f>
        <v>Número</v>
      </c>
      <c r="N96" s="52" t="str">
        <f>IFERROR(__xludf.DUMMYFUNCTION("""COMPUTED_VALUE"""),"Trámites atendidos")</f>
        <v>Trámites atendidos</v>
      </c>
      <c r="O96" s="83"/>
      <c r="P96" s="78">
        <f>IFERROR(__xludf.DUMMYFUNCTION("""COMPUTED_VALUE"""),1000.0)</f>
        <v>1000</v>
      </c>
      <c r="Q96" s="79" t="str">
        <f>IFERROR(__xludf.DUMMYFUNCTION("""COMPUTED_VALUE"""),"Gestionar las solicitudes de los tramites de permisos de para el ejercicio de la pesca y la acuicultura")</f>
        <v>Gestionar las solicitudes de los tramites de permisos de para el ejercicio de la pesca y la acuicultura</v>
      </c>
      <c r="R96" s="79" t="str">
        <f>IFERROR(__xludf.DUMMYFUNCTION("""COMPUTED_VALUE"""),"Trimestral")</f>
        <v>Trimestral</v>
      </c>
      <c r="S96" s="78">
        <f>IFERROR(__xludf.DUMMYFUNCTION("""COMPUTED_VALUE"""),178.0)</f>
        <v>178</v>
      </c>
      <c r="T96" s="78">
        <f>IFERROR(__xludf.DUMMYFUNCTION("""COMPUTED_VALUE"""),260.0)</f>
        <v>260</v>
      </c>
      <c r="U96" s="78">
        <f>IFERROR(__xludf.DUMMYFUNCTION("""COMPUTED_VALUE"""),247.0)</f>
        <v>247</v>
      </c>
      <c r="V96" s="78">
        <f>IFERROR(__xludf.DUMMYFUNCTION("""COMPUTED_VALUE"""),315.0)</f>
        <v>315</v>
      </c>
      <c r="W96" s="56" t="str">
        <f>IFERROR(__xludf.DUMMYFUNCTION("""COMPUTED_VALUE"""),"Regional Barranquilla")</f>
        <v>Regional Barranquilla</v>
      </c>
      <c r="X96" s="57" t="str">
        <f>IFERROR(__xludf.DUMMYFUNCTION("""COMPUTED_VALUE"""),"Jorge Roa")</f>
        <v>Jorge Roa</v>
      </c>
      <c r="Y96" s="47" t="str">
        <f>IFERROR(__xludf.DUMMYFUNCTION("""COMPUTED_VALUE"""),"Director Regional")</f>
        <v>Director Regional</v>
      </c>
      <c r="Z96" s="57" t="str">
        <f>IFERROR(__xludf.DUMMYFUNCTION("""COMPUTED_VALUE"""),"jorge.roa@aunap.gov.co")</f>
        <v>jorge.roa@aunap.gov.co</v>
      </c>
      <c r="AA96" s="47" t="str">
        <f>IFERROR(__xludf.DUMMYFUNCTION("""COMPUTED_VALUE"""),"Humanos, Físicos, Financieros, Tecnológicos")</f>
        <v>Humanos, Físicos, Financieros, Tecnológicos</v>
      </c>
      <c r="AB96" s="47" t="str">
        <f>IFERROR(__xludf.DUMMYFUNCTION("""COMPUTED_VALUE"""),"No asociado")</f>
        <v>No asociado</v>
      </c>
      <c r="AC96" s="47" t="str">
        <f>IFERROR(__xludf.DUMMYFUNCTION("""COMPUTED_VALUE"""),"Propiciar la formalización de la pesca y la acuicultura")</f>
        <v>Propiciar la formalización de la pesca y la acuicultura</v>
      </c>
      <c r="AD96" s="47" t="str">
        <f>IFERROR(__xludf.DUMMYFUNCTION("""COMPUTED_VALUE"""),"Gestión con valores para resultados")</f>
        <v>Gestión con valores para resultados</v>
      </c>
      <c r="AE96" s="47" t="str">
        <f>IFERROR(__xludf.DUMMYFUNCTION("""COMPUTED_VALUE"""),"Fortalecimiento Organizacional y Simplificación de Procesos")</f>
        <v>Fortalecimiento Organizacional y Simplificación de Procesos</v>
      </c>
      <c r="AF96" s="47" t="str">
        <f>IFERROR(__xludf.DUMMYFUNCTION("""COMPUTED_VALUE"""),"12. Producción y consumo responsable")</f>
        <v>12. Producción y consumo responsable</v>
      </c>
      <c r="AG96" s="80">
        <f>IFERROR(__xludf.DUMMYFUNCTION("""COMPUTED_VALUE"""),331.0)</f>
        <v>331</v>
      </c>
      <c r="AH96" s="59" t="str">
        <f>IFERROR(__xludf.DUMMYFUNCTION("""COMPUTED_VALUE"""),"61 Tramites entre conceptos para permisos comercialización y otras actividdes de   y 270 correspondeintes a pequemos comerciantes ")</f>
        <v>61 Tramites entre conceptos para permisos comercialización y otras actividdes de   y 270 correspondeintes a pequemos comerciantes </v>
      </c>
      <c r="AI96" s="81" t="str">
        <f>IFERROR(__xludf.DUMMYFUNCTION("""COMPUTED_VALUE"""),"https://drive.google.com/drive/folders/1tG-ZKz2IBoA-zobdwyon7Rgg3w9et4qb")</f>
        <v>https://drive.google.com/drive/folders/1tG-ZKz2IBoA-zobdwyon7Rgg3w9et4qb</v>
      </c>
      <c r="AJ96" s="59">
        <f>IFERROR(__xludf.DUMMYFUNCTION("""COMPUTED_VALUE"""),1059.0)</f>
        <v>1059</v>
      </c>
      <c r="AK96" s="59" t="str">
        <f>IFERROR(__xludf.DUMMYFUNCTION("""COMPUTED_VALUE"""),"se dio cumplimiento a la meta anual cun un minimo porcentaje por encima de la meta planteada. esto dado a las solicitudes recibidas")</f>
        <v>se dio cumplimiento a la meta anual cun un minimo porcentaje por encima de la meta planteada. esto dado a las solicitudes recibidas</v>
      </c>
      <c r="AL96" s="59">
        <f>IFERROR(__xludf.DUMMYFUNCTION("""COMPUTED_VALUE"""),44582.0)</f>
        <v>44582</v>
      </c>
      <c r="AM96" s="60"/>
      <c r="AN96" s="61" t="str">
        <f>IFERROR(IF((AO96+1)&lt;2,Alertas!$B$2&amp;TEXT(AO96,"0%")&amp;Alertas!$D$2, IF((AO96+1)=2,Alertas!$B$3,IF((AO96+1)&gt;2,Alertas!$B$4&amp;TEXT(AO96,"0%")&amp;Alertas!$D$4,AO96+1))),"Sin meta para el segundo trimestre")</f>
        <v>La ejecución de la meta registrada se encuentra por encima de la meta programada en la formulación del plan de acción para el segundo trimestre, su porcentaje de cumplimiento es 127%,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96" s="62">
        <f t="shared" si="2"/>
        <v>1.273076923</v>
      </c>
      <c r="AP96" s="61" t="str">
        <f t="shared" si="3"/>
        <v>La ejecución de la meta registrada se encuentra por encima de la meta programada en la formulación del plan de acción para el segundo trimestre, su porcentaje de cumplimiento es 127%,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96" s="63"/>
      <c r="AR96" s="64"/>
      <c r="AS96" s="65"/>
      <c r="AT96" s="65"/>
      <c r="AU96" s="66"/>
      <c r="AV96" s="67"/>
      <c r="AW96" s="68"/>
      <c r="AX96" s="63"/>
      <c r="AY96" s="64"/>
      <c r="AZ96" s="69"/>
      <c r="BA96" s="65"/>
      <c r="BB96" s="70"/>
      <c r="BC96" s="71"/>
      <c r="BD96" s="72"/>
      <c r="BE96" s="73"/>
      <c r="BF96" s="64"/>
      <c r="BG96" s="69"/>
      <c r="BH96" s="65"/>
      <c r="BI96" s="66"/>
      <c r="BJ96" s="71"/>
      <c r="BK96" s="72"/>
      <c r="BL96" s="74"/>
      <c r="BN96" s="5" t="str">
        <f t="shared" si="23"/>
        <v>1</v>
      </c>
      <c r="BP96" s="5"/>
    </row>
    <row r="97" ht="37.5" customHeight="1">
      <c r="A97" s="45"/>
      <c r="B97" s="46">
        <f>IFERROR(__xludf.DUMMYFUNCTION("""COMPUTED_VALUE"""),95.0)</f>
        <v>95</v>
      </c>
      <c r="C97" s="47" t="str">
        <f>IFERROR(__xludf.DUMMYFUNCTION("""COMPUTED_VALUE"""),"Gestión de la administración y fomento")</f>
        <v>Gestión de la administración y fomento</v>
      </c>
      <c r="D97" s="48" t="str">
        <f>IFERROR(__xludf.DUMMYFUNCTION("""COMPUTED_VALUE"""),"Regional Barranquilla")</f>
        <v>Regional Barranquilla</v>
      </c>
      <c r="E97" s="48" t="str">
        <f>IFERROR(__xludf.DUMMYFUNCTION("""COMPUTED_VALUE"""),"Fortalecimiento de la sostenibilidad del sector pesquero y de la acuicultura en el territorio nacional")</f>
        <v>Fortalecimiento de la sostenibilidad del sector pesquero y de la acuicultura en el territorio nacional</v>
      </c>
      <c r="F97" s="49">
        <f>IFERROR(__xludf.DUMMYFUNCTION("""COMPUTED_VALUE"""),2.01901100028E12)</f>
        <v>2019011000280</v>
      </c>
      <c r="G97" s="50" t="str">
        <f>IFERROR(__xludf.DUMMYFUNCTION("""COMPUTED_VALUE"""),"Sostenibilidad")</f>
        <v>Sostenibilidad</v>
      </c>
      <c r="H97" s="48" t="str">
        <f>IFERROR(__xludf.DUMMYFUNCTION("""COMPUTED_VALUE"""),"Mejorar la explotación de los recursos pesqueros y de la acuicultura.")</f>
        <v>Mejorar la explotación de los recursos pesqueros y de la acuicultura.</v>
      </c>
      <c r="I97" s="48" t="str">
        <f>IFERROR(__xludf.DUMMYFUNCTION("""COMPUTED_VALUE"""),"Servicios de administración de los recurso pesqueros y de la acuicultura")</f>
        <v>Servicios de administración de los recurso pesqueros y de la acuicultura</v>
      </c>
      <c r="J97" s="48" t="str">
        <f>IFERROR(__xludf.DUMMYFUNCTION("""COMPUTED_VALUE"""),"Producir alevinos para el sector productivo y/o con fines de repoblamiento.")</f>
        <v>Producir alevinos para el sector productivo y/o con fines de repoblamiento.</v>
      </c>
      <c r="K97" s="51" t="str">
        <f>IFERROR(__xludf.DUMMYFUNCTION("""COMPUTED_VALUE"""),"Gestión")</f>
        <v>Gestión</v>
      </c>
      <c r="L97" s="51" t="str">
        <f>IFERROR(__xludf.DUMMYFUNCTION("""COMPUTED_VALUE"""),"Eficacia")</f>
        <v>Eficacia</v>
      </c>
      <c r="M97" s="51" t="str">
        <f>IFERROR(__xludf.DUMMYFUNCTION("""COMPUTED_VALUE"""),"Número")</f>
        <v>Número</v>
      </c>
      <c r="N97" s="52" t="str">
        <f>IFERROR(__xludf.DUMMYFUNCTION("""COMPUTED_VALUE"""),"Número de alevines rescatados y trasladados a areas de guarderias/Número de alevines programados para  rescate y traslado a areas de guarderia")</f>
        <v>Número de alevines rescatados y trasladados a areas de guarderias/Número de alevines programados para  rescate y traslado a areas de guarderia</v>
      </c>
      <c r="O97" s="53"/>
      <c r="P97" s="78">
        <f>IFERROR(__xludf.DUMMYFUNCTION("""COMPUTED_VALUE"""),5600000.0)</f>
        <v>5600000</v>
      </c>
      <c r="Q97" s="79" t="str">
        <f>IFERROR(__xludf.DUMMYFUNCTION("""COMPUTED_VALUE"""),"Rescate y traslado de alevines de las especies migratorias y nativas en temporada de subienda a areas cenagosas dentro de la DRBQ")</f>
        <v>Rescate y traslado de alevines de las especies migratorias y nativas en temporada de subienda a areas cenagosas dentro de la DRBQ</v>
      </c>
      <c r="R97" s="79" t="str">
        <f>IFERROR(__xludf.DUMMYFUNCTION("""COMPUTED_VALUE"""),"Trimestral")</f>
        <v>Trimestral</v>
      </c>
      <c r="S97" s="78">
        <f>IFERROR(__xludf.DUMMYFUNCTION("""COMPUTED_VALUE"""),3000000.0)</f>
        <v>3000000</v>
      </c>
      <c r="T97" s="78">
        <f>IFERROR(__xludf.DUMMYFUNCTION("""COMPUTED_VALUE"""),2000000.0)</f>
        <v>2000000</v>
      </c>
      <c r="U97" s="78">
        <f>IFERROR(__xludf.DUMMYFUNCTION("""COMPUTED_VALUE"""),600000.0)</f>
        <v>600000</v>
      </c>
      <c r="V97" s="78">
        <f>IFERROR(__xludf.DUMMYFUNCTION("""COMPUTED_VALUE"""),0.0)</f>
        <v>0</v>
      </c>
      <c r="W97" s="56" t="str">
        <f>IFERROR(__xludf.DUMMYFUNCTION("""COMPUTED_VALUE"""),"Regional Barranquilla")</f>
        <v>Regional Barranquilla</v>
      </c>
      <c r="X97" s="57" t="str">
        <f>IFERROR(__xludf.DUMMYFUNCTION("""COMPUTED_VALUE"""),"Jorge Roa")</f>
        <v>Jorge Roa</v>
      </c>
      <c r="Y97" s="47" t="str">
        <f>IFERROR(__xludf.DUMMYFUNCTION("""COMPUTED_VALUE"""),"Director Regional")</f>
        <v>Director Regional</v>
      </c>
      <c r="Z97" s="57" t="str">
        <f>IFERROR(__xludf.DUMMYFUNCTION("""COMPUTED_VALUE"""),"jorge.roa@aunap.gov.co")</f>
        <v>jorge.roa@aunap.gov.co</v>
      </c>
      <c r="AA97" s="47" t="str">
        <f>IFERROR(__xludf.DUMMYFUNCTION("""COMPUTED_VALUE"""),"Humanos, Físicos, Financieros, Tecnológicos")</f>
        <v>Humanos, Físicos, Financieros, Tecnológicos</v>
      </c>
      <c r="AB97" s="47" t="str">
        <f>IFERROR(__xludf.DUMMYFUNCTION("""COMPUTED_VALUE"""),"No asociado")</f>
        <v>No asociado</v>
      </c>
      <c r="AC97" s="47" t="str">
        <f>IFERROR(__xludf.DUMMYFUNCTION("""COMPUTED_VALUE"""),"Llegar con actividades de pesca y acuicultura a todas las regiones")</f>
        <v>Llegar con actividades de pesca y acuicultura a todas las regiones</v>
      </c>
      <c r="AD97" s="47" t="str">
        <f>IFERROR(__xludf.DUMMYFUNCTION("""COMPUTED_VALUE"""),"Gestión con valores para resultados")</f>
        <v>Gestión con valores para resultados</v>
      </c>
      <c r="AE97" s="47" t="str">
        <f>IFERROR(__xludf.DUMMYFUNCTION("""COMPUTED_VALUE"""),"Fortalecimiento Organizacional y Simplificación de Procesos")</f>
        <v>Fortalecimiento Organizacional y Simplificación de Procesos</v>
      </c>
      <c r="AF97" s="47" t="str">
        <f>IFERROR(__xludf.DUMMYFUNCTION("""COMPUTED_VALUE"""),"12. Producción y consumo responsable")</f>
        <v>12. Producción y consumo responsable</v>
      </c>
      <c r="AG97" s="58">
        <f>IFERROR(__xludf.DUMMYFUNCTION("""COMPUTED_VALUE"""),0.0)</f>
        <v>0</v>
      </c>
      <c r="AH97" s="59" t="str">
        <f>IFERROR(__xludf.DUMMYFUNCTION("""COMPUTED_VALUE"""),"No hay meta para este trimestre")</f>
        <v>No hay meta para este trimestre</v>
      </c>
      <c r="AI97" s="59" t="str">
        <f>IFERROR(__xludf.DUMMYFUNCTION("""COMPUTED_VALUE"""),"-")</f>
        <v>-</v>
      </c>
      <c r="AJ97" s="59">
        <f>IFERROR(__xludf.DUMMYFUNCTION("""COMPUTED_VALUE"""),9884400.0)</f>
        <v>9884400</v>
      </c>
      <c r="AK97" s="59" t="str">
        <f>IFERROR(__xludf.DUMMYFUNCTION("""COMPUTED_VALUE"""),"Se logro cumplir la meta anual superando lo planeado dada la  cantidad de animales que se presentaron en la ola migratoria ")</f>
        <v>Se logro cumplir la meta anual superando lo planeado dada la  cantidad de animales que se presentaron en la ola migratoria </v>
      </c>
      <c r="AL97" s="59">
        <f>IFERROR(__xludf.DUMMYFUNCTION("""COMPUTED_VALUE"""),44582.0)</f>
        <v>44582</v>
      </c>
      <c r="AM97" s="60"/>
      <c r="AN97" s="61" t="str">
        <f>IFERROR(IF((AO97+1)&lt;2,Alertas!$B$2&amp;TEXT(AO97,"0%")&amp;Alertas!$D$2, IF((AO97+1)=2,Alertas!$B$3,IF((AO97+1)&gt;2,Alertas!$B$4&amp;TEXT(AO97,"0%")&amp;Alertas!$D$4,AO97+1))),"Sin meta para el segundo trimestre")</f>
        <v>La ejecución de la meta registrada se encuentra por debajo de la meta programada en la formulación del plan de acción para el segundo trimestre, su porcentaje de cumplimiento es 0%, lo cual indica un incumplimiento que puede ser entendido por los entes de control como falencias en el proceso de planeación y gestión de la dependencia. se recomienda realizar acciones para garantizar el cumplimiento de la meta durante lo que resta de vigencia</v>
      </c>
      <c r="AO97" s="62">
        <f t="shared" si="2"/>
        <v>0</v>
      </c>
      <c r="AP97" s="61" t="str">
        <f t="shared" si="3"/>
        <v>La ejecución de la meta registrada se encuentra por debajo de la meta programada en la formulación del plan de acción para el segundo trimestre, su porcentaje de cumplimiento es 0%, lo cual indica un incumplimiento que puede ser entendido por los entes de control como falencias en el proceso de planeación y gestión de la dependencia. se recomienda realizar acciones para garantizar el cumplimiento de la meta durante lo que resta de vigencia.</v>
      </c>
      <c r="AQ97" s="63"/>
      <c r="AR97" s="64"/>
      <c r="AS97" s="65"/>
      <c r="AT97" s="65"/>
      <c r="AU97" s="66"/>
      <c r="AV97" s="67"/>
      <c r="AW97" s="68"/>
      <c r="AX97" s="63"/>
      <c r="AY97" s="64"/>
      <c r="AZ97" s="69"/>
      <c r="BA97" s="65"/>
      <c r="BB97" s="70"/>
      <c r="BC97" s="71"/>
      <c r="BD97" s="72"/>
      <c r="BE97" s="73"/>
      <c r="BF97" s="64"/>
      <c r="BG97" s="69"/>
      <c r="BH97" s="65"/>
      <c r="BI97" s="66"/>
      <c r="BJ97" s="71"/>
      <c r="BK97" s="72"/>
      <c r="BL97" s="74"/>
      <c r="BN97" s="5" t="str">
        <f t="shared" si="23"/>
        <v>-1</v>
      </c>
      <c r="BP97" s="5"/>
    </row>
    <row r="98" ht="37.5" customHeight="1">
      <c r="A98" s="45"/>
      <c r="B98" s="46">
        <f>IFERROR(__xludf.DUMMYFUNCTION("""COMPUTED_VALUE"""),96.0)</f>
        <v>96</v>
      </c>
      <c r="C98" s="47" t="str">
        <f>IFERROR(__xludf.DUMMYFUNCTION("""COMPUTED_VALUE"""),"Gestión de la administración y fomento")</f>
        <v>Gestión de la administración y fomento</v>
      </c>
      <c r="D98" s="48" t="str">
        <f>IFERROR(__xludf.DUMMYFUNCTION("""COMPUTED_VALUE"""),"Regional Barranquilla")</f>
        <v>Regional Barranquilla</v>
      </c>
      <c r="E98" s="48" t="str">
        <f>IFERROR(__xludf.DUMMYFUNCTION("""COMPUTED_VALUE"""),"Fortalecimiento de la sostenibilidad del sector pesquero y de la acuicultura en el territorio nacional")</f>
        <v>Fortalecimiento de la sostenibilidad del sector pesquero y de la acuicultura en el territorio nacional</v>
      </c>
      <c r="F98" s="49">
        <f>IFERROR(__xludf.DUMMYFUNCTION("""COMPUTED_VALUE"""),2.01901100028E12)</f>
        <v>2019011000280</v>
      </c>
      <c r="G98" s="50" t="str">
        <f>IFERROR(__xludf.DUMMYFUNCTION("""COMPUTED_VALUE"""),"Sostenibilidad")</f>
        <v>Sostenibilidad</v>
      </c>
      <c r="H98" s="48" t="str">
        <f>IFERROR(__xludf.DUMMYFUNCTION("""COMPUTED_VALUE"""),"Mejorar las prácticas de pesca y de acuicultura.")</f>
        <v>Mejorar las prácticas de pesca y de acuicultura.</v>
      </c>
      <c r="I98" s="48" t="str">
        <f>IFERROR(__xludf.DUMMYFUNCTION("""COMPUTED_VALUE"""),"3-Servicios de apoyo a las estaciones de acuicultura")</f>
        <v>3-Servicios de apoyo a las estaciones de acuicultura</v>
      </c>
      <c r="J98" s="48" t="str">
        <f>IFERROR(__xludf.DUMMYFUNCTION("""COMPUTED_VALUE"""),"Desarrollar acciones de extensión rural a través de las estaciones de acuicultura")</f>
        <v>Desarrollar acciones de extensión rural a través de las estaciones de acuicultura</v>
      </c>
      <c r="K98" s="51" t="str">
        <f>IFERROR(__xludf.DUMMYFUNCTION("""COMPUTED_VALUE"""),"Producto")</f>
        <v>Producto</v>
      </c>
      <c r="L98" s="51" t="str">
        <f>IFERROR(__xludf.DUMMYFUNCTION("""COMPUTED_VALUE"""),"Eficacia")</f>
        <v>Eficacia</v>
      </c>
      <c r="M98" s="51" t="str">
        <f>IFERROR(__xludf.DUMMYFUNCTION("""COMPUTED_VALUE"""),"Número")</f>
        <v>Número</v>
      </c>
      <c r="N98" s="52" t="str">
        <f>IFERROR(__xludf.DUMMYFUNCTION("""COMPUTED_VALUE"""),"Campañas divulgativas")</f>
        <v>Campañas divulgativas</v>
      </c>
      <c r="O98" s="53"/>
      <c r="P98" s="78">
        <f>IFERROR(__xludf.DUMMYFUNCTION("""COMPUTED_VALUE"""),6.0)</f>
        <v>6</v>
      </c>
      <c r="Q98" s="79" t="str">
        <f>IFERROR(__xludf.DUMMYFUNCTION("""COMPUTED_VALUE"""),"Apoyar en el desarrollo de campañas informativas y divulgadas de acciones de acuicultura a través de las estaciones ")</f>
        <v>Apoyar en el desarrollo de campañas informativas y divulgadas de acciones de acuicultura a través de las estaciones </v>
      </c>
      <c r="R98" s="79" t="str">
        <f>IFERROR(__xludf.DUMMYFUNCTION("""COMPUTED_VALUE"""),"Trimestral")</f>
        <v>Trimestral</v>
      </c>
      <c r="S98" s="78">
        <f>IFERROR(__xludf.DUMMYFUNCTION("""COMPUTED_VALUE"""),0.0)</f>
        <v>0</v>
      </c>
      <c r="T98" s="78">
        <f>IFERROR(__xludf.DUMMYFUNCTION("""COMPUTED_VALUE"""),2.0)</f>
        <v>2</v>
      </c>
      <c r="U98" s="78">
        <f>IFERROR(__xludf.DUMMYFUNCTION("""COMPUTED_VALUE"""),2.0)</f>
        <v>2</v>
      </c>
      <c r="V98" s="78">
        <f>IFERROR(__xludf.DUMMYFUNCTION("""COMPUTED_VALUE"""),2.0)</f>
        <v>2</v>
      </c>
      <c r="W98" s="56" t="str">
        <f>IFERROR(__xludf.DUMMYFUNCTION("""COMPUTED_VALUE"""),"Regional Barranquilla")</f>
        <v>Regional Barranquilla</v>
      </c>
      <c r="X98" s="57" t="str">
        <f>IFERROR(__xludf.DUMMYFUNCTION("""COMPUTED_VALUE"""),"Jorge Roa")</f>
        <v>Jorge Roa</v>
      </c>
      <c r="Y98" s="47" t="str">
        <f>IFERROR(__xludf.DUMMYFUNCTION("""COMPUTED_VALUE"""),"Director Regional")</f>
        <v>Director Regional</v>
      </c>
      <c r="Z98" s="57" t="str">
        <f>IFERROR(__xludf.DUMMYFUNCTION("""COMPUTED_VALUE"""),"jorge.roa@aunap.gov.co")</f>
        <v>jorge.roa@aunap.gov.co</v>
      </c>
      <c r="AA98" s="47" t="str">
        <f>IFERROR(__xludf.DUMMYFUNCTION("""COMPUTED_VALUE"""),"Humanos, Físicos, Financieros, Tecnológicos")</f>
        <v>Humanos, Físicos, Financieros, Tecnológicos</v>
      </c>
      <c r="AB98" s="47" t="str">
        <f>IFERROR(__xludf.DUMMYFUNCTION("""COMPUTED_VALUE"""),"No asociado")</f>
        <v>No asociado</v>
      </c>
      <c r="AC98" s="47" t="str">
        <f>IFERROR(__xludf.DUMMYFUNCTION("""COMPUTED_VALUE"""),"Llegar con actividades de pesca y acuicultura a todas las regiones")</f>
        <v>Llegar con actividades de pesca y acuicultura a todas las regiones</v>
      </c>
      <c r="AD98" s="47" t="str">
        <f>IFERROR(__xludf.DUMMYFUNCTION("""COMPUTED_VALUE"""),"Gestión con valores para resultados")</f>
        <v>Gestión con valores para resultados</v>
      </c>
      <c r="AE98" s="47" t="str">
        <f>IFERROR(__xludf.DUMMYFUNCTION("""COMPUTED_VALUE"""),"Fortalecimiento Organizacional y Simplificación de Procesos")</f>
        <v>Fortalecimiento Organizacional y Simplificación de Procesos</v>
      </c>
      <c r="AF98" s="47" t="str">
        <f>IFERROR(__xludf.DUMMYFUNCTION("""COMPUTED_VALUE"""),"12. Producción y consumo responsable")</f>
        <v>12. Producción y consumo responsable</v>
      </c>
      <c r="AG98" s="58">
        <f>IFERROR(__xludf.DUMMYFUNCTION("""COMPUTED_VALUE"""),2.0)</f>
        <v>2</v>
      </c>
      <c r="AH98" s="59" t="str">
        <f>IFERROR(__xludf.DUMMYFUNCTION("""COMPUTED_VALUE"""),"Se realizaron las capañas de divulgacion por parte de la EPBM dentro de acciones de  campañas informativas a las comunidades ")</f>
        <v>Se realizaron las capañas de divulgacion por parte de la EPBM dentro de acciones de  campañas informativas a las comunidades </v>
      </c>
      <c r="AI98" s="77" t="str">
        <f>IFERROR(__xludf.DUMMYFUNCTION("""COMPUTED_VALUE"""),"https://drive.google.com/drive/folders/1_qAH7FziR1swwZ96FBUQ-z42vZOzI5Xs")</f>
        <v>https://drive.google.com/drive/folders/1_qAH7FziR1swwZ96FBUQ-z42vZOzI5Xs</v>
      </c>
      <c r="AJ98" s="59">
        <f>IFERROR(__xludf.DUMMYFUNCTION("""COMPUTED_VALUE"""),6.0)</f>
        <v>6</v>
      </c>
      <c r="AK98" s="59" t="str">
        <f>IFERROR(__xludf.DUMMYFUNCTION("""COMPUTED_VALUE"""),"Se desarrollaron 6 campañas de divulgacion desde la EPBM")</f>
        <v>Se desarrollaron 6 campañas de divulgacion desde la EPBM</v>
      </c>
      <c r="AL98" s="59">
        <f>IFERROR(__xludf.DUMMYFUNCTION("""COMPUTED_VALUE"""),44582.0)</f>
        <v>44582</v>
      </c>
      <c r="AM98" s="60"/>
      <c r="AN98" s="61" t="str">
        <f>IFERROR(IF((AO98+1)&lt;2,Alertas!$B$2&amp;TEXT(AO98,"0%")&amp;Alertas!$D$2, IF((AO98+1)=2,Alertas!$B$3,IF((AO98+1)&gt;2,Alertas!$B$4&amp;TEXT(AO98,"0%")&amp;Alertas!$D$4,AO98+1))),"Sin meta para el segundo trimestre")</f>
        <v>La ejecución de la meta registrada se encuentra acorde a la meta programada en la formulación del plan de acción para el segundo trimestre</v>
      </c>
      <c r="AO98" s="62">
        <f t="shared" si="2"/>
        <v>1</v>
      </c>
      <c r="AP98" s="61" t="str">
        <f t="shared" si="3"/>
        <v>La ejecución de la meta registrada se encuentra acorde a la meta programada en la formulación del plan de acción para el segundo trimestre.</v>
      </c>
      <c r="AQ98" s="63"/>
      <c r="AR98" s="64"/>
      <c r="AS98" s="65"/>
      <c r="AT98" s="65"/>
      <c r="AU98" s="66"/>
      <c r="AV98" s="67"/>
      <c r="AW98" s="68"/>
      <c r="AX98" s="63"/>
      <c r="AY98" s="64"/>
      <c r="AZ98" s="69"/>
      <c r="BA98" s="65"/>
      <c r="BB98" s="70"/>
      <c r="BC98" s="71"/>
      <c r="BD98" s="72"/>
      <c r="BE98" s="73"/>
      <c r="BF98" s="64"/>
      <c r="BG98" s="69"/>
      <c r="BH98" s="65"/>
      <c r="BI98" s="66"/>
      <c r="BJ98" s="71"/>
      <c r="BK98" s="72"/>
      <c r="BL98" s="74"/>
      <c r="BN98" s="5" t="str">
        <f t="shared" si="23"/>
        <v>0</v>
      </c>
      <c r="BP98" s="5"/>
    </row>
    <row r="99" ht="37.5" customHeight="1">
      <c r="A99" s="45"/>
      <c r="B99" s="46">
        <f>IFERROR(__xludf.DUMMYFUNCTION("""COMPUTED_VALUE"""),97.0)</f>
        <v>97</v>
      </c>
      <c r="C99" s="47" t="str">
        <f>IFERROR(__xludf.DUMMYFUNCTION("""COMPUTED_VALUE"""),"Gestión de la administración y fomento")</f>
        <v>Gestión de la administración y fomento</v>
      </c>
      <c r="D99" s="48" t="str">
        <f>IFERROR(__xludf.DUMMYFUNCTION("""COMPUTED_VALUE"""),"Regional Barranquilla")</f>
        <v>Regional Barranquilla</v>
      </c>
      <c r="E99" s="48" t="str">
        <f>IFERROR(__xludf.DUMMYFUNCTION("""COMPUTED_VALUE"""),"Fortalecimiento de la sostenibilidad del sector pesquero y de la acuicultura en el territorio nacional")</f>
        <v>Fortalecimiento de la sostenibilidad del sector pesquero y de la acuicultura en el territorio nacional</v>
      </c>
      <c r="F99" s="49">
        <f>IFERROR(__xludf.DUMMYFUNCTION("""COMPUTED_VALUE"""),2.01901100028E12)</f>
        <v>2019011000280</v>
      </c>
      <c r="G99" s="50" t="str">
        <f>IFERROR(__xludf.DUMMYFUNCTION("""COMPUTED_VALUE"""),"Sostenibilidad")</f>
        <v>Sostenibilidad</v>
      </c>
      <c r="H99" s="48" t="str">
        <f>IFERROR(__xludf.DUMMYFUNCTION("""COMPUTED_VALUE"""),"Mejorar la explotación de los recursos pesqueros y de la acuicultura.")</f>
        <v>Mejorar la explotación de los recursos pesqueros y de la acuicultura.</v>
      </c>
      <c r="I99" s="48" t="str">
        <f>IFERROR(__xludf.DUMMYFUNCTION("""COMPUTED_VALUE"""),"Servicios de administración de los recurso pesqueros y de la acuicultura")</f>
        <v>Servicios de administración de los recurso pesqueros y de la acuicultura</v>
      </c>
      <c r="J99" s="48" t="str">
        <f>IFERROR(__xludf.DUMMYFUNCTION("""COMPUTED_VALUE"""),"Realizar acciones de divulgación y formalización de la actividad pesquera y de la acuicultura.")</f>
        <v>Realizar acciones de divulgación y formalización de la actividad pesquera y de la acuicultura.</v>
      </c>
      <c r="K99" s="51" t="str">
        <f>IFERROR(__xludf.DUMMYFUNCTION("""COMPUTED_VALUE"""),"Gestión del área")</f>
        <v>Gestión del área</v>
      </c>
      <c r="L99" s="51" t="str">
        <f>IFERROR(__xludf.DUMMYFUNCTION("""COMPUTED_VALUE"""),"Eficacia")</f>
        <v>Eficacia</v>
      </c>
      <c r="M99" s="51" t="str">
        <f>IFERROR(__xludf.DUMMYFUNCTION("""COMPUTED_VALUE"""),"Número")</f>
        <v>Número</v>
      </c>
      <c r="N99" s="52" t="str">
        <f>IFERROR(__xludf.DUMMYFUNCTION("""COMPUTED_VALUE"""),"Numero de censo realizados / No municipios visitados")</f>
        <v>Numero de censo realizados / No municipios visitados</v>
      </c>
      <c r="O99" s="53"/>
      <c r="P99" s="54">
        <f>IFERROR(__xludf.DUMMYFUNCTION("""COMPUTED_VALUE"""),30.0)</f>
        <v>30</v>
      </c>
      <c r="Q99" s="55" t="str">
        <f>IFERROR(__xludf.DUMMYFUNCTION("""COMPUTED_VALUE"""),"Realizar censo de embarcaciones y motonaves en algunas comunidades de pescadores de la DRBQ")</f>
        <v>Realizar censo de embarcaciones y motonaves en algunas comunidades de pescadores de la DRBQ</v>
      </c>
      <c r="R99" s="14" t="str">
        <f>IFERROR(__xludf.DUMMYFUNCTION("""COMPUTED_VALUE"""),"Anual")</f>
        <v>Anual</v>
      </c>
      <c r="S99" s="54">
        <f>IFERROR(__xludf.DUMMYFUNCTION("""COMPUTED_VALUE"""),0.0)</f>
        <v>0</v>
      </c>
      <c r="T99" s="54">
        <f>IFERROR(__xludf.DUMMYFUNCTION("""COMPUTED_VALUE"""),0.0)</f>
        <v>0</v>
      </c>
      <c r="U99" s="54">
        <f>IFERROR(__xludf.DUMMYFUNCTION("""COMPUTED_VALUE"""),0.0)</f>
        <v>0</v>
      </c>
      <c r="V99" s="54">
        <f>IFERROR(__xludf.DUMMYFUNCTION("""COMPUTED_VALUE"""),30.0)</f>
        <v>30</v>
      </c>
      <c r="W99" s="56" t="str">
        <f>IFERROR(__xludf.DUMMYFUNCTION("""COMPUTED_VALUE"""),"Regional Barranquilla")</f>
        <v>Regional Barranquilla</v>
      </c>
      <c r="X99" s="57" t="str">
        <f>IFERROR(__xludf.DUMMYFUNCTION("""COMPUTED_VALUE"""),"Jorge Roa")</f>
        <v>Jorge Roa</v>
      </c>
      <c r="Y99" s="47" t="str">
        <f>IFERROR(__xludf.DUMMYFUNCTION("""COMPUTED_VALUE"""),"Director Regional")</f>
        <v>Director Regional</v>
      </c>
      <c r="Z99" s="57" t="str">
        <f>IFERROR(__xludf.DUMMYFUNCTION("""COMPUTED_VALUE"""),"jorge.roa@aunap.gov.co")</f>
        <v>jorge.roa@aunap.gov.co</v>
      </c>
      <c r="AA99" s="47" t="str">
        <f>IFERROR(__xludf.DUMMYFUNCTION("""COMPUTED_VALUE"""),"Humanos, Físicos, Financieros, Tecnológicos")</f>
        <v>Humanos, Físicos, Financieros, Tecnológicos</v>
      </c>
      <c r="AB99" s="47" t="str">
        <f>IFERROR(__xludf.DUMMYFUNCTION("""COMPUTED_VALUE"""),"No asociado")</f>
        <v>No asociado</v>
      </c>
      <c r="AC99"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99" s="47" t="str">
        <f>IFERROR(__xludf.DUMMYFUNCTION("""COMPUTED_VALUE"""),"Gestión con valores para resultados")</f>
        <v>Gestión con valores para resultados</v>
      </c>
      <c r="AE99" s="47" t="str">
        <f>IFERROR(__xludf.DUMMYFUNCTION("""COMPUTED_VALUE"""),"Fortalecimiento Organizacional y Simplificación de Procesos")</f>
        <v>Fortalecimiento Organizacional y Simplificación de Procesos</v>
      </c>
      <c r="AF99" s="47" t="str">
        <f>IFERROR(__xludf.DUMMYFUNCTION("""COMPUTED_VALUE"""),"12. Producción y consumo responsable")</f>
        <v>12. Producción y consumo responsable</v>
      </c>
      <c r="AG99" s="58">
        <f>IFERROR(__xludf.DUMMYFUNCTION("""COMPUTED_VALUE"""),41.0)</f>
        <v>41</v>
      </c>
      <c r="AH99" s="59" t="str">
        <f>IFERROR(__xludf.DUMMYFUNCTION("""COMPUTED_VALUE"""),"Se realizaron 41 censo de embarcaciones en igual numero de puertos en 23 municipios y corregimientos de la DRBQ ")</f>
        <v>Se realizaron 41 censo de embarcaciones en igual numero de puertos en 23 municipios y corregimientos de la DRBQ </v>
      </c>
      <c r="AI99" s="77" t="str">
        <f>IFERROR(__xludf.DUMMYFUNCTION("""COMPUTED_VALUE"""),"https://drive.google.com/drive/folders/1werH06yBmHnsgVuJStG94TJ7dVgZ4RuO")</f>
        <v>https://drive.google.com/drive/folders/1werH06yBmHnsgVuJStG94TJ7dVgZ4RuO</v>
      </c>
      <c r="AJ99" s="59">
        <f>IFERROR(__xludf.DUMMYFUNCTION("""COMPUTED_VALUE"""),41.0)</f>
        <v>41</v>
      </c>
      <c r="AK99" s="59" t="str">
        <f>IFERROR(__xludf.DUMMYFUNCTION("""COMPUTED_VALUE"""),"Se dio cumplimiento total a  la meta de registro de censo  de embarciones en puertos superando lo planeado para el año")</f>
        <v>Se dio cumplimiento total a  la meta de registro de censo  de embarciones en puertos superando lo planeado para el año</v>
      </c>
      <c r="AL99" s="59"/>
      <c r="AM99" s="60"/>
      <c r="AN99" s="61" t="str">
        <f>IFERROR(IF((AO99+1)&lt;2,Alertas!$B$2&amp;TEXT(AO99,"0%")&amp;Alertas!$D$2, IF((AO99+1)=2,Alertas!$B$3,IF((AO99+1)&gt;2,Alertas!$B$4&amp;TEXT(AO99,"0%")&amp;Alertas!$D$4,AO99+1))),"Sin meta para el segundo trimestre")</f>
        <v>La ejecución de la meta registrada se encuentra por encima de la meta programada en la formulación del plan de acción para el segundo trimestre, su porcentaje de cumplimiento es 4200%,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99" s="62">
        <f t="shared" si="2"/>
        <v>42</v>
      </c>
      <c r="AP99" s="61" t="str">
        <f t="shared" si="3"/>
        <v>La ejecución de la meta registrada se encuentra por encima de la meta programada en la formulación del plan de acción para el segundo trimestre, su porcentaje de cumplimiento es 4200%,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99" s="63"/>
      <c r="AR99" s="64"/>
      <c r="AS99" s="65"/>
      <c r="AT99" s="65"/>
      <c r="AU99" s="66"/>
      <c r="AV99" s="67"/>
      <c r="AW99" s="68"/>
      <c r="AX99" s="63"/>
      <c r="AY99" s="64"/>
      <c r="AZ99" s="69"/>
      <c r="BA99" s="65"/>
      <c r="BB99" s="70"/>
      <c r="BC99" s="71"/>
      <c r="BD99" s="72"/>
      <c r="BE99" s="73"/>
      <c r="BF99" s="64"/>
      <c r="BG99" s="69"/>
      <c r="BH99" s="65"/>
      <c r="BI99" s="66"/>
      <c r="BJ99" s="71"/>
      <c r="BK99" s="72"/>
      <c r="BL99" s="74"/>
      <c r="BN99" s="5" t="str">
        <f t="shared" si="23"/>
        <v>1</v>
      </c>
      <c r="BP99" s="5"/>
    </row>
    <row r="100" ht="37.5" customHeight="1">
      <c r="A100" s="45"/>
      <c r="B100" s="46">
        <f>IFERROR(__xludf.DUMMYFUNCTION("""COMPUTED_VALUE"""),98.0)</f>
        <v>98</v>
      </c>
      <c r="C100" s="47" t="str">
        <f>IFERROR(__xludf.DUMMYFUNCTION("""COMPUTED_VALUE"""),"Gestión de la administración y fomento")</f>
        <v>Gestión de la administración y fomento</v>
      </c>
      <c r="D100" s="48" t="str">
        <f>IFERROR(__xludf.DUMMYFUNCTION("""COMPUTED_VALUE"""),"Regional Barranquilla")</f>
        <v>Regional Barranquilla</v>
      </c>
      <c r="E100" s="48" t="str">
        <f>IFERROR(__xludf.DUMMYFUNCTION("""COMPUTED_VALUE"""),"Fortalecimiento de la sostenibilidad del sector pesquero y de la acuicultura en el territorio nacional")</f>
        <v>Fortalecimiento de la sostenibilidad del sector pesquero y de la acuicultura en el territorio nacional</v>
      </c>
      <c r="F100" s="49">
        <f>IFERROR(__xludf.DUMMYFUNCTION("""COMPUTED_VALUE"""),2.01901100028E12)</f>
        <v>2019011000280</v>
      </c>
      <c r="G100" s="50" t="str">
        <f>IFERROR(__xludf.DUMMYFUNCTION("""COMPUTED_VALUE"""),"Sostenibilidad")</f>
        <v>Sostenibilidad</v>
      </c>
      <c r="H100" s="48" t="str">
        <f>IFERROR(__xludf.DUMMYFUNCTION("""COMPUTED_VALUE"""),"Mejorar la explotación de los recursos pesqueros y de la acuicultura.")</f>
        <v>Mejorar la explotación de los recursos pesqueros y de la acuicultura.</v>
      </c>
      <c r="I100" s="48" t="str">
        <f>IFERROR(__xludf.DUMMYFUNCTION("""COMPUTED_VALUE"""),"Servicios de administración de los recurso pesqueros y de la acuicultura")</f>
        <v>Servicios de administración de los recurso pesqueros y de la acuicultura</v>
      </c>
      <c r="J100" s="48" t="str">
        <f>IFERROR(__xludf.DUMMYFUNCTION("""COMPUTED_VALUE"""),"Realizar acciones de divulgación y formalización de la actividad pesquera y de la acuicultura.")</f>
        <v>Realizar acciones de divulgación y formalización de la actividad pesquera y de la acuicultura.</v>
      </c>
      <c r="K100" s="51" t="str">
        <f>IFERROR(__xludf.DUMMYFUNCTION("""COMPUTED_VALUE"""),"Gestión")</f>
        <v>Gestión</v>
      </c>
      <c r="L100" s="51" t="str">
        <f>IFERROR(__xludf.DUMMYFUNCTION("""COMPUTED_VALUE"""),"Eficacia")</f>
        <v>Eficacia</v>
      </c>
      <c r="M100" s="51" t="str">
        <f>IFERROR(__xludf.DUMMYFUNCTION("""COMPUTED_VALUE"""),"Número")</f>
        <v>Número</v>
      </c>
      <c r="N100" s="52" t="str">
        <f>IFERROR(__xludf.DUMMYFUNCTION("""COMPUTED_VALUE"""),"Numero de censo realizados / No municipios visitados")</f>
        <v>Numero de censo realizados / No municipios visitados</v>
      </c>
      <c r="O100" s="53"/>
      <c r="P100" s="54">
        <f>IFERROR(__xludf.DUMMYFUNCTION("""COMPUTED_VALUE"""),15.0)</f>
        <v>15</v>
      </c>
      <c r="Q100" s="55" t="str">
        <f>IFERROR(__xludf.DUMMYFUNCTION("""COMPUTED_VALUE"""),"realizar censo de cultivos en algunos municipios de los departamentos de la region Caribe")</f>
        <v>realizar censo de cultivos en algunos municipios de los departamentos de la region Caribe</v>
      </c>
      <c r="R100" s="14" t="str">
        <f>IFERROR(__xludf.DUMMYFUNCTION("""COMPUTED_VALUE"""),"Anual")</f>
        <v>Anual</v>
      </c>
      <c r="S100" s="54">
        <f>IFERROR(__xludf.DUMMYFUNCTION("""COMPUTED_VALUE"""),0.0)</f>
        <v>0</v>
      </c>
      <c r="T100" s="54">
        <f>IFERROR(__xludf.DUMMYFUNCTION("""COMPUTED_VALUE"""),0.0)</f>
        <v>0</v>
      </c>
      <c r="U100" s="54">
        <f>IFERROR(__xludf.DUMMYFUNCTION("""COMPUTED_VALUE"""),0.0)</f>
        <v>0</v>
      </c>
      <c r="V100" s="54">
        <f>IFERROR(__xludf.DUMMYFUNCTION("""COMPUTED_VALUE"""),15.0)</f>
        <v>15</v>
      </c>
      <c r="W100" s="56" t="str">
        <f>IFERROR(__xludf.DUMMYFUNCTION("""COMPUTED_VALUE"""),"Regional Barranquilla")</f>
        <v>Regional Barranquilla</v>
      </c>
      <c r="X100" s="57" t="str">
        <f>IFERROR(__xludf.DUMMYFUNCTION("""COMPUTED_VALUE"""),"Jorge Roa")</f>
        <v>Jorge Roa</v>
      </c>
      <c r="Y100" s="47" t="str">
        <f>IFERROR(__xludf.DUMMYFUNCTION("""COMPUTED_VALUE"""),"Director Regional")</f>
        <v>Director Regional</v>
      </c>
      <c r="Z100" s="57" t="str">
        <f>IFERROR(__xludf.DUMMYFUNCTION("""COMPUTED_VALUE"""),"jorge.roa@aunap.gov.co")</f>
        <v>jorge.roa@aunap.gov.co</v>
      </c>
      <c r="AA100" s="47" t="str">
        <f>IFERROR(__xludf.DUMMYFUNCTION("""COMPUTED_VALUE"""),"Humanos, Físicos, Financieros, Tecnológicos")</f>
        <v>Humanos, Físicos, Financieros, Tecnológicos</v>
      </c>
      <c r="AB100" s="47" t="str">
        <f>IFERROR(__xludf.DUMMYFUNCTION("""COMPUTED_VALUE"""),"No asociado")</f>
        <v>No asociado</v>
      </c>
      <c r="AC100"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00" s="47" t="str">
        <f>IFERROR(__xludf.DUMMYFUNCTION("""COMPUTED_VALUE"""),"Gestión con valores para resultados")</f>
        <v>Gestión con valores para resultados</v>
      </c>
      <c r="AE100" s="47" t="str">
        <f>IFERROR(__xludf.DUMMYFUNCTION("""COMPUTED_VALUE"""),"Fortalecimiento Organizacional y Simplificación de Procesos")</f>
        <v>Fortalecimiento Organizacional y Simplificación de Procesos</v>
      </c>
      <c r="AF100" s="47" t="str">
        <f>IFERROR(__xludf.DUMMYFUNCTION("""COMPUTED_VALUE"""),"12. Producción y consumo responsable")</f>
        <v>12. Producción y consumo responsable</v>
      </c>
      <c r="AG100" s="58">
        <f>IFERROR(__xludf.DUMMYFUNCTION("""COMPUTED_VALUE"""),21.0)</f>
        <v>21</v>
      </c>
      <c r="AH100" s="59" t="str">
        <f>IFERROR(__xludf.DUMMYFUNCTION("""COMPUTED_VALUE"""),"Se logro realizar 21 censo de cultivos en diferentes municipios y corregimientos cumpliendo la meta establecida")</f>
        <v>Se logro realizar 21 censo de cultivos en diferentes municipios y corregimientos cumpliendo la meta establecida</v>
      </c>
      <c r="AI100" s="77" t="str">
        <f>IFERROR(__xludf.DUMMYFUNCTION("""COMPUTED_VALUE"""),"https://docs.google.com/spreadsheets/d/1CsljpP6Q6Hw-DVUObgzKEsxG1GcaEzjY/edit?usp=sharing&amp;ouid=108762493780518575046&amp;rtpof=true&amp;sd=true")</f>
        <v>https://docs.google.com/spreadsheets/d/1CsljpP6Q6Hw-DVUObgzKEsxG1GcaEzjY/edit?usp=sharing&amp;ouid=108762493780518575046&amp;rtpof=true&amp;sd=true</v>
      </c>
      <c r="AJ100" s="59">
        <f>IFERROR(__xludf.DUMMYFUNCTION("""COMPUTED_VALUE"""),21.0)</f>
        <v>21</v>
      </c>
      <c r="AK100" s="59" t="str">
        <f>IFERROR(__xludf.DUMMYFUNCTION("""COMPUTED_VALUE"""),"Se dio cumplimiento a la meta , superando  lo programado para la vigencia del año")</f>
        <v>Se dio cumplimiento a la meta , superando  lo programado para la vigencia del año</v>
      </c>
      <c r="AL100" s="59"/>
      <c r="AM100" s="60"/>
      <c r="AN100" s="61" t="str">
        <f>IFERROR(IF((AO100+1)&lt;2,Alertas!$B$2&amp;TEXT(AO100,"0%")&amp;Alertas!$D$2, IF((AO100+1)=2,Alertas!$B$3,IF((AO100+1)&gt;2,Alertas!$B$4&amp;TEXT(AO100,"0%")&amp;Alertas!$D$4,AO100+1))),"Sin meta para el segundo trimestre")</f>
        <v>La ejecución de la meta registrada se encuentra por encima de la meta programada en la formulación del plan de acción para el segundo trimestre, su porcentaje de cumplimiento es 2200%,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00" s="62">
        <f t="shared" si="2"/>
        <v>22</v>
      </c>
      <c r="AP100" s="61" t="str">
        <f t="shared" si="3"/>
        <v>La ejecución de la meta registrada se encuentra por encima de la meta programada en la formulación del plan de acción para el segundo trimestre, su porcentaje de cumplimiento es 2200%,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00" s="63"/>
      <c r="AR100" s="64"/>
      <c r="AS100" s="65"/>
      <c r="AT100" s="65"/>
      <c r="AU100" s="66"/>
      <c r="AV100" s="67"/>
      <c r="AW100" s="68"/>
      <c r="AX100" s="63"/>
      <c r="AY100" s="64"/>
      <c r="AZ100" s="69"/>
      <c r="BA100" s="65"/>
      <c r="BB100" s="70"/>
      <c r="BC100" s="71"/>
      <c r="BD100" s="72"/>
      <c r="BE100" s="73"/>
      <c r="BF100" s="64"/>
      <c r="BG100" s="69"/>
      <c r="BH100" s="65"/>
      <c r="BI100" s="66"/>
      <c r="BJ100" s="71"/>
      <c r="BK100" s="72"/>
      <c r="BL100" s="74"/>
      <c r="BN100" s="5" t="str">
        <f t="shared" si="23"/>
        <v>1</v>
      </c>
      <c r="BP100" s="5"/>
    </row>
    <row r="101" ht="37.5" customHeight="1">
      <c r="A101" s="45"/>
      <c r="B101" s="46">
        <f>IFERROR(__xludf.DUMMYFUNCTION("""COMPUTED_VALUE"""),99.0)</f>
        <v>99</v>
      </c>
      <c r="C101" s="47" t="str">
        <f>IFERROR(__xludf.DUMMYFUNCTION("""COMPUTED_VALUE"""),"Gestión de la administración y fomento")</f>
        <v>Gestión de la administración y fomento</v>
      </c>
      <c r="D101" s="48" t="str">
        <f>IFERROR(__xludf.DUMMYFUNCTION("""COMPUTED_VALUE"""),"Regional Barranquilla")</f>
        <v>Regional Barranquilla</v>
      </c>
      <c r="E101" s="48" t="str">
        <f>IFERROR(__xludf.DUMMYFUNCTION("""COMPUTED_VALUE"""),"Fortalecimiento de la sostenibilidad del sector pesquero y de la acuicultura en el territorio nacional")</f>
        <v>Fortalecimiento de la sostenibilidad del sector pesquero y de la acuicultura en el territorio nacional</v>
      </c>
      <c r="F101" s="49">
        <f>IFERROR(__xludf.DUMMYFUNCTION("""COMPUTED_VALUE"""),2.01901100028E12)</f>
        <v>2019011000280</v>
      </c>
      <c r="G101" s="50" t="str">
        <f>IFERROR(__xludf.DUMMYFUNCTION("""COMPUTED_VALUE"""),"Sostenibilidad")</f>
        <v>Sostenibilidad</v>
      </c>
      <c r="H101" s="48" t="str">
        <f>IFERROR(__xludf.DUMMYFUNCTION("""COMPUTED_VALUE"""),"Mejorar las prácticas de pesca y de acuicultura.")</f>
        <v>Mejorar las prácticas de pesca y de acuicultura.</v>
      </c>
      <c r="I101" s="48" t="str">
        <f>IFERROR(__xludf.DUMMYFUNCTION("""COMPUTED_VALUE"""),"Servicios de apoyo al fomento de la pesca y la acuicultura")</f>
        <v>Servicios de apoyo al fomento de la pesca y la acuicultura</v>
      </c>
      <c r="J101" s="48" t="str">
        <f>IFERROR(__xludf.DUMMYFUNCTION("""COMPUTED_VALUE"""),"Generar acciones de fomento para la pesca, la acuicultura y sus actividades conexas.")</f>
        <v>Generar acciones de fomento para la pesca, la acuicultura y sus actividades conexas.</v>
      </c>
      <c r="K101" s="51" t="str">
        <f>IFERROR(__xludf.DUMMYFUNCTION("""COMPUTED_VALUE"""),"Gestión del área")</f>
        <v>Gestión del área</v>
      </c>
      <c r="L101" s="51" t="str">
        <f>IFERROR(__xludf.DUMMYFUNCTION("""COMPUTED_VALUE"""),"Eficacia")</f>
        <v>Eficacia</v>
      </c>
      <c r="M101" s="51" t="str">
        <f>IFERROR(__xludf.DUMMYFUNCTION("""COMPUTED_VALUE"""),"Número")</f>
        <v>Número</v>
      </c>
      <c r="N101" s="52" t="str">
        <f>IFERROR(__xludf.DUMMYFUNCTION("""COMPUTED_VALUE"""),"Número de acuerdos pesqueros gestionados/Número de acuerdos pesqueros programados para ser gestionados")</f>
        <v>Número de acuerdos pesqueros gestionados/Número de acuerdos pesqueros programados para ser gestionados</v>
      </c>
      <c r="O101" s="53"/>
      <c r="P101" s="54">
        <f>IFERROR(__xludf.DUMMYFUNCTION("""COMPUTED_VALUE"""),3.0)</f>
        <v>3</v>
      </c>
      <c r="Q101" s="55" t="str">
        <f>IFERROR(__xludf.DUMMYFUNCTION("""COMPUTED_VALUE"""),"Impulsar la construccion y/o actuaizar e implementar los acuerdo pesqueros en algunos sistemas hidricos de")</f>
        <v>Impulsar la construccion y/o actuaizar e implementar los acuerdo pesqueros en algunos sistemas hidricos de</v>
      </c>
      <c r="R101" s="14" t="str">
        <f>IFERROR(__xludf.DUMMYFUNCTION("""COMPUTED_VALUE"""),"Anual")</f>
        <v>Anual</v>
      </c>
      <c r="S101" s="54">
        <f>IFERROR(__xludf.DUMMYFUNCTION("""COMPUTED_VALUE"""),0.0)</f>
        <v>0</v>
      </c>
      <c r="T101" s="54">
        <f>IFERROR(__xludf.DUMMYFUNCTION("""COMPUTED_VALUE"""),0.0)</f>
        <v>0</v>
      </c>
      <c r="U101" s="54">
        <f>IFERROR(__xludf.DUMMYFUNCTION("""COMPUTED_VALUE"""),0.0)</f>
        <v>0</v>
      </c>
      <c r="V101" s="54">
        <f>IFERROR(__xludf.DUMMYFUNCTION("""COMPUTED_VALUE"""),3.0)</f>
        <v>3</v>
      </c>
      <c r="W101" s="56" t="str">
        <f>IFERROR(__xludf.DUMMYFUNCTION("""COMPUTED_VALUE"""),"Regional Barranquilla")</f>
        <v>Regional Barranquilla</v>
      </c>
      <c r="X101" s="57" t="str">
        <f>IFERROR(__xludf.DUMMYFUNCTION("""COMPUTED_VALUE"""),"Jorge Roa")</f>
        <v>Jorge Roa</v>
      </c>
      <c r="Y101" s="47" t="str">
        <f>IFERROR(__xludf.DUMMYFUNCTION("""COMPUTED_VALUE"""),"Director Regional")</f>
        <v>Director Regional</v>
      </c>
      <c r="Z101" s="57" t="str">
        <f>IFERROR(__xludf.DUMMYFUNCTION("""COMPUTED_VALUE"""),"jorge.roa@aunap.gov.co")</f>
        <v>jorge.roa@aunap.gov.co</v>
      </c>
      <c r="AA101" s="47" t="str">
        <f>IFERROR(__xludf.DUMMYFUNCTION("""COMPUTED_VALUE"""),"Humanos, Físicos, Financieros, Tecnológicos")</f>
        <v>Humanos, Físicos, Financieros, Tecnológicos</v>
      </c>
      <c r="AB101" s="47" t="str">
        <f>IFERROR(__xludf.DUMMYFUNCTION("""COMPUTED_VALUE"""),"No asociado")</f>
        <v>No asociado</v>
      </c>
      <c r="AC101"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01" s="47" t="str">
        <f>IFERROR(__xludf.DUMMYFUNCTION("""COMPUTED_VALUE"""),"Gestión con valores para resultados")</f>
        <v>Gestión con valores para resultados</v>
      </c>
      <c r="AE101" s="47" t="str">
        <f>IFERROR(__xludf.DUMMYFUNCTION("""COMPUTED_VALUE"""),"Fortalecimiento Organizacional y Simplificación de Procesos")</f>
        <v>Fortalecimiento Organizacional y Simplificación de Procesos</v>
      </c>
      <c r="AF101" s="47" t="str">
        <f>IFERROR(__xludf.DUMMYFUNCTION("""COMPUTED_VALUE"""),"12. Producción y consumo responsable")</f>
        <v>12. Producción y consumo responsable</v>
      </c>
      <c r="AG101" s="58">
        <f>IFERROR(__xludf.DUMMYFUNCTION("""COMPUTED_VALUE"""),3.0)</f>
        <v>3</v>
      </c>
      <c r="AH101" s="59" t="str">
        <f>IFERROR(__xludf.DUMMYFUNCTION("""COMPUTED_VALUE"""),"Se realizo acciones para impulsar  la ordenacion pesquera de algunas zonas del la region del Caribe")</f>
        <v>Se realizo acciones para impulsar  la ordenacion pesquera de algunas zonas del la region del Caribe</v>
      </c>
      <c r="AI101" s="77" t="str">
        <f>IFERROR(__xludf.DUMMYFUNCTION("""COMPUTED_VALUE"""),"https://drive.google.com/drive/folders/1CnNZ344YtqQG73OUhAfmgHxCXxebakTg")</f>
        <v>https://drive.google.com/drive/folders/1CnNZ344YtqQG73OUhAfmgHxCXxebakTg</v>
      </c>
      <c r="AJ101" s="59">
        <f>IFERROR(__xludf.DUMMYFUNCTION("""COMPUTED_VALUE"""),3.0)</f>
        <v>3</v>
      </c>
      <c r="AK101" s="59" t="str">
        <f>IFERROR(__xludf.DUMMYFUNCTION("""COMPUTED_VALUE"""),"Se cumplio con la meta programada ")</f>
        <v>Se cumplio con la meta programada </v>
      </c>
      <c r="AL101" s="59"/>
      <c r="AM101" s="60"/>
      <c r="AN101" s="61" t="str">
        <f>IFERROR(IF((AO101+1)&lt;2,Alertas!$B$2&amp;TEXT(AO101,"0%")&amp;Alertas!$D$2, IF((AO101+1)=2,Alertas!$B$3,IF((AO101+1)&gt;2,Alertas!$B$4&amp;TEXT(AO101,"0%")&amp;Alertas!$D$4,AO101+1))),"Sin meta para el segundo trimestre")</f>
        <v>La ejecución de la meta registrada se encuentra por encima de la meta programada en la formulación del plan de acción para el segundo trimestre, su porcentaje de cumplimiento es 400%,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01" s="62">
        <f t="shared" si="2"/>
        <v>4</v>
      </c>
      <c r="AP101" s="61" t="str">
        <f t="shared" si="3"/>
        <v>La ejecución de la meta registrada se encuentra por encima de la meta programada en la formulación del plan de acción para el segundo trimestre, su porcentaje de cumplimiento es 400%,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01" s="63"/>
      <c r="AR101" s="64"/>
      <c r="AS101" s="65"/>
      <c r="AT101" s="65"/>
      <c r="AU101" s="66"/>
      <c r="AV101" s="67"/>
      <c r="AW101" s="68"/>
      <c r="AX101" s="63"/>
      <c r="AY101" s="64"/>
      <c r="AZ101" s="69"/>
      <c r="BA101" s="65"/>
      <c r="BB101" s="70"/>
      <c r="BC101" s="71"/>
      <c r="BD101" s="72"/>
      <c r="BE101" s="73"/>
      <c r="BF101" s="64"/>
      <c r="BG101" s="69"/>
      <c r="BH101" s="65"/>
      <c r="BI101" s="66"/>
      <c r="BJ101" s="71"/>
      <c r="BK101" s="72"/>
      <c r="BL101" s="74"/>
      <c r="BN101" s="5" t="str">
        <f t="shared" si="23"/>
        <v>1</v>
      </c>
      <c r="BP101" s="5"/>
    </row>
    <row r="102" ht="37.5" customHeight="1">
      <c r="A102" s="45"/>
      <c r="B102" s="46">
        <f>IFERROR(__xludf.DUMMYFUNCTION("""COMPUTED_VALUE"""),100.0)</f>
        <v>100</v>
      </c>
      <c r="C102" s="47" t="str">
        <f>IFERROR(__xludf.DUMMYFUNCTION("""COMPUTED_VALUE"""),"Gestión de la administración y fomento")</f>
        <v>Gestión de la administración y fomento</v>
      </c>
      <c r="D102" s="48" t="str">
        <f>IFERROR(__xludf.DUMMYFUNCTION("""COMPUTED_VALUE"""),"Regional Barranquilla")</f>
        <v>Regional Barranquilla</v>
      </c>
      <c r="E102" s="48" t="str">
        <f>IFERROR(__xludf.DUMMYFUNCTION("""COMPUTED_VALUE"""),"Fortalecimiento de la sostenibilidad del sector pesquero y de la acuicultura en el territorio nacional")</f>
        <v>Fortalecimiento de la sostenibilidad del sector pesquero y de la acuicultura en el territorio nacional</v>
      </c>
      <c r="F102" s="49">
        <f>IFERROR(__xludf.DUMMYFUNCTION("""COMPUTED_VALUE"""),2.01901100028E12)</f>
        <v>2019011000280</v>
      </c>
      <c r="G102" s="50" t="str">
        <f>IFERROR(__xludf.DUMMYFUNCTION("""COMPUTED_VALUE"""),"Sostenibilidad")</f>
        <v>Sostenibilidad</v>
      </c>
      <c r="H102" s="48" t="str">
        <f>IFERROR(__xludf.DUMMYFUNCTION("""COMPUTED_VALUE"""),"Mejorar las prácticas de pesca y de acuicultura.")</f>
        <v>Mejorar las prácticas de pesca y de acuicultura.</v>
      </c>
      <c r="I102" s="48" t="str">
        <f>IFERROR(__xludf.DUMMYFUNCTION("""COMPUTED_VALUE"""),"Servicios de apoyo al fomento de la pesca y la acuicultura")</f>
        <v>Servicios de apoyo al fomento de la pesca y la acuicultura</v>
      </c>
      <c r="J102" s="48" t="str">
        <f>IFERROR(__xludf.DUMMYFUNCTION("""COMPUTED_VALUE"""),"Generar acciones de fomento para la pesca, la acuicultura y sus actividades conexas.")</f>
        <v>Generar acciones de fomento para la pesca, la acuicultura y sus actividades conexas.</v>
      </c>
      <c r="K102" s="51" t="str">
        <f>IFERROR(__xludf.DUMMYFUNCTION("""COMPUTED_VALUE"""),"Producto")</f>
        <v>Producto</v>
      </c>
      <c r="L102" s="51" t="str">
        <f>IFERROR(__xludf.DUMMYFUNCTION("""COMPUTED_VALUE"""),"Eficacia")</f>
        <v>Eficacia</v>
      </c>
      <c r="M102" s="51" t="str">
        <f>IFERROR(__xludf.DUMMYFUNCTION("""COMPUTED_VALUE"""),"Número")</f>
        <v>Número</v>
      </c>
      <c r="N102" s="52" t="str">
        <f>IFERROR(__xludf.DUMMYFUNCTION("""COMPUTED_VALUE"""),"Número de vallas informativas en relación a normatividad de pesca y acuicultura en puertos, muelles de desembarques marinas y áreas de pesca implementadas/Número de vallas programadas para informativar en relación a normatividad de pesca y acuicultura en "&amp;"puertos, muelles de desembarques marinas y áreas de pesca implementadas.")</f>
        <v>Número de vallas informativas en relación a normatividad de pesca y acuicultura en puertos, muelles de desembarques marinas y áreas de pesca implementadas/Número de vallas programadas para informativar en relación a normatividad de pesca y acuicultura en puertos, muelles de desembarques marinas y áreas de pesca implementadas.</v>
      </c>
      <c r="O102" s="53"/>
      <c r="P102" s="54">
        <f>IFERROR(__xludf.DUMMYFUNCTION("""COMPUTED_VALUE"""),1.0)</f>
        <v>1</v>
      </c>
      <c r="Q102" s="55" t="str">
        <f>IFERROR(__xludf.DUMMYFUNCTION("""COMPUTED_VALUE"""),"Implementar vayas informativas en relacion a normatividad de pesca y acuicultra en puertos, mulles de desembarques marinas y areas de pesca")</f>
        <v>Implementar vayas informativas en relacion a normatividad de pesca y acuicultra en puertos, mulles de desembarques marinas y areas de pesca</v>
      </c>
      <c r="R102" s="14" t="str">
        <f>IFERROR(__xludf.DUMMYFUNCTION("""COMPUTED_VALUE"""),"Trimestral")</f>
        <v>Trimestral</v>
      </c>
      <c r="S102" s="54">
        <f>IFERROR(__xludf.DUMMYFUNCTION("""COMPUTED_VALUE"""),1.0)</f>
        <v>1</v>
      </c>
      <c r="T102" s="54">
        <f>IFERROR(__xludf.DUMMYFUNCTION("""COMPUTED_VALUE"""),0.0)</f>
        <v>0</v>
      </c>
      <c r="U102" s="54">
        <f>IFERROR(__xludf.DUMMYFUNCTION("""COMPUTED_VALUE"""),0.0)</f>
        <v>0</v>
      </c>
      <c r="V102" s="54">
        <f>IFERROR(__xludf.DUMMYFUNCTION("""COMPUTED_VALUE"""),0.0)</f>
        <v>0</v>
      </c>
      <c r="W102" s="56" t="str">
        <f>IFERROR(__xludf.DUMMYFUNCTION("""COMPUTED_VALUE"""),"Regional Barranquilla")</f>
        <v>Regional Barranquilla</v>
      </c>
      <c r="X102" s="57" t="str">
        <f>IFERROR(__xludf.DUMMYFUNCTION("""COMPUTED_VALUE"""),"Jorge Roa")</f>
        <v>Jorge Roa</v>
      </c>
      <c r="Y102" s="47" t="str">
        <f>IFERROR(__xludf.DUMMYFUNCTION("""COMPUTED_VALUE"""),"Director Regional")</f>
        <v>Director Regional</v>
      </c>
      <c r="Z102" s="57" t="str">
        <f>IFERROR(__xludf.DUMMYFUNCTION("""COMPUTED_VALUE"""),"jorge.roa@aunap.gov.co")</f>
        <v>jorge.roa@aunap.gov.co</v>
      </c>
      <c r="AA102" s="47" t="str">
        <f>IFERROR(__xludf.DUMMYFUNCTION("""COMPUTED_VALUE"""),"Humanos, Físicos, Financieros, Tecnológicos")</f>
        <v>Humanos, Físicos, Financieros, Tecnológicos</v>
      </c>
      <c r="AB102" s="47" t="str">
        <f>IFERROR(__xludf.DUMMYFUNCTION("""COMPUTED_VALUE"""),"No asociado")</f>
        <v>No asociado</v>
      </c>
      <c r="AC102"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02" s="47" t="str">
        <f>IFERROR(__xludf.DUMMYFUNCTION("""COMPUTED_VALUE"""),"Gestión con valores para resultados")</f>
        <v>Gestión con valores para resultados</v>
      </c>
      <c r="AE102" s="47" t="str">
        <f>IFERROR(__xludf.DUMMYFUNCTION("""COMPUTED_VALUE"""),"Fortalecimiento Organizacional y Simplificación de Procesos")</f>
        <v>Fortalecimiento Organizacional y Simplificación de Procesos</v>
      </c>
      <c r="AF102" s="47" t="str">
        <f>IFERROR(__xludf.DUMMYFUNCTION("""COMPUTED_VALUE"""),"12. Producción y consumo responsable")</f>
        <v>12. Producción y consumo responsable</v>
      </c>
      <c r="AG102" s="58">
        <f>IFERROR(__xludf.DUMMYFUNCTION("""COMPUTED_VALUE"""),0.0)</f>
        <v>0</v>
      </c>
      <c r="AH102" s="59" t="str">
        <f>IFERROR(__xludf.DUMMYFUNCTION("""COMPUTED_VALUE"""),"No hay meta para este trimestre")</f>
        <v>No hay meta para este trimestre</v>
      </c>
      <c r="AI102" s="59" t="str">
        <f>IFERROR(__xludf.DUMMYFUNCTION("""COMPUTED_VALUE"""),"-")</f>
        <v>-</v>
      </c>
      <c r="AJ102" s="59">
        <f>IFERROR(__xludf.DUMMYFUNCTION("""COMPUTED_VALUE"""),1.0)</f>
        <v>1</v>
      </c>
      <c r="AK102" s="59" t="str">
        <f>IFERROR(__xludf.DUMMYFUNCTION("""COMPUTED_VALUE"""),"Se cumpplio la meta al primer trimestre del año")</f>
        <v>Se cumpplio la meta al primer trimestre del año</v>
      </c>
      <c r="AL102" s="59"/>
      <c r="AM102" s="60"/>
      <c r="AN102" s="61" t="str">
        <f>IFERROR(IF((AO102+1)&lt;2,Alertas!$B$2&amp;TEXT(AO102,"0%")&amp;Alertas!$D$2, IF((AO102+1)=2,Alertas!$B$3,IF((AO102+1)&gt;2,Alertas!$B$4&amp;TEXT(AO102,"0%")&amp;Alertas!$D$4,AO102+1))),"Sin meta para el segundo trimestre")</f>
        <v>Sin meta para el segundo trimestre</v>
      </c>
      <c r="AO102" s="62" t="str">
        <f t="shared" si="2"/>
        <v>-</v>
      </c>
      <c r="AP102" s="61" t="str">
        <f t="shared" si="3"/>
        <v>Sin meta para el segundo trimestre.</v>
      </c>
      <c r="AQ102" s="63"/>
      <c r="AR102" s="64"/>
      <c r="AS102" s="65"/>
      <c r="AT102" s="65"/>
      <c r="AU102" s="66"/>
      <c r="AV102" s="67"/>
      <c r="AW102" s="68"/>
      <c r="AX102" s="63"/>
      <c r="AY102" s="64"/>
      <c r="AZ102" s="69"/>
      <c r="BA102" s="65"/>
      <c r="BB102" s="70"/>
      <c r="BC102" s="71"/>
      <c r="BD102" s="72"/>
      <c r="BE102" s="73"/>
      <c r="BF102" s="64"/>
      <c r="BG102" s="69"/>
      <c r="BH102" s="65"/>
      <c r="BI102" s="66"/>
      <c r="BJ102" s="71"/>
      <c r="BK102" s="72"/>
      <c r="BL102" s="74"/>
      <c r="BN102" s="5" t="str">
        <f t="shared" si="23"/>
        <v>-</v>
      </c>
      <c r="BP102" s="5"/>
    </row>
    <row r="103" ht="37.5" customHeight="1">
      <c r="A103" s="45"/>
      <c r="B103" s="46">
        <f>IFERROR(__xludf.DUMMYFUNCTION("""COMPUTED_VALUE"""),101.0)</f>
        <v>101</v>
      </c>
      <c r="C103" s="47" t="str">
        <f>IFERROR(__xludf.DUMMYFUNCTION("""COMPUTED_VALUE"""),"Gestión de la administración y fomento")</f>
        <v>Gestión de la administración y fomento</v>
      </c>
      <c r="D103" s="48" t="str">
        <f>IFERROR(__xludf.DUMMYFUNCTION("""COMPUTED_VALUE"""),"Regional Barranquilla")</f>
        <v>Regional Barranquilla</v>
      </c>
      <c r="E103" s="48" t="str">
        <f>IFERROR(__xludf.DUMMYFUNCTION("""COMPUTED_VALUE"""),"Fortalecimiento de la sostenibilidad del sector pesquero y de la acuicultura en el territorio nacional")</f>
        <v>Fortalecimiento de la sostenibilidad del sector pesquero y de la acuicultura en el territorio nacional</v>
      </c>
      <c r="F103" s="49">
        <f>IFERROR(__xludf.DUMMYFUNCTION("""COMPUTED_VALUE"""),2.01901100028E12)</f>
        <v>2019011000280</v>
      </c>
      <c r="G103" s="50" t="str">
        <f>IFERROR(__xludf.DUMMYFUNCTION("""COMPUTED_VALUE"""),"Sostenibilidad")</f>
        <v>Sostenibilidad</v>
      </c>
      <c r="H103" s="48" t="str">
        <f>IFERROR(__xludf.DUMMYFUNCTION("""COMPUTED_VALUE"""),"Mejorar la explotación de los recursos pesqueros y de la acuicultura.")</f>
        <v>Mejorar la explotación de los recursos pesqueros y de la acuicultura.</v>
      </c>
      <c r="I103" s="48" t="str">
        <f>IFERROR(__xludf.DUMMYFUNCTION("""COMPUTED_VALUE"""),"Servicios de administración de los recurso pesqueros y de la acuicultura")</f>
        <v>Servicios de administración de los recurso pesqueros y de la acuicultura</v>
      </c>
      <c r="J103" s="48" t="str">
        <f>IFERROR(__xludf.DUMMYFUNCTION("""COMPUTED_VALUE"""),"Realizar acciones de divulgación y formalización de la actividad pesquera y de la acuicultura.")</f>
        <v>Realizar acciones de divulgación y formalización de la actividad pesquera y de la acuicultura.</v>
      </c>
      <c r="K103" s="51" t="str">
        <f>IFERROR(__xludf.DUMMYFUNCTION("""COMPUTED_VALUE"""),"Gestión")</f>
        <v>Gestión</v>
      </c>
      <c r="L103" s="51" t="str">
        <f>IFERROR(__xludf.DUMMYFUNCTION("""COMPUTED_VALUE"""),"Eficacia")</f>
        <v>Eficacia</v>
      </c>
      <c r="M103" s="51" t="str">
        <f>IFERROR(__xludf.DUMMYFUNCTION("""COMPUTED_VALUE"""),"Número")</f>
        <v>Número</v>
      </c>
      <c r="N103" s="52" t="str">
        <f>IFERROR(__xludf.DUMMYFUNCTION("""COMPUTED_VALUE"""),"Registro de desembarcos")</f>
        <v>Registro de desembarcos</v>
      </c>
      <c r="O103" s="53"/>
      <c r="P103" s="54">
        <f>IFERROR(__xludf.DUMMYFUNCTION("""COMPUTED_VALUE"""),1.0)</f>
        <v>1</v>
      </c>
      <c r="Q103" s="55" t="str">
        <f>IFERROR(__xludf.DUMMYFUNCTION("""COMPUTED_VALUE"""),"Realizar el registro de desembarco de algunas de las asociaciones pesquera que estan dentro de la jurisdiccion de la Regional Barranquilla")</f>
        <v>Realizar el registro de desembarco de algunas de las asociaciones pesquera que estan dentro de la jurisdiccion de la Regional Barranquilla</v>
      </c>
      <c r="R103" s="14" t="str">
        <f>IFERROR(__xludf.DUMMYFUNCTION("""COMPUTED_VALUE"""),"Trimestral")</f>
        <v>Trimestral</v>
      </c>
      <c r="S103" s="54">
        <f>IFERROR(__xludf.DUMMYFUNCTION("""COMPUTED_VALUE"""),1.0)</f>
        <v>1</v>
      </c>
      <c r="T103" s="54">
        <f>IFERROR(__xludf.DUMMYFUNCTION("""COMPUTED_VALUE"""),1.0)</f>
        <v>1</v>
      </c>
      <c r="U103" s="54">
        <f>IFERROR(__xludf.DUMMYFUNCTION("""COMPUTED_VALUE"""),1.0)</f>
        <v>1</v>
      </c>
      <c r="V103" s="54">
        <f>IFERROR(__xludf.DUMMYFUNCTION("""COMPUTED_VALUE"""),1.0)</f>
        <v>1</v>
      </c>
      <c r="W103" s="56" t="str">
        <f>IFERROR(__xludf.DUMMYFUNCTION("""COMPUTED_VALUE"""),"Regional Barranquilla")</f>
        <v>Regional Barranquilla</v>
      </c>
      <c r="X103" s="57" t="str">
        <f>IFERROR(__xludf.DUMMYFUNCTION("""COMPUTED_VALUE"""),"Jorge Roa")</f>
        <v>Jorge Roa</v>
      </c>
      <c r="Y103" s="47" t="str">
        <f>IFERROR(__xludf.DUMMYFUNCTION("""COMPUTED_VALUE"""),"Director Regional")</f>
        <v>Director Regional</v>
      </c>
      <c r="Z103" s="57" t="str">
        <f>IFERROR(__xludf.DUMMYFUNCTION("""COMPUTED_VALUE"""),"jorge.roa@aunap.gov.co")</f>
        <v>jorge.roa@aunap.gov.co</v>
      </c>
      <c r="AA103" s="47" t="str">
        <f>IFERROR(__xludf.DUMMYFUNCTION("""COMPUTED_VALUE"""),"Humanos, Físicos, Financieros, Tecnológicos")</f>
        <v>Humanos, Físicos, Financieros, Tecnológicos</v>
      </c>
      <c r="AB103" s="47" t="str">
        <f>IFERROR(__xludf.DUMMYFUNCTION("""COMPUTED_VALUE"""),"No asociado")</f>
        <v>No asociado</v>
      </c>
      <c r="AC103"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03" s="47" t="str">
        <f>IFERROR(__xludf.DUMMYFUNCTION("""COMPUTED_VALUE"""),"Gestión con valores para resultados")</f>
        <v>Gestión con valores para resultados</v>
      </c>
      <c r="AE103" s="47" t="str">
        <f>IFERROR(__xludf.DUMMYFUNCTION("""COMPUTED_VALUE"""),"Fortalecimiento Organizacional y Simplificación de Procesos")</f>
        <v>Fortalecimiento Organizacional y Simplificación de Procesos</v>
      </c>
      <c r="AF103" s="47" t="str">
        <f>IFERROR(__xludf.DUMMYFUNCTION("""COMPUTED_VALUE"""),"12. Producción y consumo responsable")</f>
        <v>12. Producción y consumo responsable</v>
      </c>
      <c r="AG103" s="80">
        <f>IFERROR(__xludf.DUMMYFUNCTION("""COMPUTED_VALUE"""),1.0)</f>
        <v>1</v>
      </c>
      <c r="AH103" s="59" t="str">
        <f>IFERROR(__xludf.DUMMYFUNCTION("""COMPUTED_VALUE"""),"se realizaron los registros de desembarcos estipulados")</f>
        <v>se realizaron los registros de desembarcos estipulados</v>
      </c>
      <c r="AI103" s="77" t="str">
        <f>IFERROR(__xludf.DUMMYFUNCTION("""COMPUTED_VALUE"""),"https://drive.google.com/drive/folders/1TkrPJzuEBSS01ZeFlFxjwVSmrTsn7-HC")</f>
        <v>https://drive.google.com/drive/folders/1TkrPJzuEBSS01ZeFlFxjwVSmrTsn7-HC</v>
      </c>
      <c r="AJ103" s="59">
        <f>IFERROR(__xludf.DUMMYFUNCTION("""COMPUTED_VALUE"""),1.0)</f>
        <v>1</v>
      </c>
      <c r="AK103" s="59" t="str">
        <f>IFERROR(__xludf.DUMMYFUNCTION("""COMPUTED_VALUE"""),"se dio cumplimiento al 100% de las desembarcos revisados ")</f>
        <v>se dio cumplimiento al 100% de las desembarcos revisados </v>
      </c>
      <c r="AL103" s="59"/>
      <c r="AM103" s="60"/>
      <c r="AN103" s="61" t="str">
        <f>IFERROR(IF((AO103+1)&lt;2,Alertas!$B$2&amp;TEXT(AO103,"0%")&amp;Alertas!$D$2, IF((AO103+1)=2,Alertas!$B$3,IF((AO103+1)&gt;2,Alertas!$B$4&amp;TEXT(AO103,"0%")&amp;Alertas!$D$4,AO103+1))),"Sin meta para el segundo trimestre")</f>
        <v>La ejecución de la meta registrada se encuentra acorde a la meta programada en la formulación del plan de acción para el segundo trimestre</v>
      </c>
      <c r="AO103" s="62">
        <f t="shared" si="2"/>
        <v>1</v>
      </c>
      <c r="AP103" s="61" t="str">
        <f t="shared" si="3"/>
        <v>No reporto evidencia.
La ejecución de la meta registrada se encuentra acorde a la meta programada en la formulación del plan de acción para el segundo trimestre.</v>
      </c>
      <c r="AQ103" s="63"/>
      <c r="AR103" s="64"/>
      <c r="AS103" s="65"/>
      <c r="AT103" s="65"/>
      <c r="AU103" s="66"/>
      <c r="AV103" s="67"/>
      <c r="AW103" s="68"/>
      <c r="AX103" s="63"/>
      <c r="AY103" s="64"/>
      <c r="AZ103" s="69"/>
      <c r="BA103" s="65"/>
      <c r="BB103" s="70"/>
      <c r="BC103" s="71"/>
      <c r="BD103" s="72"/>
      <c r="BE103" s="73"/>
      <c r="BF103" s="64"/>
      <c r="BG103" s="69"/>
      <c r="BH103" s="65"/>
      <c r="BI103" s="66"/>
      <c r="BJ103" s="71"/>
      <c r="BK103" s="72"/>
      <c r="BL103" s="74"/>
      <c r="BN103" s="5" t="str">
        <f t="shared" si="23"/>
        <v>0</v>
      </c>
      <c r="BP103" s="5"/>
    </row>
    <row r="104" ht="37.5" customHeight="1">
      <c r="A104" s="45"/>
      <c r="B104" s="46">
        <f>IFERROR(__xludf.DUMMYFUNCTION("""COMPUTED_VALUE"""),102.0)</f>
        <v>102</v>
      </c>
      <c r="C104" s="47" t="str">
        <f>IFERROR(__xludf.DUMMYFUNCTION("""COMPUTED_VALUE"""),"Gestión de la administración y fomento")</f>
        <v>Gestión de la administración y fomento</v>
      </c>
      <c r="D104" s="48" t="str">
        <f>IFERROR(__xludf.DUMMYFUNCTION("""COMPUTED_VALUE"""),"Regional Barranquilla")</f>
        <v>Regional Barranquilla</v>
      </c>
      <c r="E104" s="48" t="str">
        <f>IFERROR(__xludf.DUMMYFUNCTION("""COMPUTED_VALUE"""),"Fortalecimiento de la sostenibilidad del sector pesquero y de la acuicultura en el territorio nacional")</f>
        <v>Fortalecimiento de la sostenibilidad del sector pesquero y de la acuicultura en el territorio nacional</v>
      </c>
      <c r="F104" s="49">
        <f>IFERROR(__xludf.DUMMYFUNCTION("""COMPUTED_VALUE"""),2.01901100028E12)</f>
        <v>2019011000280</v>
      </c>
      <c r="G104" s="50" t="str">
        <f>IFERROR(__xludf.DUMMYFUNCTION("""COMPUTED_VALUE"""),"Sostenibilidad")</f>
        <v>Sostenibilidad</v>
      </c>
      <c r="H104" s="48" t="str">
        <f>IFERROR(__xludf.DUMMYFUNCTION("""COMPUTED_VALUE"""),"Mejorar las prácticas de pesca y de acuicultura.")</f>
        <v>Mejorar las prácticas de pesca y de acuicultura.</v>
      </c>
      <c r="I104" s="48" t="str">
        <f>IFERROR(__xludf.DUMMYFUNCTION("""COMPUTED_VALUE"""),"Servicios de apoyo al fomento de la pesca y la acuicultura")</f>
        <v>Servicios de apoyo al fomento de la pesca y la acuicultura</v>
      </c>
      <c r="J104" s="48" t="str">
        <f>IFERROR(__xludf.DUMMYFUNCTION("""COMPUTED_VALUE"""),"Generar acciones de fomento para la pesca, la acuicultura y sus actividades conexas.")</f>
        <v>Generar acciones de fomento para la pesca, la acuicultura y sus actividades conexas.</v>
      </c>
      <c r="K104" s="51" t="str">
        <f>IFERROR(__xludf.DUMMYFUNCTION("""COMPUTED_VALUE"""),"Gestión del área")</f>
        <v>Gestión del área</v>
      </c>
      <c r="L104" s="51" t="str">
        <f>IFERROR(__xludf.DUMMYFUNCTION("""COMPUTED_VALUE"""),"Eficacia")</f>
        <v>Eficacia</v>
      </c>
      <c r="M104" s="51" t="str">
        <f>IFERROR(__xludf.DUMMYFUNCTION("""COMPUTED_VALUE"""),"Número")</f>
        <v>Número</v>
      </c>
      <c r="N104" s="52" t="str">
        <f>IFERROR(__xludf.DUMMYFUNCTION("""COMPUTED_VALUE"""),"Entrega de elemento e insumos a las asociaciones")</f>
        <v>Entrega de elemento e insumos a las asociaciones</v>
      </c>
      <c r="O104" s="53"/>
      <c r="P104" s="54">
        <f>IFERROR(__xludf.DUMMYFUNCTION("""COMPUTED_VALUE"""),50.0)</f>
        <v>50</v>
      </c>
      <c r="Q104" s="55" t="str">
        <f>IFERROR(__xludf.DUMMYFUNCTION("""COMPUTED_VALUE"""),"Apoyar en la entregas de insumos y elementos a asociones de pescadores y acuicultores")</f>
        <v>Apoyar en la entregas de insumos y elementos a asociones de pescadores y acuicultores</v>
      </c>
      <c r="R104" s="14" t="str">
        <f>IFERROR(__xludf.DUMMYFUNCTION("""COMPUTED_VALUE"""),"Anual")</f>
        <v>Anual</v>
      </c>
      <c r="S104" s="54">
        <f>IFERROR(__xludf.DUMMYFUNCTION("""COMPUTED_VALUE"""),0.0)</f>
        <v>0</v>
      </c>
      <c r="T104" s="54">
        <f>IFERROR(__xludf.DUMMYFUNCTION("""COMPUTED_VALUE"""),0.0)</f>
        <v>0</v>
      </c>
      <c r="U104" s="54">
        <f>IFERROR(__xludf.DUMMYFUNCTION("""COMPUTED_VALUE"""),0.0)</f>
        <v>0</v>
      </c>
      <c r="V104" s="54">
        <f>IFERROR(__xludf.DUMMYFUNCTION("""COMPUTED_VALUE"""),50.0)</f>
        <v>50</v>
      </c>
      <c r="W104" s="56" t="str">
        <f>IFERROR(__xludf.DUMMYFUNCTION("""COMPUTED_VALUE"""),"Regional Barranquilla")</f>
        <v>Regional Barranquilla</v>
      </c>
      <c r="X104" s="57" t="str">
        <f>IFERROR(__xludf.DUMMYFUNCTION("""COMPUTED_VALUE"""),"Jorge Roa")</f>
        <v>Jorge Roa</v>
      </c>
      <c r="Y104" s="47" t="str">
        <f>IFERROR(__xludf.DUMMYFUNCTION("""COMPUTED_VALUE"""),"Director Regional")</f>
        <v>Director Regional</v>
      </c>
      <c r="Z104" s="57" t="str">
        <f>IFERROR(__xludf.DUMMYFUNCTION("""COMPUTED_VALUE"""),"jorge.roa@aunap.gov.co")</f>
        <v>jorge.roa@aunap.gov.co</v>
      </c>
      <c r="AA104" s="47" t="str">
        <f>IFERROR(__xludf.DUMMYFUNCTION("""COMPUTED_VALUE"""),"Humanos, Físicos, Financieros, Tecnológicos")</f>
        <v>Humanos, Físicos, Financieros, Tecnológicos</v>
      </c>
      <c r="AB104" s="47" t="str">
        <f>IFERROR(__xludf.DUMMYFUNCTION("""COMPUTED_VALUE"""),"No asociado")</f>
        <v>No asociado</v>
      </c>
      <c r="AC104" s="47" t="str">
        <f>IFERROR(__xludf.DUMMYFUNCTION("""COMPUTED_VALUE"""),"Llegar con actividades de pesca y acuicultura a todas las regiones")</f>
        <v>Llegar con actividades de pesca y acuicultura a todas las regiones</v>
      </c>
      <c r="AD104" s="47" t="str">
        <f>IFERROR(__xludf.DUMMYFUNCTION("""COMPUTED_VALUE"""),"Gestión con valores para resultados")</f>
        <v>Gestión con valores para resultados</v>
      </c>
      <c r="AE104" s="47" t="str">
        <f>IFERROR(__xludf.DUMMYFUNCTION("""COMPUTED_VALUE"""),"Fortalecimiento Organizacional y Simplificación de Procesos")</f>
        <v>Fortalecimiento Organizacional y Simplificación de Procesos</v>
      </c>
      <c r="AF104" s="47" t="str">
        <f>IFERROR(__xludf.DUMMYFUNCTION("""COMPUTED_VALUE"""),"12. Producción y consumo responsable")</f>
        <v>12. Producción y consumo responsable</v>
      </c>
      <c r="AG104" s="58">
        <f>IFERROR(__xludf.DUMMYFUNCTION("""COMPUTED_VALUE"""),907.0)</f>
        <v>907</v>
      </c>
      <c r="AH104" s="59" t="str">
        <f>IFERROR(__xludf.DUMMYFUNCTION("""COMPUTED_VALUE"""),"Se logro beneficiar con insumos y equipos dentro de programa de fomento a la pesca y acuicultura a 907 asoacoiaciones en las diferentes programas de la DTAF de la AUNAP en fortalecimiento actividades conexas y fortalecimeinto por parte del MADR")</f>
        <v>Se logro beneficiar con insumos y equipos dentro de programa de fomento a la pesca y acuicultura a 907 asoacoiaciones en las diferentes programas de la DTAF de la AUNAP en fortalecimiento actividades conexas y fortalecimeinto por parte del MADR</v>
      </c>
      <c r="AI104" s="77" t="str">
        <f>IFERROR(__xludf.DUMMYFUNCTION("""COMPUTED_VALUE"""),"https://drive.google.com/drive/folders/1IeYQUvQjr347Cvc5HDmVqFChPm_wu-Pz")</f>
        <v>https://drive.google.com/drive/folders/1IeYQUvQjr347Cvc5HDmVqFChPm_wu-Pz</v>
      </c>
      <c r="AJ104" s="59">
        <f>IFERROR(__xludf.DUMMYFUNCTION("""COMPUTED_VALUE"""),907.0)</f>
        <v>907</v>
      </c>
      <c r="AK104" s="59" t="str">
        <f>IFERROR(__xludf.DUMMYFUNCTION("""COMPUTED_VALUE"""),"Se dio cumplimiento a la meta establecida y se supero gracias a los apoyos de las diferentes acciones entregados por MADR ")</f>
        <v>Se dio cumplimiento a la meta establecida y se supero gracias a los apoyos de las diferentes acciones entregados por MADR </v>
      </c>
      <c r="AL104" s="59"/>
      <c r="AM104" s="60"/>
      <c r="AN104" s="61" t="str">
        <f>IFERROR(IF((AO104+1)&lt;2,Alertas!$B$2&amp;TEXT(AO104,"0%")&amp;Alertas!$D$2, IF((AO104+1)=2,Alertas!$B$3,IF((AO104+1)&gt;2,Alertas!$B$4&amp;TEXT(AO104,"0%")&amp;Alertas!$D$4,AO104+1))),"Sin meta para el segundo trimestre")</f>
        <v>La ejecución de la meta registrada se encuentra por encima de la meta programada en la formulación del plan de acción para el segundo trimestre, su porcentaje de cumplimiento es 90800%,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04" s="62">
        <f t="shared" si="2"/>
        <v>908</v>
      </c>
      <c r="AP104" s="61" t="str">
        <f t="shared" si="3"/>
        <v>La ejecución de la meta registrada se encuentra por encima de la meta programada en la formulación del plan de acción para el segundo trimestre, su porcentaje de cumplimiento es 90800%,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04" s="63"/>
      <c r="AR104" s="64"/>
      <c r="AS104" s="65"/>
      <c r="AT104" s="65"/>
      <c r="AU104" s="66"/>
      <c r="AV104" s="67"/>
      <c r="AW104" s="68"/>
      <c r="AX104" s="63"/>
      <c r="AY104" s="64"/>
      <c r="AZ104" s="69"/>
      <c r="BA104" s="65"/>
      <c r="BB104" s="70"/>
      <c r="BC104" s="71"/>
      <c r="BD104" s="72"/>
      <c r="BE104" s="73"/>
      <c r="BF104" s="64"/>
      <c r="BG104" s="69"/>
      <c r="BH104" s="65"/>
      <c r="BI104" s="66"/>
      <c r="BJ104" s="71"/>
      <c r="BK104" s="72"/>
      <c r="BL104" s="74"/>
      <c r="BN104" s="5" t="str">
        <f t="shared" si="23"/>
        <v>1</v>
      </c>
      <c r="BP104" s="5"/>
    </row>
    <row r="105" ht="37.5" customHeight="1">
      <c r="A105" s="45"/>
      <c r="B105" s="46">
        <f>IFERROR(__xludf.DUMMYFUNCTION("""COMPUTED_VALUE"""),103.0)</f>
        <v>103</v>
      </c>
      <c r="C105" s="47" t="str">
        <f>IFERROR(__xludf.DUMMYFUNCTION("""COMPUTED_VALUE"""),"Gestión de la administración y fomento")</f>
        <v>Gestión de la administración y fomento</v>
      </c>
      <c r="D105" s="48" t="str">
        <f>IFERROR(__xludf.DUMMYFUNCTION("""COMPUTED_VALUE"""),"Regional Barranquilla")</f>
        <v>Regional Barranquilla</v>
      </c>
      <c r="E105" s="48" t="str">
        <f>IFERROR(__xludf.DUMMYFUNCTION("""COMPUTED_VALUE"""),"Fortalecimiento de la sostenibilidad del sector pesquero y de la acuicultura en el territorio nacional")</f>
        <v>Fortalecimiento de la sostenibilidad del sector pesquero y de la acuicultura en el territorio nacional</v>
      </c>
      <c r="F105" s="49">
        <f>IFERROR(__xludf.DUMMYFUNCTION("""COMPUTED_VALUE"""),2.01901100028E12)</f>
        <v>2019011000280</v>
      </c>
      <c r="G105" s="50" t="str">
        <f>IFERROR(__xludf.DUMMYFUNCTION("""COMPUTED_VALUE"""),"Sostenibilidad")</f>
        <v>Sostenibilidad</v>
      </c>
      <c r="H105" s="48" t="str">
        <f>IFERROR(__xludf.DUMMYFUNCTION("""COMPUTED_VALUE"""),"Mejorar la explotación de los recursos pesqueros y de la acuicultura.")</f>
        <v>Mejorar la explotación de los recursos pesqueros y de la acuicultura.</v>
      </c>
      <c r="I105" s="48" t="str">
        <f>IFERROR(__xludf.DUMMYFUNCTION("""COMPUTED_VALUE"""),"Servicios de administración de los recurso pesqueros y de la acuicultura")</f>
        <v>Servicios de administración de los recurso pesqueros y de la acuicultura</v>
      </c>
      <c r="J105" s="48" t="str">
        <f>IFERROR(__xludf.DUMMYFUNCTION("""COMPUTED_VALUE"""),"Regular el manejo y el ejercicio de la actividad pesquera y de la acuicultura.")</f>
        <v>Regular el manejo y el ejercicio de la actividad pesquera y de la acuicultura.</v>
      </c>
      <c r="K105" s="51" t="str">
        <f>IFERROR(__xludf.DUMMYFUNCTION("""COMPUTED_VALUE"""),"Gestión del área")</f>
        <v>Gestión del área</v>
      </c>
      <c r="L105" s="51" t="str">
        <f>IFERROR(__xludf.DUMMYFUNCTION("""COMPUTED_VALUE"""),"Eficacia")</f>
        <v>Eficacia</v>
      </c>
      <c r="M105" s="51" t="str">
        <f>IFERROR(__xludf.DUMMYFUNCTION("""COMPUTED_VALUE"""),"Número")</f>
        <v>Número</v>
      </c>
      <c r="N105" s="52" t="str">
        <f>IFERROR(__xludf.DUMMYFUNCTION("""COMPUTED_VALUE"""),"Numero pescadores artesanales formalizados/ No de pescadores")</f>
        <v>Numero pescadores artesanales formalizados/ No de pescadores</v>
      </c>
      <c r="O105" s="53"/>
      <c r="P105" s="54">
        <f>IFERROR(__xludf.DUMMYFUNCTION("""COMPUTED_VALUE"""),5000.0)</f>
        <v>5000</v>
      </c>
      <c r="Q105" s="55" t="str">
        <f>IFERROR(__xludf.DUMMYFUNCTION("""COMPUTED_VALUE"""),"Expedir carnets, para el ejercicio de la actividad pesquera")</f>
        <v>Expedir carnets, para el ejercicio de la actividad pesquera</v>
      </c>
      <c r="R105" s="14" t="str">
        <f>IFERROR(__xludf.DUMMYFUNCTION("""COMPUTED_VALUE"""),"Trimestral")</f>
        <v>Trimestral</v>
      </c>
      <c r="S105" s="54">
        <f>IFERROR(__xludf.DUMMYFUNCTION("""COMPUTED_VALUE"""),700.0)</f>
        <v>700</v>
      </c>
      <c r="T105" s="54">
        <f>IFERROR(__xludf.DUMMYFUNCTION("""COMPUTED_VALUE"""),1000.0)</f>
        <v>1000</v>
      </c>
      <c r="U105" s="54">
        <f>IFERROR(__xludf.DUMMYFUNCTION("""COMPUTED_VALUE"""),1800.0)</f>
        <v>1800</v>
      </c>
      <c r="V105" s="54">
        <f>IFERROR(__xludf.DUMMYFUNCTION("""COMPUTED_VALUE"""),1500.0)</f>
        <v>1500</v>
      </c>
      <c r="W105" s="56" t="str">
        <f>IFERROR(__xludf.DUMMYFUNCTION("""COMPUTED_VALUE"""),"Regional Barranquilla")</f>
        <v>Regional Barranquilla</v>
      </c>
      <c r="X105" s="57" t="str">
        <f>IFERROR(__xludf.DUMMYFUNCTION("""COMPUTED_VALUE"""),"Jorge Roa")</f>
        <v>Jorge Roa</v>
      </c>
      <c r="Y105" s="47" t="str">
        <f>IFERROR(__xludf.DUMMYFUNCTION("""COMPUTED_VALUE"""),"Director Regional")</f>
        <v>Director Regional</v>
      </c>
      <c r="Z105" s="57" t="str">
        <f>IFERROR(__xludf.DUMMYFUNCTION("""COMPUTED_VALUE"""),"jorge.roa@aunap.gov.co")</f>
        <v>jorge.roa@aunap.gov.co</v>
      </c>
      <c r="AA105" s="47" t="str">
        <f>IFERROR(__xludf.DUMMYFUNCTION("""COMPUTED_VALUE"""),"Humanos, Físicos, Financieros, Tecnológicos")</f>
        <v>Humanos, Físicos, Financieros, Tecnológicos</v>
      </c>
      <c r="AB105" s="47" t="str">
        <f>IFERROR(__xludf.DUMMYFUNCTION("""COMPUTED_VALUE"""),"No asociado")</f>
        <v>No asociado</v>
      </c>
      <c r="AC105" s="47" t="str">
        <f>IFERROR(__xludf.DUMMYFUNCTION("""COMPUTED_VALUE"""),"Propiciar la formalización de la pesca y la acuicultura")</f>
        <v>Propiciar la formalización de la pesca y la acuicultura</v>
      </c>
      <c r="AD105" s="47" t="str">
        <f>IFERROR(__xludf.DUMMYFUNCTION("""COMPUTED_VALUE"""),"Gestión con valores para resultados")</f>
        <v>Gestión con valores para resultados</v>
      </c>
      <c r="AE105" s="47" t="str">
        <f>IFERROR(__xludf.DUMMYFUNCTION("""COMPUTED_VALUE"""),"Fortalecimiento Organizacional y Simplificación de Procesos")</f>
        <v>Fortalecimiento Organizacional y Simplificación de Procesos</v>
      </c>
      <c r="AF105" s="47" t="str">
        <f>IFERROR(__xludf.DUMMYFUNCTION("""COMPUTED_VALUE"""),"12. Producción y consumo responsable")</f>
        <v>12. Producción y consumo responsable</v>
      </c>
      <c r="AG105" s="58">
        <f>IFERROR(__xludf.DUMMYFUNCTION("""COMPUTED_VALUE"""),1028.0)</f>
        <v>1028</v>
      </c>
      <c r="AH105" s="59" t="str">
        <f>IFERROR(__xludf.DUMMYFUNCTION("""COMPUTED_VALUE"""),"Se realizo menos de los proyectado porque la meta anual se habia cumplido en el 3 trimestre, esto  obedecio al numero de solicitudes presentadas por las acciones de caracterizacion de PNUD")</f>
        <v>Se realizo menos de los proyectado porque la meta anual se habia cumplido en el 3 trimestre, esto  obedecio al numero de solicitudes presentadas por las acciones de caracterizacion de PNUD</v>
      </c>
      <c r="AI105" s="81" t="str">
        <f>IFERROR(__xludf.DUMMYFUNCTION("""COMPUTED_VALUE"""),"https://docs.google.com/spreadsheets/d/1kELDHN5BkFMBNgQ2n4MDGqW4SiOZI2VN/edit#gid=1329489843")</f>
        <v>https://docs.google.com/spreadsheets/d/1kELDHN5BkFMBNgQ2n4MDGqW4SiOZI2VN/edit#gid=1329489843</v>
      </c>
      <c r="AJ105" s="59">
        <f>IFERROR(__xludf.DUMMYFUNCTION("""COMPUTED_VALUE"""),8870.0)</f>
        <v>8870</v>
      </c>
      <c r="AK105" s="59" t="str">
        <f>IFERROR(__xludf.DUMMYFUNCTION("""COMPUTED_VALUE"""),"Se dio por superada la meta anual al lfinal del 3 trimestre no obstante se dio cintinuar con la actividad dado que la misma obedece a nuestra misionalidad ")</f>
        <v>Se dio por superada la meta anual al lfinal del 3 trimestre no obstante se dio cintinuar con la actividad dado que la misma obedece a nuestra misionalidad </v>
      </c>
      <c r="AL105" s="59"/>
      <c r="AM105" s="60"/>
      <c r="AN105" s="61" t="str">
        <f>IFERROR(IF((AO105+1)&lt;2,Alertas!$B$2&amp;TEXT(AO105,"0%")&amp;Alertas!$D$2, IF((AO105+1)=2,Alertas!$B$3,IF((AO105+1)&gt;2,Alertas!$B$4&amp;TEXT(AO105,"0%")&amp;Alertas!$D$4,AO105+1))),"Sin meta para el segundo trimestre")</f>
        <v>La ejecución de la meta registrada se encuentra por encima de la meta programada en la formulación del plan de acción para el segundo trimestre, su porcentaje de cumplimiento es 103%,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05" s="62">
        <f t="shared" si="2"/>
        <v>1.028</v>
      </c>
      <c r="AP105" s="61" t="str">
        <f t="shared" si="3"/>
        <v>No reporto evidencia.
La ejecución de la meta registrada se encuentra por encima de la meta programada en la formulación del plan de acción para el segundo trimestre, su porcentaje de cumplimiento es 103%,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05" s="63"/>
      <c r="AR105" s="64"/>
      <c r="AS105" s="65"/>
      <c r="AT105" s="65"/>
      <c r="AU105" s="66"/>
      <c r="AV105" s="67"/>
      <c r="AW105" s="68"/>
      <c r="AX105" s="63"/>
      <c r="AY105" s="64"/>
      <c r="AZ105" s="69"/>
      <c r="BA105" s="65"/>
      <c r="BB105" s="70"/>
      <c r="BC105" s="71"/>
      <c r="BD105" s="72"/>
      <c r="BE105" s="73"/>
      <c r="BF105" s="64"/>
      <c r="BG105" s="69"/>
      <c r="BH105" s="65"/>
      <c r="BI105" s="66"/>
      <c r="BJ105" s="71"/>
      <c r="BK105" s="72"/>
      <c r="BL105" s="74"/>
      <c r="BN105" s="5" t="str">
        <f t="shared" si="23"/>
        <v>1</v>
      </c>
      <c r="BP105" s="5"/>
    </row>
    <row r="106" ht="37.5" customHeight="1">
      <c r="A106" s="45"/>
      <c r="B106" s="46">
        <f>IFERROR(__xludf.DUMMYFUNCTION("""COMPUTED_VALUE"""),104.0)</f>
        <v>104</v>
      </c>
      <c r="C106" s="47" t="str">
        <f>IFERROR(__xludf.DUMMYFUNCTION("""COMPUTED_VALUE"""),"Gestión de la inspección y vigilancia")</f>
        <v>Gestión de la inspección y vigilancia</v>
      </c>
      <c r="D106" s="48" t="str">
        <f>IFERROR(__xludf.DUMMYFUNCTION("""COMPUTED_VALUE"""),"Regional Barranquilla")</f>
        <v>Regional Barranquilla</v>
      </c>
      <c r="E106"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06" s="49">
        <f>IFERROR(__xludf.DUMMYFUNCTION("""COMPUTED_VALUE"""),2.019011000276E12)</f>
        <v>2019011000276</v>
      </c>
      <c r="G106" s="50" t="str">
        <f>IFERROR(__xludf.DUMMYFUNCTION("""COMPUTED_VALUE"""),"Inspección")</f>
        <v>Inspección</v>
      </c>
      <c r="H106" s="48" t="str">
        <f>IFERROR(__xludf.DUMMYFUNCTION("""COMPUTED_VALUE"""),"Fortalecer los mecanismos de seguimiento y control de la actividad pesquera y de la acuicultura.")</f>
        <v>Fortalecer los mecanismos de seguimiento y control de la actividad pesquera y de la acuicultura.</v>
      </c>
      <c r="I106" s="48" t="str">
        <f>IFERROR(__xludf.DUMMYFUNCTION("""COMPUTED_VALUE"""),"Servicio de inspección, vigilancia y control de la pesca y la acuicultura")</f>
        <v>Servicio de inspección, vigilancia y control de la pesca y la acuicultura</v>
      </c>
      <c r="J106" s="48" t="str">
        <f>IFERROR(__xludf.DUMMYFUNCTION("""COMPUTED_VALUE"""),"Realizar los operativos de inspección, vigilancia y control.")</f>
        <v>Realizar los operativos de inspección, vigilancia y control.</v>
      </c>
      <c r="K106" s="51" t="str">
        <f>IFERROR(__xludf.DUMMYFUNCTION("""COMPUTED_VALUE"""),"Gestión del área")</f>
        <v>Gestión del área</v>
      </c>
      <c r="L106" s="51" t="str">
        <f>IFERROR(__xludf.DUMMYFUNCTION("""COMPUTED_VALUE"""),"Eficacia")</f>
        <v>Eficacia</v>
      </c>
      <c r="M106" s="51" t="str">
        <f>IFERROR(__xludf.DUMMYFUNCTION("""COMPUTED_VALUE"""),"Número")</f>
        <v>Número</v>
      </c>
      <c r="N106" s="52" t="str">
        <f>IFERROR(__xludf.DUMMYFUNCTION("""COMPUTED_VALUE"""),"Numero de operativos de control a la actividad pesquera y acuicola realizados")</f>
        <v>Numero de operativos de control a la actividad pesquera y acuicola realizados</v>
      </c>
      <c r="O106" s="53"/>
      <c r="P106" s="54">
        <f>IFERROR(__xludf.DUMMYFUNCTION("""COMPUTED_VALUE"""),1000.0)</f>
        <v>1000</v>
      </c>
      <c r="Q106" s="55" t="str">
        <f>IFERROR(__xludf.DUMMYFUNCTION("""COMPUTED_VALUE"""),"Realizar acciones de sensibilizacion (operativos) para el ejercio de las actividades de pesca y acuicultura dentro de la normatividad")</f>
        <v>Realizar acciones de sensibilizacion (operativos) para el ejercio de las actividades de pesca y acuicultura dentro de la normatividad</v>
      </c>
      <c r="R106" s="14" t="str">
        <f>IFERROR(__xludf.DUMMYFUNCTION("""COMPUTED_VALUE"""),"Trimestral")</f>
        <v>Trimestral</v>
      </c>
      <c r="S106" s="54">
        <f>IFERROR(__xludf.DUMMYFUNCTION("""COMPUTED_VALUE"""),130.0)</f>
        <v>130</v>
      </c>
      <c r="T106" s="54">
        <f>IFERROR(__xludf.DUMMYFUNCTION("""COMPUTED_VALUE"""),300.0)</f>
        <v>300</v>
      </c>
      <c r="U106" s="54">
        <f>IFERROR(__xludf.DUMMYFUNCTION("""COMPUTED_VALUE"""),300.0)</f>
        <v>300</v>
      </c>
      <c r="V106" s="54">
        <f>IFERROR(__xludf.DUMMYFUNCTION("""COMPUTED_VALUE"""),270.0)</f>
        <v>270</v>
      </c>
      <c r="W106" s="56" t="str">
        <f>IFERROR(__xludf.DUMMYFUNCTION("""COMPUTED_VALUE"""),"Regional Barranquilla")</f>
        <v>Regional Barranquilla</v>
      </c>
      <c r="X106" s="57" t="str">
        <f>IFERROR(__xludf.DUMMYFUNCTION("""COMPUTED_VALUE"""),"Jorge Roa")</f>
        <v>Jorge Roa</v>
      </c>
      <c r="Y106" s="47" t="str">
        <f>IFERROR(__xludf.DUMMYFUNCTION("""COMPUTED_VALUE"""),"Director Regional")</f>
        <v>Director Regional</v>
      </c>
      <c r="Z106" s="57" t="str">
        <f>IFERROR(__xludf.DUMMYFUNCTION("""COMPUTED_VALUE"""),"jorge.roa@aunap.gov.co")</f>
        <v>jorge.roa@aunap.gov.co</v>
      </c>
      <c r="AA106" s="47" t="str">
        <f>IFERROR(__xludf.DUMMYFUNCTION("""COMPUTED_VALUE"""),"Humanos, Físicos, Financieros, Tecnológicos")</f>
        <v>Humanos, Físicos, Financieros, Tecnológicos</v>
      </c>
      <c r="AB106" s="47" t="str">
        <f>IFERROR(__xludf.DUMMYFUNCTION("""COMPUTED_VALUE"""),"No asociado")</f>
        <v>No asociado</v>
      </c>
      <c r="AC106"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06" s="47" t="str">
        <f>IFERROR(__xludf.DUMMYFUNCTION("""COMPUTED_VALUE"""),"Gestión con valores para resultados")</f>
        <v>Gestión con valores para resultados</v>
      </c>
      <c r="AE106" s="47" t="str">
        <f>IFERROR(__xludf.DUMMYFUNCTION("""COMPUTED_VALUE"""),"Fortalecimiento Organizacional y Simplificación de Procesos")</f>
        <v>Fortalecimiento Organizacional y Simplificación de Procesos</v>
      </c>
      <c r="AF106" s="47" t="str">
        <f>IFERROR(__xludf.DUMMYFUNCTION("""COMPUTED_VALUE"""),"12. Producción y consumo responsable")</f>
        <v>12. Producción y consumo responsable</v>
      </c>
      <c r="AG106" s="58">
        <f>IFERROR(__xludf.DUMMYFUNCTION("""COMPUTED_VALUE"""),134.0)</f>
        <v>134</v>
      </c>
      <c r="AH106" s="59" t="str">
        <f>IFERROR(__xludf.DUMMYFUNCTION("""COMPUTED_VALUE"""),"Se realizaron menos operativos de los planeados para el cuatro trimestre por que la meta de operativos se habia cumplido con anteriridad ")</f>
        <v>Se realizaron menos operativos de los planeados para el cuatro trimestre por que la meta de operativos se habia cumplido con anteriridad </v>
      </c>
      <c r="AI106" s="81" t="str">
        <f>IFERROR(__xludf.DUMMYFUNCTION("""COMPUTED_VALUE"""),"https://docs.google.com/spreadsheets/d/1h8u-B3-GkpAZVXQuhQhUTtHCkeRM1RNM/edit#gid=1017707799")</f>
        <v>https://docs.google.com/spreadsheets/d/1h8u-B3-GkpAZVXQuhQhUTtHCkeRM1RNM/edit#gid=1017707799</v>
      </c>
      <c r="AJ106" s="59">
        <f>IFERROR(__xludf.DUMMYFUNCTION("""COMPUTED_VALUE"""),1038.0)</f>
        <v>1038</v>
      </c>
      <c r="AK106" s="59"/>
      <c r="AL106" s="59"/>
      <c r="AM106" s="60"/>
      <c r="AN106" s="61" t="str">
        <f>IFERROR(IF((AO106+1)&lt;2,Alertas!$B$2&amp;TEXT(AO106,"0%")&amp;Alertas!$D$2, IF((AO106+1)=2,Alertas!$B$3,IF((AO106+1)&gt;2,Alertas!$B$4&amp;TEXT(AO106,"0%")&amp;Alertas!$D$4,AO106+1))),"Sin meta para el segundo trimestre")</f>
        <v>La ejecución de la meta registrada se encuentra por debajo de la meta programada en la formulación del plan de acción para el segundo trimestre, su porcentaje de cumplimiento es 45%, lo cual indica un incumplimiento que puede ser entendido por los entes de control como falencias en el proceso de planeación y gestión de la dependencia. se recomienda realizar acciones para garantizar el cumplimiento de la meta durante lo que resta de vigencia</v>
      </c>
      <c r="AO106" s="62">
        <f t="shared" si="2"/>
        <v>0.4466666667</v>
      </c>
      <c r="AP106" s="61" t="str">
        <f t="shared" si="3"/>
        <v>No reporto evidencia.
La ejecución de la meta registrada se encuentra por debajo de la meta programada en la formulación del plan de acción para el segundo trimestre, su porcentaje de cumplimiento es 45%, lo cual indica un incumplimiento que puede ser entendido por los entes de control como falencias en el proceso de planeación y gestión de la dependencia. se recomienda realizar acciones para garantizar el cumplimiento de la meta durante lo que resta de vigencia.</v>
      </c>
      <c r="AQ106" s="63"/>
      <c r="AR106" s="64"/>
      <c r="AS106" s="65"/>
      <c r="AT106" s="65"/>
      <c r="AU106" s="66"/>
      <c r="AV106" s="67"/>
      <c r="AW106" s="68"/>
      <c r="AX106" s="63"/>
      <c r="AY106" s="64"/>
      <c r="AZ106" s="69"/>
      <c r="BA106" s="65"/>
      <c r="BB106" s="70"/>
      <c r="BC106" s="71"/>
      <c r="BD106" s="72"/>
      <c r="BE106" s="73"/>
      <c r="BF106" s="64"/>
      <c r="BG106" s="69"/>
      <c r="BH106" s="65"/>
      <c r="BI106" s="66"/>
      <c r="BJ106" s="71"/>
      <c r="BK106" s="72"/>
      <c r="BL106" s="74"/>
      <c r="BN106" s="5" t="str">
        <f t="shared" si="23"/>
        <v>-1</v>
      </c>
      <c r="BP106" s="5"/>
    </row>
    <row r="107" ht="37.5" customHeight="1">
      <c r="A107" s="45"/>
      <c r="B107" s="46">
        <f>IFERROR(__xludf.DUMMYFUNCTION("""COMPUTED_VALUE"""),105.0)</f>
        <v>105</v>
      </c>
      <c r="C107" s="47" t="str">
        <f>IFERROR(__xludf.DUMMYFUNCTION("""COMPUTED_VALUE"""),"Gestión de la administración y fomento")</f>
        <v>Gestión de la administración y fomento</v>
      </c>
      <c r="D107" s="48" t="str">
        <f>IFERROR(__xludf.DUMMYFUNCTION("""COMPUTED_VALUE"""),"Regional Barranquilla")</f>
        <v>Regional Barranquilla</v>
      </c>
      <c r="E107" s="48" t="str">
        <f>IFERROR(__xludf.DUMMYFUNCTION("""COMPUTED_VALUE"""),"Fortalecimiento de la sostenibilidad del sector pesquero y de la acuicultura en el territorio nacional")</f>
        <v>Fortalecimiento de la sostenibilidad del sector pesquero y de la acuicultura en el territorio nacional</v>
      </c>
      <c r="F107" s="49">
        <f>IFERROR(__xludf.DUMMYFUNCTION("""COMPUTED_VALUE"""),2.01901100028E12)</f>
        <v>2019011000280</v>
      </c>
      <c r="G107" s="50" t="str">
        <f>IFERROR(__xludf.DUMMYFUNCTION("""COMPUTED_VALUE"""),"Sostenibilidad")</f>
        <v>Sostenibilidad</v>
      </c>
      <c r="H107" s="48" t="str">
        <f>IFERROR(__xludf.DUMMYFUNCTION("""COMPUTED_VALUE"""),"Mejorar la explotación de los recursos pesqueros y de la acuicultura.")</f>
        <v>Mejorar la explotación de los recursos pesqueros y de la acuicultura.</v>
      </c>
      <c r="I107" s="48" t="str">
        <f>IFERROR(__xludf.DUMMYFUNCTION("""COMPUTED_VALUE"""),"2-Servicios de apoyo a las estaciones de acuicultura")</f>
        <v>2-Servicios de apoyo a las estaciones de acuicultura</v>
      </c>
      <c r="J107" s="48" t="str">
        <f>IFERROR(__xludf.DUMMYFUNCTION("""COMPUTED_VALUE"""),"Producir alevinos para el sector productivo y/o con fines de repoblamiento.")</f>
        <v>Producir alevinos para el sector productivo y/o con fines de repoblamiento.</v>
      </c>
      <c r="K107" s="51" t="str">
        <f>IFERROR(__xludf.DUMMYFUNCTION("""COMPUTED_VALUE"""),"Producto")</f>
        <v>Producto</v>
      </c>
      <c r="L107" s="51" t="str">
        <f>IFERROR(__xludf.DUMMYFUNCTION("""COMPUTED_VALUE"""),"Eficacia")</f>
        <v>Eficacia</v>
      </c>
      <c r="M107" s="51" t="str">
        <f>IFERROR(__xludf.DUMMYFUNCTION("""COMPUTED_VALUE"""),"Número")</f>
        <v>Número</v>
      </c>
      <c r="N107" s="52" t="str">
        <f>IFERROR(__xludf.DUMMYFUNCTION("""COMPUTED_VALUE"""),"Alevinos producidos")</f>
        <v>Alevinos producidos</v>
      </c>
      <c r="O107" s="53"/>
      <c r="P107" s="54">
        <f>IFERROR(__xludf.DUMMYFUNCTION("""COMPUTED_VALUE"""),1.201E7)</f>
        <v>12010000</v>
      </c>
      <c r="Q107" s="55" t="str">
        <f>IFERROR(__xludf.DUMMYFUNCTION("""COMPUTED_VALUE"""),"Producir alevinos en las estaciones Piscicolas a nivel nacional  en las estaciones y centros de la AUNAP con fines de repoblamiento y fomento de la actividad pesquera y acuicola")</f>
        <v>Producir alevinos en las estaciones Piscicolas a nivel nacional  en las estaciones y centros de la AUNAP con fines de repoblamiento y fomento de la actividad pesquera y acuicola</v>
      </c>
      <c r="R107" s="14" t="str">
        <f>IFERROR(__xludf.DUMMYFUNCTION("""COMPUTED_VALUE"""),"Trimestral")</f>
        <v>Trimestral</v>
      </c>
      <c r="S107" s="54">
        <f>IFERROR(__xludf.DUMMYFUNCTION("""COMPUTED_VALUE"""),100000.0)</f>
        <v>100000</v>
      </c>
      <c r="T107" s="54">
        <f>IFERROR(__xludf.DUMMYFUNCTION("""COMPUTED_VALUE"""),3200000.0)</f>
        <v>3200000</v>
      </c>
      <c r="U107" s="54">
        <f>IFERROR(__xludf.DUMMYFUNCTION("""COMPUTED_VALUE"""),4305000.0)</f>
        <v>4305000</v>
      </c>
      <c r="V107" s="54">
        <f>IFERROR(__xludf.DUMMYFUNCTION("""COMPUTED_VALUE"""),4405000.0)</f>
        <v>4405000</v>
      </c>
      <c r="W107" s="56" t="str">
        <f>IFERROR(__xludf.DUMMYFUNCTION("""COMPUTED_VALUE"""),"Regional Barranquilla")</f>
        <v>Regional Barranquilla</v>
      </c>
      <c r="X107" s="57" t="str">
        <f>IFERROR(__xludf.DUMMYFUNCTION("""COMPUTED_VALUE"""),"Jorge Roa")</f>
        <v>Jorge Roa</v>
      </c>
      <c r="Y107" s="47" t="str">
        <f>IFERROR(__xludf.DUMMYFUNCTION("""COMPUTED_VALUE"""),"Director Regional")</f>
        <v>Director Regional</v>
      </c>
      <c r="Z107" s="57" t="str">
        <f>IFERROR(__xludf.DUMMYFUNCTION("""COMPUTED_VALUE"""),"jorge.roa@aunap.gov.co")</f>
        <v>jorge.roa@aunap.gov.co</v>
      </c>
      <c r="AA107" s="47" t="str">
        <f>IFERROR(__xludf.DUMMYFUNCTION("""COMPUTED_VALUE"""),"Humanos, Físicos, Financieros, Tecnológicos")</f>
        <v>Humanos, Físicos, Financieros, Tecnológicos</v>
      </c>
      <c r="AB107" s="47" t="str">
        <f>IFERROR(__xludf.DUMMYFUNCTION("""COMPUTED_VALUE"""),"No asociado")</f>
        <v>No asociado</v>
      </c>
      <c r="AC107" s="47" t="str">
        <f>IFERROR(__xludf.DUMMYFUNCTION("""COMPUTED_VALUE"""),"Llegar con actividades de pesca y acuicultura a todas las regiones")</f>
        <v>Llegar con actividades de pesca y acuicultura a todas las regiones</v>
      </c>
      <c r="AD107" s="47" t="str">
        <f>IFERROR(__xludf.DUMMYFUNCTION("""COMPUTED_VALUE"""),"Gestión con valores para resultados")</f>
        <v>Gestión con valores para resultados</v>
      </c>
      <c r="AE107" s="47" t="str">
        <f>IFERROR(__xludf.DUMMYFUNCTION("""COMPUTED_VALUE"""),"Fortalecimiento Organizacional y Simplificación de Procesos")</f>
        <v>Fortalecimiento Organizacional y Simplificación de Procesos</v>
      </c>
      <c r="AF107" s="47" t="str">
        <f>IFERROR(__xludf.DUMMYFUNCTION("""COMPUTED_VALUE"""),"12. Producción y consumo responsable")</f>
        <v>12. Producción y consumo responsable</v>
      </c>
      <c r="AG107" s="58">
        <f>IFERROR(__xludf.DUMMYFUNCTION("""COMPUTED_VALUE"""),3949900.0)</f>
        <v>3949900</v>
      </c>
      <c r="AH107" s="59" t="str">
        <f>IFERROR(__xludf.DUMMYFUNCTION("""COMPUTED_VALUE"""),"La produccion anual ya se habia cumplido a ifinales del 2 mes del ultimo trimestre, ademas la epoca de reproduccion de los bocachicos habia terminado y sumado a esto los insumos para la viegencia ya  se habian agotado al final del año. No obstatante a tod"&amp;"o esto la meta de produccion anual se habia cumplido cabalmente al punto que se compenso con la produccion de la EPBM las carencias de la las produccion de gigante y B. Malaga")</f>
        <v>La produccion anual ya se habia cumplido a ifinales del 2 mes del ultimo trimestre, ademas la epoca de reproduccion de los bocachicos habia terminado y sumado a esto los insumos para la viegencia ya  se habian agotado al final del año. No obstatante a todo esto la meta de produccion anual se habia cumplido cabalmente al punto que se compenso con la produccion de la EPBM las carencias de la las produccion de gigante y B. Malaga</v>
      </c>
      <c r="AI107" s="81" t="str">
        <f>IFERROR(__xludf.DUMMYFUNCTION("""COMPUTED_VALUE"""),"https://docs.google.com/spreadsheets/d/1ehmjoA1mWAfszBO8r87ji-ex1MaxvkHU/edit#gid=1888431094")</f>
        <v>https://docs.google.com/spreadsheets/d/1ehmjoA1mWAfszBO8r87ji-ex1MaxvkHU/edit#gid=1888431094</v>
      </c>
      <c r="AJ107" s="59">
        <f>IFERROR(__xludf.DUMMYFUNCTION("""COMPUTED_VALUE"""),1.47949E7)</f>
        <v>14794900</v>
      </c>
      <c r="AK107" s="59" t="str">
        <f>IFERROR(__xludf.DUMMYFUNCTION("""COMPUTED_VALUE"""),"Se cumplio el total de la produccion mas aun se asumio la produccion de otras estaciones ")</f>
        <v>Se cumplio el total de la produccion mas aun se asumio la produccion de otras estaciones </v>
      </c>
      <c r="AL107" s="59"/>
      <c r="AM107" s="60"/>
      <c r="AN107" s="61" t="str">
        <f>IFERROR(IF((AO107+1)&lt;2,Alertas!$B$2&amp;TEXT(AO107,"0%")&amp;Alertas!$D$2, IF((AO107+1)=2,Alertas!$B$3,IF((AO107+1)&gt;2,Alertas!$B$4&amp;TEXT(AO107,"0%")&amp;Alertas!$D$4,AO107+1))),"Sin meta para el segundo trimestre")</f>
        <v>La ejecución de la meta registrada se encuentra por encima de la meta programada en la formulación del plan de acción para el segundo trimestre, su porcentaje de cumplimiento es 123%,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07" s="62">
        <f t="shared" si="2"/>
        <v>1.23434375</v>
      </c>
      <c r="AP107" s="61" t="str">
        <f t="shared" si="3"/>
        <v>No reporto evidencia.
La ejecución de la meta registrada se encuentra por encima de la meta programada en la formulación del plan de acción para el segundo trimestre, su porcentaje de cumplimiento es 123%,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07" s="63"/>
      <c r="AR107" s="64"/>
      <c r="AS107" s="65"/>
      <c r="AT107" s="65"/>
      <c r="AU107" s="66"/>
      <c r="AV107" s="67"/>
      <c r="AW107" s="68"/>
      <c r="AX107" s="63"/>
      <c r="AY107" s="64"/>
      <c r="AZ107" s="69"/>
      <c r="BA107" s="65"/>
      <c r="BB107" s="70"/>
      <c r="BC107" s="71"/>
      <c r="BD107" s="72"/>
      <c r="BE107" s="73"/>
      <c r="BF107" s="64"/>
      <c r="BG107" s="69"/>
      <c r="BH107" s="65"/>
      <c r="BI107" s="66"/>
      <c r="BJ107" s="71"/>
      <c r="BK107" s="72"/>
      <c r="BL107" s="74"/>
      <c r="BN107" s="5" t="str">
        <f t="shared" si="23"/>
        <v>1</v>
      </c>
      <c r="BP107" s="5"/>
    </row>
    <row r="108" ht="37.5" customHeight="1">
      <c r="A108" s="45"/>
      <c r="B108" s="46">
        <f>IFERROR(__xludf.DUMMYFUNCTION("""COMPUTED_VALUE"""),106.0)</f>
        <v>106</v>
      </c>
      <c r="C108" s="47" t="str">
        <f>IFERROR(__xludf.DUMMYFUNCTION("""COMPUTED_VALUE"""),"Gestión de la administración y fomento")</f>
        <v>Gestión de la administración y fomento</v>
      </c>
      <c r="D108" s="48" t="str">
        <f>IFERROR(__xludf.DUMMYFUNCTION("""COMPUTED_VALUE"""),"Regional Barranquilla")</f>
        <v>Regional Barranquilla</v>
      </c>
      <c r="E108" s="48" t="str">
        <f>IFERROR(__xludf.DUMMYFUNCTION("""COMPUTED_VALUE"""),"Fortalecimiento de la sostenibilidad del sector pesquero y de la acuicultura en el territorio nacional")</f>
        <v>Fortalecimiento de la sostenibilidad del sector pesquero y de la acuicultura en el territorio nacional</v>
      </c>
      <c r="F108" s="49">
        <f>IFERROR(__xludf.DUMMYFUNCTION("""COMPUTED_VALUE"""),2.01901100028E12)</f>
        <v>2019011000280</v>
      </c>
      <c r="G108" s="50" t="str">
        <f>IFERROR(__xludf.DUMMYFUNCTION("""COMPUTED_VALUE"""),"Sostenibilidad")</f>
        <v>Sostenibilidad</v>
      </c>
      <c r="H108" s="48" t="str">
        <f>IFERROR(__xludf.DUMMYFUNCTION("""COMPUTED_VALUE"""),"Mejorar las prácticas de pesca y de acuicultura.")</f>
        <v>Mejorar las prácticas de pesca y de acuicultura.</v>
      </c>
      <c r="I108" s="48" t="str">
        <f>IFERROR(__xludf.DUMMYFUNCTION("""COMPUTED_VALUE"""),"Servicios de administración de los recurso pesqueros y de la acuicultura")</f>
        <v>Servicios de administración de los recurso pesqueros y de la acuicultura</v>
      </c>
      <c r="J108" s="48" t="str">
        <f>IFERROR(__xludf.DUMMYFUNCTION("""COMPUTED_VALUE"""),"Realizar acciones de divulgación y formalización de la actividad pesquera y de la acuicultura.")</f>
        <v>Realizar acciones de divulgación y formalización de la actividad pesquera y de la acuicultura.</v>
      </c>
      <c r="K108" s="51" t="str">
        <f>IFERROR(__xludf.DUMMYFUNCTION("""COMPUTED_VALUE"""),"Gestión del área")</f>
        <v>Gestión del área</v>
      </c>
      <c r="L108" s="51" t="str">
        <f>IFERROR(__xludf.DUMMYFUNCTION("""COMPUTED_VALUE"""),"Eficacia")</f>
        <v>Eficacia</v>
      </c>
      <c r="M108" s="51" t="str">
        <f>IFERROR(__xludf.DUMMYFUNCTION("""COMPUTED_VALUE"""),"Número")</f>
        <v>Número</v>
      </c>
      <c r="N108" s="52" t="str">
        <f>IFERROR(__xludf.DUMMYFUNCTION("""COMPUTED_VALUE"""),"Asociaciones instruidas en  buenas practicas pesqueras y acuicolas para el ejercicio de la pesca y la acuicultura y asociatividad")</f>
        <v>Asociaciones instruidas en  buenas practicas pesqueras y acuicolas para el ejercicio de la pesca y la acuicultura y asociatividad</v>
      </c>
      <c r="O108" s="53"/>
      <c r="P108" s="54">
        <f>IFERROR(__xludf.DUMMYFUNCTION("""COMPUTED_VALUE"""),50.0)</f>
        <v>50</v>
      </c>
      <c r="Q108" s="55" t="str">
        <f>IFERROR(__xludf.DUMMYFUNCTION("""COMPUTED_VALUE"""),"Instruir a las comunidades en asociatividad, buenas practicas pesqueras y acuicolas para  el ejercicio de la pesca y la acuicultura")</f>
        <v>Instruir a las comunidades en asociatividad, buenas practicas pesqueras y acuicolas para  el ejercicio de la pesca y la acuicultura</v>
      </c>
      <c r="R108" s="14" t="str">
        <f>IFERROR(__xludf.DUMMYFUNCTION("""COMPUTED_VALUE"""),"Trimestral")</f>
        <v>Trimestral</v>
      </c>
      <c r="S108" s="54">
        <f>IFERROR(__xludf.DUMMYFUNCTION("""COMPUTED_VALUE"""),5.0)</f>
        <v>5</v>
      </c>
      <c r="T108" s="54">
        <f>IFERROR(__xludf.DUMMYFUNCTION("""COMPUTED_VALUE"""),15.0)</f>
        <v>15</v>
      </c>
      <c r="U108" s="54">
        <f>IFERROR(__xludf.DUMMYFUNCTION("""COMPUTED_VALUE"""),15.0)</f>
        <v>15</v>
      </c>
      <c r="V108" s="54">
        <f>IFERROR(__xludf.DUMMYFUNCTION("""COMPUTED_VALUE"""),15.0)</f>
        <v>15</v>
      </c>
      <c r="W108" s="56" t="str">
        <f>IFERROR(__xludf.DUMMYFUNCTION("""COMPUTED_VALUE"""),"Regional Barranquilla")</f>
        <v>Regional Barranquilla</v>
      </c>
      <c r="X108" s="57" t="str">
        <f>IFERROR(__xludf.DUMMYFUNCTION("""COMPUTED_VALUE"""),"Jorge Roa")</f>
        <v>Jorge Roa</v>
      </c>
      <c r="Y108" s="47" t="str">
        <f>IFERROR(__xludf.DUMMYFUNCTION("""COMPUTED_VALUE"""),"Director Regional")</f>
        <v>Director Regional</v>
      </c>
      <c r="Z108" s="57" t="str">
        <f>IFERROR(__xludf.DUMMYFUNCTION("""COMPUTED_VALUE"""),"jorge.roa@aunap.gov.co")</f>
        <v>jorge.roa@aunap.gov.co</v>
      </c>
      <c r="AA108" s="47" t="str">
        <f>IFERROR(__xludf.DUMMYFUNCTION("""COMPUTED_VALUE"""),"Humanos, Físicos, Financieros, Tecnológicos")</f>
        <v>Humanos, Físicos, Financieros, Tecnológicos</v>
      </c>
      <c r="AB108" s="47" t="str">
        <f>IFERROR(__xludf.DUMMYFUNCTION("""COMPUTED_VALUE"""),"No asociado")</f>
        <v>No asociado</v>
      </c>
      <c r="AC108" s="47" t="str">
        <f>IFERROR(__xludf.DUMMYFUNCTION("""COMPUTED_VALUE"""),"Llegar con actividades de pesca y acuicultura a todas las regiones")</f>
        <v>Llegar con actividades de pesca y acuicultura a todas las regiones</v>
      </c>
      <c r="AD108" s="47" t="str">
        <f>IFERROR(__xludf.DUMMYFUNCTION("""COMPUTED_VALUE"""),"Gestión con valores para resultados")</f>
        <v>Gestión con valores para resultados</v>
      </c>
      <c r="AE108" s="47" t="str">
        <f>IFERROR(__xludf.DUMMYFUNCTION("""COMPUTED_VALUE"""),"Fortalecimiento Organizacional y Simplificación de Procesos")</f>
        <v>Fortalecimiento Organizacional y Simplificación de Procesos</v>
      </c>
      <c r="AF108" s="47" t="str">
        <f>IFERROR(__xludf.DUMMYFUNCTION("""COMPUTED_VALUE"""),"12. Producción y consumo responsable")</f>
        <v>12. Producción y consumo responsable</v>
      </c>
      <c r="AG108" s="58">
        <f>IFERROR(__xludf.DUMMYFUNCTION("""COMPUTED_VALUE"""),14.0)</f>
        <v>14</v>
      </c>
      <c r="AH108" s="59" t="str">
        <f>IFERROR(__xludf.DUMMYFUNCTION("""COMPUTED_VALUE"""),"Se dio cumplimiento al la meta trimestral en el 99,9%: No onstante no se cumplio en un 100% por temas de emergencia sanitaria no obstante la meta anual ya habia sido cumplida antes de finalizar el ultimo mes deel trimetres")</f>
        <v>Se dio cumplimiento al la meta trimestral en el 99,9%: No onstante no se cumplio en un 100% por temas de emergencia sanitaria no obstante la meta anual ya habia sido cumplida antes de finalizar el ultimo mes deel trimetres</v>
      </c>
      <c r="AI108" s="81" t="str">
        <f>IFERROR(__xludf.DUMMYFUNCTION("""COMPUTED_VALUE"""),"https://drive.google.com/drive/folders/1ttjVozOi0gul2YNcz65oDDzg1GKqvXiC")</f>
        <v>https://drive.google.com/drive/folders/1ttjVozOi0gul2YNcz65oDDzg1GKqvXiC</v>
      </c>
      <c r="AJ108" s="59">
        <f>IFERROR(__xludf.DUMMYFUNCTION("""COMPUTED_VALUE"""),54.0)</f>
        <v>54</v>
      </c>
      <c r="AK108" s="59" t="str">
        <f>IFERROR(__xludf.DUMMYFUNCTION("""COMPUTED_VALUE"""),"Se cumplio la establecida anual siendo esta superada en un minimo porcentaje ")</f>
        <v>Se cumplio la establecida anual siendo esta superada en un minimo porcentaje </v>
      </c>
      <c r="AL108" s="59"/>
      <c r="AM108" s="60"/>
      <c r="AN108" s="61" t="str">
        <f>IFERROR(IF((AO108+1)&lt;2,Alertas!$B$2&amp;TEXT(AO108,"0%")&amp;Alertas!$D$2, IF((AO108+1)=2,Alertas!$B$3,IF((AO108+1)&gt;2,Alertas!$B$4&amp;TEXT(AO108,"0%")&amp;Alertas!$D$4,AO108+1))),"Sin meta para el segundo trimestre")</f>
        <v>La ejecución de la meta registrada se encuentra por debajo de la meta programada en la formulación del plan de acción para el segundo trimestre, su porcentaje de cumplimiento es 93%, lo cual indica un incumplimiento que puede ser entendido por los entes de control como falencias en el proceso de planeación y gestión de la dependencia. se recomienda realizar acciones para garantizar el cumplimiento de la meta durante lo que resta de vigencia</v>
      </c>
      <c r="AO108" s="62">
        <f t="shared" si="2"/>
        <v>0.9333333333</v>
      </c>
      <c r="AP108" s="61" t="str">
        <f t="shared" si="3"/>
        <v>No reporto evidencia.
La ejecución de la meta registrada se encuentra por debajo de la meta programada en la formulación del plan de acción para el segundo trimestre, su porcentaje de cumplimiento es 93%, lo cual indica un incumplimiento que puede ser entendido por los entes de control como falencias en el proceso de planeación y gestión de la dependencia. se recomienda realizar acciones para garantizar el cumplimiento de la meta durante lo que resta de vigencia.</v>
      </c>
      <c r="AQ108" s="63"/>
      <c r="AR108" s="64"/>
      <c r="AS108" s="65"/>
      <c r="AT108" s="65"/>
      <c r="AU108" s="66"/>
      <c r="AV108" s="67"/>
      <c r="AW108" s="68"/>
      <c r="AX108" s="63"/>
      <c r="AY108" s="64"/>
      <c r="AZ108" s="69"/>
      <c r="BA108" s="65"/>
      <c r="BB108" s="70"/>
      <c r="BC108" s="71"/>
      <c r="BD108" s="72"/>
      <c r="BE108" s="73"/>
      <c r="BF108" s="64"/>
      <c r="BG108" s="69"/>
      <c r="BH108" s="65"/>
      <c r="BI108" s="66"/>
      <c r="BJ108" s="71"/>
      <c r="BK108" s="72"/>
      <c r="BL108" s="74"/>
      <c r="BN108" s="5" t="str">
        <f t="shared" si="23"/>
        <v>-1</v>
      </c>
      <c r="BP108" s="5"/>
    </row>
    <row r="109" ht="37.5" customHeight="1">
      <c r="A109" s="45"/>
      <c r="B109" s="46">
        <f>IFERROR(__xludf.DUMMYFUNCTION("""COMPUTED_VALUE"""),107.0)</f>
        <v>107</v>
      </c>
      <c r="C109" s="47" t="str">
        <f>IFERROR(__xludf.DUMMYFUNCTION("""COMPUTED_VALUE"""),"Gestión de la administración y fomento")</f>
        <v>Gestión de la administración y fomento</v>
      </c>
      <c r="D109" s="48" t="str">
        <f>IFERROR(__xludf.DUMMYFUNCTION("""COMPUTED_VALUE"""),"Regional Barranquilla")</f>
        <v>Regional Barranquilla</v>
      </c>
      <c r="E109" s="48" t="str">
        <f>IFERROR(__xludf.DUMMYFUNCTION("""COMPUTED_VALUE"""),"Fortalecimiento de la sostenibilidad del sector pesquero y de la acuicultura en el territorio nacional")</f>
        <v>Fortalecimiento de la sostenibilidad del sector pesquero y de la acuicultura en el territorio nacional</v>
      </c>
      <c r="F109" s="49">
        <f>IFERROR(__xludf.DUMMYFUNCTION("""COMPUTED_VALUE"""),2.01901100028E12)</f>
        <v>2019011000280</v>
      </c>
      <c r="G109" s="50" t="str">
        <f>IFERROR(__xludf.DUMMYFUNCTION("""COMPUTED_VALUE"""),"Sostenibilidad")</f>
        <v>Sostenibilidad</v>
      </c>
      <c r="H109" s="48" t="str">
        <f>IFERROR(__xludf.DUMMYFUNCTION("""COMPUTED_VALUE"""),"Mejorar las prácticas de pesca y de acuicultura.")</f>
        <v>Mejorar las prácticas de pesca y de acuicultura.</v>
      </c>
      <c r="I109" s="48" t="str">
        <f>IFERROR(__xludf.DUMMYFUNCTION("""COMPUTED_VALUE"""),"Servicios de administración de los recurso pesqueros y de la acuicultura")</f>
        <v>Servicios de administración de los recurso pesqueros y de la acuicultura</v>
      </c>
      <c r="J109" s="48" t="str">
        <f>IFERROR(__xludf.DUMMYFUNCTION("""COMPUTED_VALUE"""),"Realizar acciones de divulgación y formalización de la actividad pesquera y de la acuicultura.")</f>
        <v>Realizar acciones de divulgación y formalización de la actividad pesquera y de la acuicultura.</v>
      </c>
      <c r="K109" s="51" t="str">
        <f>IFERROR(__xludf.DUMMYFUNCTION("""COMPUTED_VALUE"""),"Gestión del área")</f>
        <v>Gestión del área</v>
      </c>
      <c r="L109" s="51" t="str">
        <f>IFERROR(__xludf.DUMMYFUNCTION("""COMPUTED_VALUE"""),"Eficacia")</f>
        <v>Eficacia</v>
      </c>
      <c r="M109" s="51" t="str">
        <f>IFERROR(__xludf.DUMMYFUNCTION("""COMPUTED_VALUE"""),"Número")</f>
        <v>Número</v>
      </c>
      <c r="N109" s="52" t="str">
        <f>IFERROR(__xludf.DUMMYFUNCTION("""COMPUTED_VALUE"""),"Grupos de interes instruidos en  buenas practicas pesqueras y acuicolas para el ejercicio de la pesca y la acuicultura y asociatividad")</f>
        <v>Grupos de interes instruidos en  buenas practicas pesqueras y acuicolas para el ejercicio de la pesca y la acuicultura y asociatividad</v>
      </c>
      <c r="O109" s="53"/>
      <c r="P109" s="54">
        <f>IFERROR(__xludf.DUMMYFUNCTION("""COMPUTED_VALUE"""),30.0)</f>
        <v>30</v>
      </c>
      <c r="Q109" s="55" t="str">
        <f>IFERROR(__xludf.DUMMYFUNCTION("""COMPUTED_VALUE"""),"Instruir a grupos de interes en buenas practicas pesqueras y acuicolas para  el ejercicio de la pesca y la acuicultura")</f>
        <v>Instruir a grupos de interes en buenas practicas pesqueras y acuicolas para  el ejercicio de la pesca y la acuicultura</v>
      </c>
      <c r="R109" s="14" t="str">
        <f>IFERROR(__xludf.DUMMYFUNCTION("""COMPUTED_VALUE"""),"Trimestral")</f>
        <v>Trimestral</v>
      </c>
      <c r="S109" s="54">
        <f>IFERROR(__xludf.DUMMYFUNCTION("""COMPUTED_VALUE"""),0.0)</f>
        <v>0</v>
      </c>
      <c r="T109" s="54">
        <f>IFERROR(__xludf.DUMMYFUNCTION("""COMPUTED_VALUE"""),5.0)</f>
        <v>5</v>
      </c>
      <c r="U109" s="54">
        <f>IFERROR(__xludf.DUMMYFUNCTION("""COMPUTED_VALUE"""),14.0)</f>
        <v>14</v>
      </c>
      <c r="V109" s="54">
        <f>IFERROR(__xludf.DUMMYFUNCTION("""COMPUTED_VALUE"""),11.0)</f>
        <v>11</v>
      </c>
      <c r="W109" s="56" t="str">
        <f>IFERROR(__xludf.DUMMYFUNCTION("""COMPUTED_VALUE"""),"Regional Barranquilla")</f>
        <v>Regional Barranquilla</v>
      </c>
      <c r="X109" s="57" t="str">
        <f>IFERROR(__xludf.DUMMYFUNCTION("""COMPUTED_VALUE"""),"Jorge Roa")</f>
        <v>Jorge Roa</v>
      </c>
      <c r="Y109" s="47" t="str">
        <f>IFERROR(__xludf.DUMMYFUNCTION("""COMPUTED_VALUE"""),"Director Regional")</f>
        <v>Director Regional</v>
      </c>
      <c r="Z109" s="57" t="str">
        <f>IFERROR(__xludf.DUMMYFUNCTION("""COMPUTED_VALUE"""),"jorge.roa@aunap.gov.co")</f>
        <v>jorge.roa@aunap.gov.co</v>
      </c>
      <c r="AA109" s="47" t="str">
        <f>IFERROR(__xludf.DUMMYFUNCTION("""COMPUTED_VALUE"""),"Humanos, Físicos, Financieros, Tecnológicos")</f>
        <v>Humanos, Físicos, Financieros, Tecnológicos</v>
      </c>
      <c r="AB109" s="47" t="str">
        <f>IFERROR(__xludf.DUMMYFUNCTION("""COMPUTED_VALUE"""),"No asociado")</f>
        <v>No asociado</v>
      </c>
      <c r="AC109" s="47" t="str">
        <f>IFERROR(__xludf.DUMMYFUNCTION("""COMPUTED_VALUE"""),"Llegar con actividades de pesca y acuicultura a todas las regiones")</f>
        <v>Llegar con actividades de pesca y acuicultura a todas las regiones</v>
      </c>
      <c r="AD109" s="47" t="str">
        <f>IFERROR(__xludf.DUMMYFUNCTION("""COMPUTED_VALUE"""),"Gestión con valores para resultados")</f>
        <v>Gestión con valores para resultados</v>
      </c>
      <c r="AE109" s="47" t="str">
        <f>IFERROR(__xludf.DUMMYFUNCTION("""COMPUTED_VALUE"""),"Fortalecimiento Organizacional y Simplificación de Procesos")</f>
        <v>Fortalecimiento Organizacional y Simplificación de Procesos</v>
      </c>
      <c r="AF109" s="47" t="str">
        <f>IFERROR(__xludf.DUMMYFUNCTION("""COMPUTED_VALUE"""),"12. Producción y consumo responsable")</f>
        <v>12. Producción y consumo responsable</v>
      </c>
      <c r="AG109" s="58">
        <f>IFERROR(__xludf.DUMMYFUNCTION("""COMPUTED_VALUE"""),11.0)</f>
        <v>11</v>
      </c>
      <c r="AH109" s="59" t="str">
        <f>IFERROR(__xludf.DUMMYFUNCTION("""COMPUTED_VALUE"""),"Se logro dar cumplimiento a la meta trimstral propuesta ")</f>
        <v>Se logro dar cumplimiento a la meta trimstral propuesta </v>
      </c>
      <c r="AI109" s="77" t="str">
        <f>IFERROR(__xludf.DUMMYFUNCTION("""COMPUTED_VALUE"""),"https://drive.google.com/drive/folders/1Aqk0FfwwWHQ7bQnGzssCYeBFeCgP6gaB")</f>
        <v>https://drive.google.com/drive/folders/1Aqk0FfwwWHQ7bQnGzssCYeBFeCgP6gaB</v>
      </c>
      <c r="AJ109" s="59">
        <f>IFERROR(__xludf.DUMMYFUNCTION("""COMPUTED_VALUE"""),30.0)</f>
        <v>30</v>
      </c>
      <c r="AK109" s="59" t="str">
        <f>IFERROR(__xludf.DUMMYFUNCTION("""COMPUTED_VALUE"""),"Se dio cumplimiento al total d ela meta planteada para el año ")</f>
        <v>Se dio cumplimiento al total d ela meta planteada para el año </v>
      </c>
      <c r="AL109" s="59"/>
      <c r="AM109" s="60"/>
      <c r="AN109" s="61" t="str">
        <f>IFERROR(IF((AO109+1)&lt;2,Alertas!$B$2&amp;TEXT(AO109,"0%")&amp;Alertas!$D$2, IF((AO109+1)=2,Alertas!$B$3,IF((AO109+1)&gt;2,Alertas!$B$4&amp;TEXT(AO109,"0%")&amp;Alertas!$D$4,AO109+1))),"Sin meta para el segundo trimestre")</f>
        <v>La ejecución de la meta registrada se encuentra por encima de la meta programada en la formulación del plan de acción para el segundo trimestre, su porcentaje de cumplimiento es 220%,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09" s="62">
        <f t="shared" si="2"/>
        <v>2.2</v>
      </c>
      <c r="AP109" s="61" t="str">
        <f t="shared" si="3"/>
        <v>No reporto evidencia.
La ejecución de la meta registrada se encuentra por encima de la meta programada en la formulación del plan de acción para el segundo trimestre, su porcentaje de cumplimiento es 220%,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09" s="63"/>
      <c r="AR109" s="64"/>
      <c r="AS109" s="65"/>
      <c r="AT109" s="65"/>
      <c r="AU109" s="66"/>
      <c r="AV109" s="67"/>
      <c r="AW109" s="68"/>
      <c r="AX109" s="63"/>
      <c r="AY109" s="64"/>
      <c r="AZ109" s="69"/>
      <c r="BA109" s="65"/>
      <c r="BB109" s="70"/>
      <c r="BC109" s="71"/>
      <c r="BD109" s="72"/>
      <c r="BE109" s="73"/>
      <c r="BF109" s="64"/>
      <c r="BG109" s="69"/>
      <c r="BH109" s="65"/>
      <c r="BI109" s="66"/>
      <c r="BJ109" s="71"/>
      <c r="BK109" s="72"/>
      <c r="BL109" s="74"/>
      <c r="BN109" s="5" t="str">
        <f t="shared" si="23"/>
        <v>1</v>
      </c>
      <c r="BP109" s="5"/>
    </row>
    <row r="110" ht="37.5" customHeight="1">
      <c r="A110" s="45"/>
      <c r="B110" s="46">
        <f>IFERROR(__xludf.DUMMYFUNCTION("""COMPUTED_VALUE"""),108.0)</f>
        <v>108</v>
      </c>
      <c r="C110" s="47" t="str">
        <f>IFERROR(__xludf.DUMMYFUNCTION("""COMPUTED_VALUE"""),"Gestión de la inspección y vigilancia")</f>
        <v>Gestión de la inspección y vigilancia</v>
      </c>
      <c r="D110" s="48" t="str">
        <f>IFERROR(__xludf.DUMMYFUNCTION("""COMPUTED_VALUE"""),"Regional Barranquilla")</f>
        <v>Regional Barranquilla</v>
      </c>
      <c r="E110"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10" s="49">
        <f>IFERROR(__xludf.DUMMYFUNCTION("""COMPUTED_VALUE"""),2.019011000276E12)</f>
        <v>2019011000276</v>
      </c>
      <c r="G110" s="50" t="str">
        <f>IFERROR(__xludf.DUMMYFUNCTION("""COMPUTED_VALUE"""),"Inspección")</f>
        <v>Inspección</v>
      </c>
      <c r="H110" s="48" t="str">
        <f>IFERROR(__xludf.DUMMYFUNCTION("""COMPUTED_VALUE"""),"Fortalecer los mecanismos de seguimiento y control de la actividad pesquera y de la acuicultura.")</f>
        <v>Fortalecer los mecanismos de seguimiento y control de la actividad pesquera y de la acuicultura.</v>
      </c>
      <c r="I110" s="48" t="str">
        <f>IFERROR(__xludf.DUMMYFUNCTION("""COMPUTED_VALUE"""),"Servicio de inspección, vigilancia y control de la pesca y la acuicultura")</f>
        <v>Servicio de inspección, vigilancia y control de la pesca y la acuicultura</v>
      </c>
      <c r="J110" s="48" t="str">
        <f>IFERROR(__xludf.DUMMYFUNCTION("""COMPUTED_VALUE"""),"Realizar los operativos de inspección, vigilancia y control.")</f>
        <v>Realizar los operativos de inspección, vigilancia y control.</v>
      </c>
      <c r="K110" s="51" t="str">
        <f>IFERROR(__xludf.DUMMYFUNCTION("""COMPUTED_VALUE"""),"Gestión")</f>
        <v>Gestión</v>
      </c>
      <c r="L110" s="51" t="str">
        <f>IFERROR(__xludf.DUMMYFUNCTION("""COMPUTED_VALUE"""),"Eficacia")</f>
        <v>Eficacia</v>
      </c>
      <c r="M110" s="51" t="str">
        <f>IFERROR(__xludf.DUMMYFUNCTION("""COMPUTED_VALUE"""),"Número")</f>
        <v>Número</v>
      </c>
      <c r="N110" s="52" t="str">
        <f>IFERROR(__xludf.DUMMYFUNCTION("""COMPUTED_VALUE"""),"No seguimientos a entrega de elementos")</f>
        <v>No seguimientos a entrega de elementos</v>
      </c>
      <c r="O110" s="53"/>
      <c r="P110" s="54">
        <f>IFERROR(__xludf.DUMMYFUNCTION("""COMPUTED_VALUE"""),40.0)</f>
        <v>40</v>
      </c>
      <c r="Q110" s="55" t="str">
        <f>IFERROR(__xludf.DUMMYFUNCTION("""COMPUTED_VALUE"""),"Realizar acciones para verificacion del buen uso de los elementos, equipos e insumos entregados a las asociaciones")</f>
        <v>Realizar acciones para verificacion del buen uso de los elementos, equipos e insumos entregados a las asociaciones</v>
      </c>
      <c r="R110" s="14" t="str">
        <f>IFERROR(__xludf.DUMMYFUNCTION("""COMPUTED_VALUE"""),"Trimestral")</f>
        <v>Trimestral</v>
      </c>
      <c r="S110" s="54">
        <f>IFERROR(__xludf.DUMMYFUNCTION("""COMPUTED_VALUE"""),5.0)</f>
        <v>5</v>
      </c>
      <c r="T110" s="54">
        <f>IFERROR(__xludf.DUMMYFUNCTION("""COMPUTED_VALUE"""),7.0)</f>
        <v>7</v>
      </c>
      <c r="U110" s="54">
        <f>IFERROR(__xludf.DUMMYFUNCTION("""COMPUTED_VALUE"""),11.0)</f>
        <v>11</v>
      </c>
      <c r="V110" s="54">
        <f>IFERROR(__xludf.DUMMYFUNCTION("""COMPUTED_VALUE"""),17.0)</f>
        <v>17</v>
      </c>
      <c r="W110" s="56" t="str">
        <f>IFERROR(__xludf.DUMMYFUNCTION("""COMPUTED_VALUE"""),"Regional Barranquilla")</f>
        <v>Regional Barranquilla</v>
      </c>
      <c r="X110" s="57" t="str">
        <f>IFERROR(__xludf.DUMMYFUNCTION("""COMPUTED_VALUE"""),"Jorge Roa")</f>
        <v>Jorge Roa</v>
      </c>
      <c r="Y110" s="47" t="str">
        <f>IFERROR(__xludf.DUMMYFUNCTION("""COMPUTED_VALUE"""),"Director Regional")</f>
        <v>Director Regional</v>
      </c>
      <c r="Z110" s="57" t="str">
        <f>IFERROR(__xludf.DUMMYFUNCTION("""COMPUTED_VALUE"""),"jorge.roa@aunap.gov.co")</f>
        <v>jorge.roa@aunap.gov.co</v>
      </c>
      <c r="AA110" s="47" t="str">
        <f>IFERROR(__xludf.DUMMYFUNCTION("""COMPUTED_VALUE"""),"Humanos, Físicos, Financieros, Tecnológicos")</f>
        <v>Humanos, Físicos, Financieros, Tecnológicos</v>
      </c>
      <c r="AB110" s="47" t="str">
        <f>IFERROR(__xludf.DUMMYFUNCTION("""COMPUTED_VALUE"""),"No asociado")</f>
        <v>No asociado</v>
      </c>
      <c r="AC110"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10" s="47" t="str">
        <f>IFERROR(__xludf.DUMMYFUNCTION("""COMPUTED_VALUE"""),"Gestión con valores para resultados")</f>
        <v>Gestión con valores para resultados</v>
      </c>
      <c r="AE110" s="47" t="str">
        <f>IFERROR(__xludf.DUMMYFUNCTION("""COMPUTED_VALUE"""),"Fortalecimiento Organizacional y Simplificación de Procesos")</f>
        <v>Fortalecimiento Organizacional y Simplificación de Procesos</v>
      </c>
      <c r="AF110" s="47" t="str">
        <f>IFERROR(__xludf.DUMMYFUNCTION("""COMPUTED_VALUE"""),"12. Producción y consumo responsable")</f>
        <v>12. Producción y consumo responsable</v>
      </c>
      <c r="AG110" s="58">
        <f>IFERROR(__xludf.DUMMYFUNCTION("""COMPUTED_VALUE"""),11.0)</f>
        <v>11</v>
      </c>
      <c r="AH110" s="59" t="str">
        <f>IFERROR(__xludf.DUMMYFUNCTION("""COMPUTED_VALUE"""),"Aunque no se cumplio la meta planteada para el trimestre al cual faltasrton dos acciones dentro d elo programado, la meta establecida  para el año fue superada para este indicador")</f>
        <v>Aunque no se cumplio la meta planteada para el trimestre al cual faltasrton dos acciones dentro d elo programado, la meta establecida  para el año fue superada para este indicador</v>
      </c>
      <c r="AI110" s="77" t="str">
        <f>IFERROR(__xludf.DUMMYFUNCTION("""COMPUTED_VALUE"""),"https://drive.google.com/drive/folders/1oycY07LEePDBvgaHERIBBlS1ahyA5pdS")</f>
        <v>https://drive.google.com/drive/folders/1oycY07LEePDBvgaHERIBBlS1ahyA5pdS</v>
      </c>
      <c r="AJ110" s="59">
        <f>IFERROR(__xludf.DUMMYFUNCTION("""COMPUTED_VALUE"""),51.0)</f>
        <v>51</v>
      </c>
      <c r="AK110" s="59" t="str">
        <f>IFERROR(__xludf.DUMMYFUNCTION("""COMPUTED_VALUE"""),"Se dio cumplimiento a la meta propuesta en el año, sobrepasando la misma en una minima porcentaje ")</f>
        <v>Se dio cumplimiento a la meta propuesta en el año, sobrepasando la misma en una minima porcentaje </v>
      </c>
      <c r="AL110" s="59"/>
      <c r="AM110" s="60"/>
      <c r="AN110" s="61" t="str">
        <f>IFERROR(IF((AO110+1)&lt;2,Alertas!$B$2&amp;TEXT(AO110,"0%")&amp;Alertas!$D$2, IF((AO110+1)=2,Alertas!$B$3,IF((AO110+1)&gt;2,Alertas!$B$4&amp;TEXT(AO110,"0%")&amp;Alertas!$D$4,AO110+1))),"Sin meta para el segundo trimestre")</f>
        <v>La ejecución de la meta registrada se encuentra por encima de la meta programada en la formulación del plan de acción para el segundo trimestre, su porcentaje de cumplimiento es 157%,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10" s="62">
        <f t="shared" si="2"/>
        <v>1.571428571</v>
      </c>
      <c r="AP110" s="61" t="str">
        <f t="shared" si="3"/>
        <v>No reporto evidencia.
La ejecución de la meta registrada se encuentra por encima de la meta programada en la formulación del plan de acción para el segundo trimestre, su porcentaje de cumplimiento es 157%,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10" s="63"/>
      <c r="AR110" s="64"/>
      <c r="AS110" s="65"/>
      <c r="AT110" s="65"/>
      <c r="AU110" s="66"/>
      <c r="AV110" s="67"/>
      <c r="AW110" s="68"/>
      <c r="AX110" s="63"/>
      <c r="AY110" s="64"/>
      <c r="AZ110" s="69"/>
      <c r="BA110" s="65"/>
      <c r="BB110" s="70"/>
      <c r="BC110" s="71"/>
      <c r="BD110" s="72"/>
      <c r="BE110" s="73"/>
      <c r="BF110" s="64"/>
      <c r="BG110" s="69"/>
      <c r="BH110" s="65"/>
      <c r="BI110" s="66"/>
      <c r="BJ110" s="71"/>
      <c r="BK110" s="72"/>
      <c r="BL110" s="74"/>
      <c r="BN110" s="5" t="str">
        <f t="shared" si="23"/>
        <v>1</v>
      </c>
      <c r="BP110" s="5"/>
    </row>
    <row r="111" ht="37.5" customHeight="1">
      <c r="A111" s="45"/>
      <c r="B111" s="46">
        <f>IFERROR(__xludf.DUMMYFUNCTION("""COMPUTED_VALUE"""),109.0)</f>
        <v>109</v>
      </c>
      <c r="C111" s="47" t="str">
        <f>IFERROR(__xludf.DUMMYFUNCTION("""COMPUTED_VALUE"""),"Gestión de la inspección y vigilancia")</f>
        <v>Gestión de la inspección y vigilancia</v>
      </c>
      <c r="D111" s="48" t="str">
        <f>IFERROR(__xludf.DUMMYFUNCTION("""COMPUTED_VALUE"""),"Regional Barranquilla")</f>
        <v>Regional Barranquilla</v>
      </c>
      <c r="E111"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11" s="49">
        <f>IFERROR(__xludf.DUMMYFUNCTION("""COMPUTED_VALUE"""),2.019011000276E12)</f>
        <v>2019011000276</v>
      </c>
      <c r="G111" s="50" t="str">
        <f>IFERROR(__xludf.DUMMYFUNCTION("""COMPUTED_VALUE"""),"Inspección")</f>
        <v>Inspección</v>
      </c>
      <c r="H111" s="48" t="str">
        <f>IFERROR(__xludf.DUMMYFUNCTION("""COMPUTED_VALUE"""),"Aumentar el conocimiento de la normatividad pesquera y de la acuicultura por parte de la comunidad.")</f>
        <v>Aumentar el conocimiento de la normatividad pesquera y de la acuicultura por parte de la comunidad.</v>
      </c>
      <c r="I111" s="48" t="str">
        <f>IFERROR(__xludf.DUMMYFUNCTION("""COMPUTED_VALUE"""),"Servicio de divulgación y socialización")</f>
        <v>Servicio de divulgación y socialización</v>
      </c>
      <c r="J111" s="48" t="str">
        <f>IFERROR(__xludf.DUMMYFUNCTION("""COMPUTED_VALUE"""),"Implementar las estrategias de socialización y Divulgación a la comunidad")</f>
        <v>Implementar las estrategias de socialización y Divulgación a la comunidad</v>
      </c>
      <c r="K111" s="51" t="str">
        <f>IFERROR(__xludf.DUMMYFUNCTION("""COMPUTED_VALUE"""),"Gestión del área")</f>
        <v>Gestión del área</v>
      </c>
      <c r="L111" s="51" t="str">
        <f>IFERROR(__xludf.DUMMYFUNCTION("""COMPUTED_VALUE"""),"Eficacia")</f>
        <v>Eficacia</v>
      </c>
      <c r="M111" s="51" t="str">
        <f>IFERROR(__xludf.DUMMYFUNCTION("""COMPUTED_VALUE"""),"Número")</f>
        <v>Número</v>
      </c>
      <c r="N111" s="52" t="str">
        <f>IFERROR(__xludf.DUMMYFUNCTION("""COMPUTED_VALUE"""),"Asociaciones instruidas en implementacion de normatividad pesqueras y acuicola")</f>
        <v>Asociaciones instruidas en implementacion de normatividad pesqueras y acuicola</v>
      </c>
      <c r="O111" s="53"/>
      <c r="P111" s="54">
        <f>IFERROR(__xludf.DUMMYFUNCTION("""COMPUTED_VALUE"""),40.0)</f>
        <v>40</v>
      </c>
      <c r="Q111" s="55" t="str">
        <f>IFERROR(__xludf.DUMMYFUNCTION("""COMPUTED_VALUE"""),"Instruir a las asociaciones en el conocimiento y aplicación de la normatividad pesquera y acuicola del pais para el ejercicio de la pesca y la acuicultura")</f>
        <v>Instruir a las asociaciones en el conocimiento y aplicación de la normatividad pesquera y acuicola del pais para el ejercicio de la pesca y la acuicultura</v>
      </c>
      <c r="R111" s="14" t="str">
        <f>IFERROR(__xludf.DUMMYFUNCTION("""COMPUTED_VALUE"""),"Trimestral")</f>
        <v>Trimestral</v>
      </c>
      <c r="S111" s="54">
        <f>IFERROR(__xludf.DUMMYFUNCTION("""COMPUTED_VALUE"""),5.0)</f>
        <v>5</v>
      </c>
      <c r="T111" s="54">
        <f>IFERROR(__xludf.DUMMYFUNCTION("""COMPUTED_VALUE"""),10.0)</f>
        <v>10</v>
      </c>
      <c r="U111" s="54">
        <f>IFERROR(__xludf.DUMMYFUNCTION("""COMPUTED_VALUE"""),15.0)</f>
        <v>15</v>
      </c>
      <c r="V111" s="54">
        <f>IFERROR(__xludf.DUMMYFUNCTION("""COMPUTED_VALUE"""),10.0)</f>
        <v>10</v>
      </c>
      <c r="W111" s="56" t="str">
        <f>IFERROR(__xludf.DUMMYFUNCTION("""COMPUTED_VALUE"""),"Regional Barranquilla")</f>
        <v>Regional Barranquilla</v>
      </c>
      <c r="X111" s="57" t="str">
        <f>IFERROR(__xludf.DUMMYFUNCTION("""COMPUTED_VALUE"""),"Jorge Roa")</f>
        <v>Jorge Roa</v>
      </c>
      <c r="Y111" s="47" t="str">
        <f>IFERROR(__xludf.DUMMYFUNCTION("""COMPUTED_VALUE"""),"Director Regional")</f>
        <v>Director Regional</v>
      </c>
      <c r="Z111" s="57" t="str">
        <f>IFERROR(__xludf.DUMMYFUNCTION("""COMPUTED_VALUE"""),"jorge.roa@aunap.gov.co")</f>
        <v>jorge.roa@aunap.gov.co</v>
      </c>
      <c r="AA111" s="47" t="str">
        <f>IFERROR(__xludf.DUMMYFUNCTION("""COMPUTED_VALUE"""),"Humanos, Físicos, Financieros, Tecnológicos")</f>
        <v>Humanos, Físicos, Financieros, Tecnológicos</v>
      </c>
      <c r="AB111" s="47" t="str">
        <f>IFERROR(__xludf.DUMMYFUNCTION("""COMPUTED_VALUE"""),"No asociado")</f>
        <v>No asociado</v>
      </c>
      <c r="AC111" s="47" t="str">
        <f>IFERROR(__xludf.DUMMYFUNCTION("""COMPUTED_VALUE"""),"Propiciar la formalización de la pesca y la acuicultura")</f>
        <v>Propiciar la formalización de la pesca y la acuicultura</v>
      </c>
      <c r="AD111" s="47" t="str">
        <f>IFERROR(__xludf.DUMMYFUNCTION("""COMPUTED_VALUE"""),"Gestión con valores para resultados")</f>
        <v>Gestión con valores para resultados</v>
      </c>
      <c r="AE111" s="47" t="str">
        <f>IFERROR(__xludf.DUMMYFUNCTION("""COMPUTED_VALUE"""),"Fortalecimiento Organizacional y Simplificación de Procesos")</f>
        <v>Fortalecimiento Organizacional y Simplificación de Procesos</v>
      </c>
      <c r="AF111" s="47" t="str">
        <f>IFERROR(__xludf.DUMMYFUNCTION("""COMPUTED_VALUE"""),"12. Producción y consumo responsable")</f>
        <v>12. Producción y consumo responsable</v>
      </c>
      <c r="AG111" s="58">
        <f>IFERROR(__xludf.DUMMYFUNCTION("""COMPUTED_VALUE"""),12.0)</f>
        <v>12</v>
      </c>
      <c r="AH111" s="59" t="str">
        <f>IFERROR(__xludf.DUMMYFUNCTION("""COMPUTED_VALUE"""),"Se cumplio con el numero de divulgaciones propuestas durante la vigencia ")</f>
        <v>Se cumplio con el numero de divulgaciones propuestas durante la vigencia </v>
      </c>
      <c r="AI111" s="81" t="str">
        <f>IFERROR(__xludf.DUMMYFUNCTION("""COMPUTED_VALUE"""),"https://drive.google.com/drive/folders/1T0-jdbsFO47P1u4wfycaEKbe41pydYLd")</f>
        <v>https://drive.google.com/drive/folders/1T0-jdbsFO47P1u4wfycaEKbe41pydYLd</v>
      </c>
      <c r="AJ111" s="59">
        <f>IFERROR(__xludf.DUMMYFUNCTION("""COMPUTED_VALUE"""),40.0)</f>
        <v>40</v>
      </c>
      <c r="AK111" s="59" t="str">
        <f>IFERROR(__xludf.DUMMYFUNCTION("""COMPUTED_VALUE"""),"Se dio cumplimiento a la meta planteada en el año ")</f>
        <v>Se dio cumplimiento a la meta planteada en el año </v>
      </c>
      <c r="AL111" s="59" t="str">
        <f>IFERROR(__xludf.DUMMYFUNCTION("""COMPUTED_VALUE"""),"Reporte ok")</f>
        <v>Reporte ok</v>
      </c>
      <c r="AM111" s="60"/>
      <c r="AN111" s="61" t="str">
        <f>IFERROR(IF((AO111+1)&lt;2,Alertas!$B$2&amp;TEXT(AO111,"0%")&amp;Alertas!$D$2, IF((AO111+1)=2,Alertas!$B$3,IF((AO111+1)&gt;2,Alertas!$B$4&amp;TEXT(AO111,"0%")&amp;Alertas!$D$4,AO111+1))),"Sin meta para el segundo trimestre")</f>
        <v>La ejecución de la meta registrada se encuentra por encima de la meta programada en la formulación del plan de acción para el segundo trimestre, su porcentaje de cumplimiento es 120%,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11" s="62">
        <f t="shared" si="2"/>
        <v>1.2</v>
      </c>
      <c r="AP111" s="61" t="str">
        <f t="shared" si="3"/>
        <v>La ejecución de la meta registrada se encuentra por encima de la meta programada en la formulación del plan de acción para el segundo trimestre, su porcentaje de cumplimiento es 120%,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11" s="63"/>
      <c r="AR111" s="64"/>
      <c r="AS111" s="65"/>
      <c r="AT111" s="65"/>
      <c r="AU111" s="66"/>
      <c r="AV111" s="67"/>
      <c r="AW111" s="68"/>
      <c r="AX111" s="63"/>
      <c r="AY111" s="64"/>
      <c r="AZ111" s="69"/>
      <c r="BA111" s="65"/>
      <c r="BB111" s="70"/>
      <c r="BC111" s="71"/>
      <c r="BD111" s="72"/>
      <c r="BE111" s="73"/>
      <c r="BF111" s="64"/>
      <c r="BG111" s="69"/>
      <c r="BH111" s="65"/>
      <c r="BI111" s="66"/>
      <c r="BJ111" s="71"/>
      <c r="BK111" s="72"/>
      <c r="BL111" s="74"/>
      <c r="BN111" s="5" t="str">
        <f t="shared" si="23"/>
        <v>1</v>
      </c>
      <c r="BP111" s="5"/>
    </row>
    <row r="112" ht="37.5" customHeight="1">
      <c r="A112" s="45"/>
      <c r="B112" s="46">
        <f>IFERROR(__xludf.DUMMYFUNCTION("""COMPUTED_VALUE"""),110.0)</f>
        <v>110</v>
      </c>
      <c r="C112" s="47" t="str">
        <f>IFERROR(__xludf.DUMMYFUNCTION("""COMPUTED_VALUE"""),"Gestión de la inspección y vigilancia")</f>
        <v>Gestión de la inspección y vigilancia</v>
      </c>
      <c r="D112" s="48" t="str">
        <f>IFERROR(__xludf.DUMMYFUNCTION("""COMPUTED_VALUE"""),"Regional Barranquilla")</f>
        <v>Regional Barranquilla</v>
      </c>
      <c r="E112"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12" s="49">
        <f>IFERROR(__xludf.DUMMYFUNCTION("""COMPUTED_VALUE"""),2.019011000276E12)</f>
        <v>2019011000276</v>
      </c>
      <c r="G112" s="50" t="str">
        <f>IFERROR(__xludf.DUMMYFUNCTION("""COMPUTED_VALUE"""),"Inspección")</f>
        <v>Inspección</v>
      </c>
      <c r="H112" s="48" t="str">
        <f>IFERROR(__xludf.DUMMYFUNCTION("""COMPUTED_VALUE"""),"Aumentar el conocimiento de la normatividad pesquera y de la acuicultura por parte de la comunidad.")</f>
        <v>Aumentar el conocimiento de la normatividad pesquera y de la acuicultura por parte de la comunidad.</v>
      </c>
      <c r="I112" s="48" t="str">
        <f>IFERROR(__xludf.DUMMYFUNCTION("""COMPUTED_VALUE"""),"Servicio de divulgación y socialización")</f>
        <v>Servicio de divulgación y socialización</v>
      </c>
      <c r="J112" s="48" t="str">
        <f>IFERROR(__xludf.DUMMYFUNCTION("""COMPUTED_VALUE"""),"Implementar las estrategias de socialización y Divulgación a la comunidad")</f>
        <v>Implementar las estrategias de socialización y Divulgación a la comunidad</v>
      </c>
      <c r="K112" s="51" t="str">
        <f>IFERROR(__xludf.DUMMYFUNCTION("""COMPUTED_VALUE"""),"Gestión del área")</f>
        <v>Gestión del área</v>
      </c>
      <c r="L112" s="51" t="str">
        <f>IFERROR(__xludf.DUMMYFUNCTION("""COMPUTED_VALUE"""),"Eficacia")</f>
        <v>Eficacia</v>
      </c>
      <c r="M112" s="51" t="str">
        <f>IFERROR(__xludf.DUMMYFUNCTION("""COMPUTED_VALUE"""),"Número")</f>
        <v>Número</v>
      </c>
      <c r="N112" s="52" t="str">
        <f>IFERROR(__xludf.DUMMYFUNCTION("""COMPUTED_VALUE"""),"Grupo de interes instruidas en implementacion de normatividad pesqueras y acuicola")</f>
        <v>Grupo de interes instruidas en implementacion de normatividad pesqueras y acuicola</v>
      </c>
      <c r="O112" s="53"/>
      <c r="P112" s="54">
        <f>IFERROR(__xludf.DUMMYFUNCTION("""COMPUTED_VALUE"""),40.0)</f>
        <v>40</v>
      </c>
      <c r="Q112" s="55" t="str">
        <f>IFERROR(__xludf.DUMMYFUNCTION("""COMPUTED_VALUE"""),"Instruir a los grupos de interes en el conocimiento y aplicación de la normatividad pesquera y acuicola del pais para el ejercicio de la pesca y la acuicultura")</f>
        <v>Instruir a los grupos de interes en el conocimiento y aplicación de la normatividad pesquera y acuicola del pais para el ejercicio de la pesca y la acuicultura</v>
      </c>
      <c r="R112" s="14" t="str">
        <f>IFERROR(__xludf.DUMMYFUNCTION("""COMPUTED_VALUE"""),"Trimestral")</f>
        <v>Trimestral</v>
      </c>
      <c r="S112" s="54">
        <f>IFERROR(__xludf.DUMMYFUNCTION("""COMPUTED_VALUE"""),5.0)</f>
        <v>5</v>
      </c>
      <c r="T112" s="54">
        <f>IFERROR(__xludf.DUMMYFUNCTION("""COMPUTED_VALUE"""),10.0)</f>
        <v>10</v>
      </c>
      <c r="U112" s="54">
        <f>IFERROR(__xludf.DUMMYFUNCTION("""COMPUTED_VALUE"""),15.0)</f>
        <v>15</v>
      </c>
      <c r="V112" s="54">
        <f>IFERROR(__xludf.DUMMYFUNCTION("""COMPUTED_VALUE"""),10.0)</f>
        <v>10</v>
      </c>
      <c r="W112" s="56" t="str">
        <f>IFERROR(__xludf.DUMMYFUNCTION("""COMPUTED_VALUE"""),"Regional Barranquilla")</f>
        <v>Regional Barranquilla</v>
      </c>
      <c r="X112" s="57" t="str">
        <f>IFERROR(__xludf.DUMMYFUNCTION("""COMPUTED_VALUE"""),"Jorge Roa")</f>
        <v>Jorge Roa</v>
      </c>
      <c r="Y112" s="47" t="str">
        <f>IFERROR(__xludf.DUMMYFUNCTION("""COMPUTED_VALUE"""),"Director Regional")</f>
        <v>Director Regional</v>
      </c>
      <c r="Z112" s="57" t="str">
        <f>IFERROR(__xludf.DUMMYFUNCTION("""COMPUTED_VALUE"""),"jorge.roa@aunap.gov.co")</f>
        <v>jorge.roa@aunap.gov.co</v>
      </c>
      <c r="AA112" s="47" t="str">
        <f>IFERROR(__xludf.DUMMYFUNCTION("""COMPUTED_VALUE"""),"Humanos, Físicos, Financieros, Tecnológicos")</f>
        <v>Humanos, Físicos, Financieros, Tecnológicos</v>
      </c>
      <c r="AB112" s="47" t="str">
        <f>IFERROR(__xludf.DUMMYFUNCTION("""COMPUTED_VALUE"""),"No asociado")</f>
        <v>No asociado</v>
      </c>
      <c r="AC112" s="47" t="str">
        <f>IFERROR(__xludf.DUMMYFUNCTION("""COMPUTED_VALUE"""),"Propiciar la formalización de la pesca y la acuicultura")</f>
        <v>Propiciar la formalización de la pesca y la acuicultura</v>
      </c>
      <c r="AD112" s="47" t="str">
        <f>IFERROR(__xludf.DUMMYFUNCTION("""COMPUTED_VALUE"""),"Gestión con valores para resultados")</f>
        <v>Gestión con valores para resultados</v>
      </c>
      <c r="AE112" s="47" t="str">
        <f>IFERROR(__xludf.DUMMYFUNCTION("""COMPUTED_VALUE"""),"Fortalecimiento Organizacional y Simplificación de Procesos")</f>
        <v>Fortalecimiento Organizacional y Simplificación de Procesos</v>
      </c>
      <c r="AF112" s="47" t="str">
        <f>IFERROR(__xludf.DUMMYFUNCTION("""COMPUTED_VALUE"""),"12. Producción y consumo responsable")</f>
        <v>12. Producción y consumo responsable</v>
      </c>
      <c r="AG112" s="58">
        <f>IFERROR(__xludf.DUMMYFUNCTION("""COMPUTED_VALUE"""),13.0)</f>
        <v>13</v>
      </c>
      <c r="AH112" s="59" t="str">
        <f>IFERROR(__xludf.DUMMYFUNCTION("""COMPUTED_VALUE"""),"Se dio cumplimiento a lo programado para la vigencia del ")</f>
        <v>Se dio cumplimiento a lo programado para la vigencia del </v>
      </c>
      <c r="AI112" s="77" t="str">
        <f>IFERROR(__xludf.DUMMYFUNCTION("""COMPUTED_VALUE"""),"https://drive.google.com/drive/folders/1FFlCbSKi2stxptHRjhENm9F6Y7F6bJ8a")</f>
        <v>https://drive.google.com/drive/folders/1FFlCbSKi2stxptHRjhENm9F6Y7F6bJ8a</v>
      </c>
      <c r="AJ112" s="59">
        <f>IFERROR(__xludf.DUMMYFUNCTION("""COMPUTED_VALUE"""),40.0)</f>
        <v>40</v>
      </c>
      <c r="AK112" s="59" t="str">
        <f>IFERROR(__xludf.DUMMYFUNCTION("""COMPUTED_VALUE"""),"Se dio cumplimiento a la meta planteada en el año ")</f>
        <v>Se dio cumplimiento a la meta planteada en el año </v>
      </c>
      <c r="AL112" s="59" t="str">
        <f>IFERROR(__xludf.DUMMYFUNCTION("""COMPUTED_VALUE"""),"Reporte ok")</f>
        <v>Reporte ok</v>
      </c>
      <c r="AM112" s="60"/>
      <c r="AN112" s="61" t="str">
        <f>IFERROR(IF((AO112+1)&lt;2,Alertas!$B$2&amp;TEXT(AO112,"0%")&amp;Alertas!$D$2, IF((AO112+1)=2,Alertas!$B$3,IF((AO112+1)&gt;2,Alertas!$B$4&amp;TEXT(AO112,"0%")&amp;Alertas!$D$4,AO112+1))),"Sin meta para el segundo trimestre")</f>
        <v>La ejecución de la meta registrada se encuentra por encima de la meta programada en la formulación del plan de acción para el segundo trimestre, su porcentaje de cumplimiento es 130%,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12" s="62">
        <f t="shared" si="2"/>
        <v>1.3</v>
      </c>
      <c r="AP112" s="61" t="str">
        <f t="shared" si="3"/>
        <v>La ejecución de la meta registrada se encuentra por encima de la meta programada en la formulación del plan de acción para el segundo trimestre, su porcentaje de cumplimiento es 130%,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12" s="63"/>
      <c r="AR112" s="64"/>
      <c r="AS112" s="65"/>
      <c r="AT112" s="65"/>
      <c r="AU112" s="66"/>
      <c r="AV112" s="67"/>
      <c r="AW112" s="68"/>
      <c r="AX112" s="63"/>
      <c r="AY112" s="64"/>
      <c r="AZ112" s="69"/>
      <c r="BA112" s="65"/>
      <c r="BB112" s="70"/>
      <c r="BC112" s="71"/>
      <c r="BD112" s="72"/>
      <c r="BE112" s="73"/>
      <c r="BF112" s="64"/>
      <c r="BG112" s="69"/>
      <c r="BH112" s="65"/>
      <c r="BI112" s="66"/>
      <c r="BJ112" s="71"/>
      <c r="BK112" s="72"/>
      <c r="BL112" s="74"/>
      <c r="BN112" s="5" t="str">
        <f t="shared" si="23"/>
        <v>1</v>
      </c>
      <c r="BP112" s="5"/>
    </row>
    <row r="113" ht="37.5" customHeight="1">
      <c r="A113" s="45"/>
      <c r="B113" s="46">
        <f>IFERROR(__xludf.DUMMYFUNCTION("""COMPUTED_VALUE"""),111.0)</f>
        <v>111</v>
      </c>
      <c r="C113" s="47" t="str">
        <f>IFERROR(__xludf.DUMMYFUNCTION("""COMPUTED_VALUE"""),"Gestión de la administración y fomento")</f>
        <v>Gestión de la administración y fomento</v>
      </c>
      <c r="D113" s="48" t="str">
        <f>IFERROR(__xludf.DUMMYFUNCTION("""COMPUTED_VALUE"""),"Regional Bogotá")</f>
        <v>Regional Bogotá</v>
      </c>
      <c r="E113" s="48" t="str">
        <f>IFERROR(__xludf.DUMMYFUNCTION("""COMPUTED_VALUE"""),"Fortalecimiento de la sostenibilidad del sector pesquero y de la acuicultura en el territorio nacional")</f>
        <v>Fortalecimiento de la sostenibilidad del sector pesquero y de la acuicultura en el territorio nacional</v>
      </c>
      <c r="F113" s="49">
        <f>IFERROR(__xludf.DUMMYFUNCTION("""COMPUTED_VALUE"""),2.01901100028E12)</f>
        <v>2019011000280</v>
      </c>
      <c r="G113" s="50" t="str">
        <f>IFERROR(__xludf.DUMMYFUNCTION("""COMPUTED_VALUE"""),"Sostenibilidad")</f>
        <v>Sostenibilidad</v>
      </c>
      <c r="H113" s="48" t="str">
        <f>IFERROR(__xludf.DUMMYFUNCTION("""COMPUTED_VALUE"""),"Mejorar la explotación de los recursos pesqueros y de la acuicultura.")</f>
        <v>Mejorar la explotación de los recursos pesqueros y de la acuicultura.</v>
      </c>
      <c r="I113" s="48" t="str">
        <f>IFERROR(__xludf.DUMMYFUNCTION("""COMPUTED_VALUE"""),"1-Servicios de apoyo a las estaciones de acuicultura")</f>
        <v>1-Servicios de apoyo a las estaciones de acuicultura</v>
      </c>
      <c r="J113" s="48" t="str">
        <f>IFERROR(__xludf.DUMMYFUNCTION("""COMPUTED_VALUE"""),"Desarrollar acciones de extensión rural a través de las estaciones de acuicultura")</f>
        <v>Desarrollar acciones de extensión rural a través de las estaciones de acuicultura</v>
      </c>
      <c r="K113" s="51" t="str">
        <f>IFERROR(__xludf.DUMMYFUNCTION("""COMPUTED_VALUE"""),"Producto")</f>
        <v>Producto</v>
      </c>
      <c r="L113" s="51" t="str">
        <f>IFERROR(__xludf.DUMMYFUNCTION("""COMPUTED_VALUE"""),"Eficacia")</f>
        <v>Eficacia</v>
      </c>
      <c r="M113" s="51" t="str">
        <f>IFERROR(__xludf.DUMMYFUNCTION("""COMPUTED_VALUE"""),"Número")</f>
        <v>Número</v>
      </c>
      <c r="N113" s="52" t="str">
        <f>IFERROR(__xludf.DUMMYFUNCTION("""COMPUTED_VALUE"""),"Estaciones de acuicultura apoyadas")</f>
        <v>Estaciones de acuicultura apoyadas</v>
      </c>
      <c r="O113" s="53"/>
      <c r="P113" s="54">
        <f>IFERROR(__xludf.DUMMYFUNCTION("""COMPUTED_VALUE"""),1.0)</f>
        <v>1</v>
      </c>
      <c r="Q113" s="55" t="str">
        <f>IFERROR(__xludf.DUMMYFUNCTION("""COMPUTED_VALUE"""),"Apoyo a estaciones de acuicultura (Gigante-Huila)")</f>
        <v>Apoyo a estaciones de acuicultura (Gigante-Huila)</v>
      </c>
      <c r="R113" s="14" t="str">
        <f>IFERROR(__xludf.DUMMYFUNCTION("""COMPUTED_VALUE"""),"Anual")</f>
        <v>Anual</v>
      </c>
      <c r="S113" s="54">
        <f>IFERROR(__xludf.DUMMYFUNCTION("""COMPUTED_VALUE"""),0.0)</f>
        <v>0</v>
      </c>
      <c r="T113" s="54">
        <f>IFERROR(__xludf.DUMMYFUNCTION("""COMPUTED_VALUE"""),0.0)</f>
        <v>0</v>
      </c>
      <c r="U113" s="54">
        <f>IFERROR(__xludf.DUMMYFUNCTION("""COMPUTED_VALUE"""),0.0)</f>
        <v>0</v>
      </c>
      <c r="V113" s="54">
        <f>IFERROR(__xludf.DUMMYFUNCTION("""COMPUTED_VALUE"""),1.0)</f>
        <v>1</v>
      </c>
      <c r="W113" s="56" t="str">
        <f>IFERROR(__xludf.DUMMYFUNCTION("""COMPUTED_VALUE"""),"Regional Bogota")</f>
        <v>Regional Bogota</v>
      </c>
      <c r="X113" s="57" t="str">
        <f>IFERROR(__xludf.DUMMYFUNCTION("""COMPUTED_VALUE"""),"Carlos Augusto Borda Rodriguez")</f>
        <v>Carlos Augusto Borda Rodriguez</v>
      </c>
      <c r="Y113" s="47" t="str">
        <f>IFERROR(__xludf.DUMMYFUNCTION("""COMPUTED_VALUE"""),"Director Regional Bogotá")</f>
        <v>Director Regional Bogotá</v>
      </c>
      <c r="Z113" s="57" t="str">
        <f>IFERROR(__xludf.DUMMYFUNCTION("""COMPUTED_VALUE"""),"carlos.borda@aunap.gov.co")</f>
        <v>carlos.borda@aunap.gov.co</v>
      </c>
      <c r="AA113" s="47" t="str">
        <f>IFERROR(__xludf.DUMMYFUNCTION("""COMPUTED_VALUE"""),"Humanos, Físicos, Financieros, Tecnológicos")</f>
        <v>Humanos, Físicos, Financieros, Tecnológicos</v>
      </c>
      <c r="AB113" s="47" t="str">
        <f>IFERROR(__xludf.DUMMYFUNCTION("""COMPUTED_VALUE"""),"No asociado")</f>
        <v>No asociado</v>
      </c>
      <c r="AC113" s="47" t="str">
        <f>IFERROR(__xludf.DUMMYFUNCTION("""COMPUTED_VALUE"""),"Llegar con actividades de pesca y acuicultura a todas las regiones")</f>
        <v>Llegar con actividades de pesca y acuicultura a todas las regiones</v>
      </c>
      <c r="AD113" s="47" t="str">
        <f>IFERROR(__xludf.DUMMYFUNCTION("""COMPUTED_VALUE"""),"Gestión con valores para resultados")</f>
        <v>Gestión con valores para resultados</v>
      </c>
      <c r="AE113" s="47" t="str">
        <f>IFERROR(__xludf.DUMMYFUNCTION("""COMPUTED_VALUE"""),"Fortalecimiento Organizacional y Simplificación de Procesos")</f>
        <v>Fortalecimiento Organizacional y Simplificación de Procesos</v>
      </c>
      <c r="AF113" s="47" t="str">
        <f>IFERROR(__xludf.DUMMYFUNCTION("""COMPUTED_VALUE"""),"12. Producción y consumo responsable")</f>
        <v>12. Producción y consumo responsable</v>
      </c>
      <c r="AG113" s="58">
        <f>IFERROR(__xludf.DUMMYFUNCTION("""COMPUTED_VALUE"""),1.0)</f>
        <v>1</v>
      </c>
      <c r="AH113" s="59" t="str">
        <f>IFERROR(__xludf.DUMMYFUNCTION("""COMPUTED_VALUE"""),"Durante esta vigencia se adelanto el convenio con la entrega de insumos para el sostenimiento de las instalaciones y los peces con que cuenta la estación, mas se presentaron inconvenientes con el suministro constante de alimento balanceado. La evidencia r"&amp;"eposa en la DTAF quien es el área que lidera esta acción.")</f>
        <v>Durante esta vigencia se adelanto el convenio con la entrega de insumos para el sostenimiento de las instalaciones y los peces con que cuenta la estación, mas se presentaron inconvenientes con el suministro constante de alimento balanceado. La evidencia reposa en la DTAF quien es el área que lidera esta acción.</v>
      </c>
      <c r="AI113" s="77" t="str">
        <f>IFERROR(__xludf.DUMMYFUNCTION("""COMPUTED_VALUE"""),"https://drive.google.com/drive/folders/1PM-1JLen1zpPc8VRGRo2H8p_6t6HvItK")</f>
        <v>https://drive.google.com/drive/folders/1PM-1JLen1zpPc8VRGRo2H8p_6t6HvItK</v>
      </c>
      <c r="AJ113" s="59">
        <f>IFERROR(__xludf.DUMMYFUNCTION("""COMPUTED_VALUE"""),1.0)</f>
        <v>1</v>
      </c>
      <c r="AK113" s="59" t="str">
        <f>IFERROR(__xludf.DUMMYFUNCTION("""COMPUTED_VALUE"""),"Se realizo un convenio para el suministro de insumos con")</f>
        <v>Se realizo un convenio para el suministro de insumos con</v>
      </c>
      <c r="AL113" s="59">
        <f>IFERROR(__xludf.DUMMYFUNCTION("""COMPUTED_VALUE"""),44582.0)</f>
        <v>44582</v>
      </c>
      <c r="AM113" s="60"/>
      <c r="AN113" s="61" t="str">
        <f>IFERROR(IF((AO113+1)&lt;2,Alertas!$B$2&amp;TEXT(AO113,"0%")&amp;Alertas!$D$2, IF((AO113+1)=2,Alertas!$B$3,IF((AO113+1)&gt;2,Alertas!$B$4&amp;TEXT(AO113,"0%")&amp;Alertas!$D$4,AO113+1))),"Sin meta para el segundo trimestre")</f>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13" s="62">
        <f t="shared" si="2"/>
        <v>2</v>
      </c>
      <c r="AP113" s="61" t="str">
        <f t="shared" si="3"/>
        <v>La ejecución de la meta registrada se encuentra por encima de la meta programada en la formulación del plan de acción para el segundo trimestre, su porcentaje de cumplimiento es 200%,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13" s="63"/>
      <c r="AR113" s="64"/>
      <c r="AS113" s="65"/>
      <c r="AT113" s="65"/>
      <c r="AU113" s="66"/>
      <c r="AV113" s="67"/>
      <c r="AW113" s="68"/>
      <c r="AX113" s="63"/>
      <c r="AY113" s="64"/>
      <c r="AZ113" s="69"/>
      <c r="BA113" s="65"/>
      <c r="BB113" s="70"/>
      <c r="BC113" s="71"/>
      <c r="BD113" s="72"/>
      <c r="BE113" s="73"/>
      <c r="BF113" s="64"/>
      <c r="BG113" s="69"/>
      <c r="BH113" s="65"/>
      <c r="BI113" s="66"/>
      <c r="BJ113" s="71"/>
      <c r="BK113" s="72"/>
      <c r="BL113" s="74"/>
      <c r="BN113" s="5" t="str">
        <f t="shared" si="23"/>
        <v>1</v>
      </c>
      <c r="BP113" s="5"/>
    </row>
    <row r="114" ht="37.5" customHeight="1">
      <c r="A114" s="45"/>
      <c r="B114" s="46">
        <f>IFERROR(__xludf.DUMMYFUNCTION("""COMPUTED_VALUE"""),112.0)</f>
        <v>112</v>
      </c>
      <c r="C114" s="47" t="str">
        <f>IFERROR(__xludf.DUMMYFUNCTION("""COMPUTED_VALUE"""),"Gestión de la administración y fomento")</f>
        <v>Gestión de la administración y fomento</v>
      </c>
      <c r="D114" s="48" t="str">
        <f>IFERROR(__xludf.DUMMYFUNCTION("""COMPUTED_VALUE"""),"Regional Bogotá")</f>
        <v>Regional Bogotá</v>
      </c>
      <c r="E114" s="48" t="str">
        <f>IFERROR(__xludf.DUMMYFUNCTION("""COMPUTED_VALUE"""),"Fortalecimiento de la sostenibilidad del sector pesquero y de la acuicultura en el territorio nacional")</f>
        <v>Fortalecimiento de la sostenibilidad del sector pesquero y de la acuicultura en el territorio nacional</v>
      </c>
      <c r="F114" s="49">
        <f>IFERROR(__xludf.DUMMYFUNCTION("""COMPUTED_VALUE"""),2.01901100028E12)</f>
        <v>2019011000280</v>
      </c>
      <c r="G114" s="50" t="str">
        <f>IFERROR(__xludf.DUMMYFUNCTION("""COMPUTED_VALUE"""),"Sostenibilidad")</f>
        <v>Sostenibilidad</v>
      </c>
      <c r="H114" s="48" t="str">
        <f>IFERROR(__xludf.DUMMYFUNCTION("""COMPUTED_VALUE"""),"Mejorar la explotación de los recursos pesqueros y de la acuicultura.")</f>
        <v>Mejorar la explotación de los recursos pesqueros y de la acuicultura.</v>
      </c>
      <c r="I114" s="48" t="str">
        <f>IFERROR(__xludf.DUMMYFUNCTION("""COMPUTED_VALUE"""),"Servicios de administración de los recurso pesqueros y de la acuicultura")</f>
        <v>Servicios de administración de los recurso pesqueros y de la acuicultura</v>
      </c>
      <c r="J114" s="48" t="str">
        <f>IFERROR(__xludf.DUMMYFUNCTION("""COMPUTED_VALUE"""),"Regular el manejo y el ejercicio de la actividad pesquera y de la acuicultura.")</f>
        <v>Regular el manejo y el ejercicio de la actividad pesquera y de la acuicultura.</v>
      </c>
      <c r="K114" s="51" t="str">
        <f>IFERROR(__xludf.DUMMYFUNCTION("""COMPUTED_VALUE"""),"Producto")</f>
        <v>Producto</v>
      </c>
      <c r="L114" s="51" t="str">
        <f>IFERROR(__xludf.DUMMYFUNCTION("""COMPUTED_VALUE"""),"Eficacia")</f>
        <v>Eficacia</v>
      </c>
      <c r="M114" s="51" t="str">
        <f>IFERROR(__xludf.DUMMYFUNCTION("""COMPUTED_VALUE"""),"Número")</f>
        <v>Número</v>
      </c>
      <c r="N114" s="52" t="str">
        <f>IFERROR(__xludf.DUMMYFUNCTION("""COMPUTED_VALUE"""),"Trámites atendidos")</f>
        <v>Trámites atendidos</v>
      </c>
      <c r="O114" s="53"/>
      <c r="P114" s="54">
        <f>IFERROR(__xludf.DUMMYFUNCTION("""COMPUTED_VALUE"""),750.0)</f>
        <v>750</v>
      </c>
      <c r="Q114" s="55" t="str">
        <f>IFERROR(__xludf.DUMMYFUNCTION("""COMPUTED_VALUE"""),"Atender los Trámites")</f>
        <v>Atender los Trámites</v>
      </c>
      <c r="R114" s="14" t="str">
        <f>IFERROR(__xludf.DUMMYFUNCTION("""COMPUTED_VALUE"""),"Trimestral")</f>
        <v>Trimestral</v>
      </c>
      <c r="S114" s="54">
        <f>IFERROR(__xludf.DUMMYFUNCTION("""COMPUTED_VALUE"""),120.0)</f>
        <v>120</v>
      </c>
      <c r="T114" s="54">
        <f>IFERROR(__xludf.DUMMYFUNCTION("""COMPUTED_VALUE"""),100.0)</f>
        <v>100</v>
      </c>
      <c r="U114" s="54">
        <f>IFERROR(__xludf.DUMMYFUNCTION("""COMPUTED_VALUE"""),250.0)</f>
        <v>250</v>
      </c>
      <c r="V114" s="54">
        <f>IFERROR(__xludf.DUMMYFUNCTION("""COMPUTED_VALUE"""),280.0)</f>
        <v>280</v>
      </c>
      <c r="W114" s="56" t="str">
        <f>IFERROR(__xludf.DUMMYFUNCTION("""COMPUTED_VALUE"""),"Regional Bogota")</f>
        <v>Regional Bogota</v>
      </c>
      <c r="X114" s="57" t="str">
        <f>IFERROR(__xludf.DUMMYFUNCTION("""COMPUTED_VALUE"""),"Carlos Augusto Borda Rodriguez")</f>
        <v>Carlos Augusto Borda Rodriguez</v>
      </c>
      <c r="Y114" s="47" t="str">
        <f>IFERROR(__xludf.DUMMYFUNCTION("""COMPUTED_VALUE"""),"Director Regional Bogotá")</f>
        <v>Director Regional Bogotá</v>
      </c>
      <c r="Z114" s="57" t="str">
        <f>IFERROR(__xludf.DUMMYFUNCTION("""COMPUTED_VALUE"""),"carlos.borda@aunap.gov.co")</f>
        <v>carlos.borda@aunap.gov.co</v>
      </c>
      <c r="AA114" s="47" t="str">
        <f>IFERROR(__xludf.DUMMYFUNCTION("""COMPUTED_VALUE"""),"Humanos, Físicos, Financieros, Tecnológicos")</f>
        <v>Humanos, Físicos, Financieros, Tecnológicos</v>
      </c>
      <c r="AB114" s="47" t="str">
        <f>IFERROR(__xludf.DUMMYFUNCTION("""COMPUTED_VALUE"""),"No asociado")</f>
        <v>No asociado</v>
      </c>
      <c r="AC114" s="47" t="str">
        <f>IFERROR(__xludf.DUMMYFUNCTION("""COMPUTED_VALUE"""),"Llegar con actividades de pesca y acuicultura a todas las regiones")</f>
        <v>Llegar con actividades de pesca y acuicultura a todas las regiones</v>
      </c>
      <c r="AD114" s="47" t="str">
        <f>IFERROR(__xludf.DUMMYFUNCTION("""COMPUTED_VALUE"""),"Gestión con valores para resultados")</f>
        <v>Gestión con valores para resultados</v>
      </c>
      <c r="AE114" s="47" t="str">
        <f>IFERROR(__xludf.DUMMYFUNCTION("""COMPUTED_VALUE"""),"Fortalecimiento Organizacional y Simplificación de Procesos")</f>
        <v>Fortalecimiento Organizacional y Simplificación de Procesos</v>
      </c>
      <c r="AF114" s="47" t="str">
        <f>IFERROR(__xludf.DUMMYFUNCTION("""COMPUTED_VALUE"""),"12. Producción y consumo responsable")</f>
        <v>12. Producción y consumo responsable</v>
      </c>
      <c r="AG114" s="58">
        <f>IFERROR(__xludf.DUMMYFUNCTION("""COMPUTED_VALUE"""),94.0)</f>
        <v>94</v>
      </c>
      <c r="AH114" s="59" t="str">
        <f>IFERROR(__xludf.DUMMYFUNCTION("""COMPUTED_VALUE"""),"Se realizaron el tramite de los permisos que fueron allegando sobre demanda para la obtención de los prespectivos actos administrativos")</f>
        <v>Se realizaron el tramite de los permisos que fueron allegando sobre demanda para la obtención de los prespectivos actos administrativos</v>
      </c>
      <c r="AI114" s="77" t="str">
        <f>IFERROR(__xludf.DUMMYFUNCTION("""COMPUTED_VALUE"""),"https://drive.google.com/drive/folders/1PM-1JLen1zpPc8VRGRo2H8p_6t6HvItK")</f>
        <v>https://drive.google.com/drive/folders/1PM-1JLen1zpPc8VRGRo2H8p_6t6HvItK</v>
      </c>
      <c r="AJ114" s="59">
        <f>IFERROR(__xludf.DUMMYFUNCTION("""COMPUTED_VALUE"""),562.0)</f>
        <v>562</v>
      </c>
      <c r="AK114" s="59" t="str">
        <f>IFERROR(__xludf.DUMMYFUNCTION("""COMPUTED_VALUE"""),"Se adicionaron los 120 carne de pesca deportiva, 3 de pequeño comerciante  y 6 arel, de acuerdo con lo hablado con control interno, ya que estos tramites no se estaban teniendo en cuenta a lo largo del año.")</f>
        <v>Se adicionaron los 120 carne de pesca deportiva, 3 de pequeño comerciante  y 6 arel, de acuerdo con lo hablado con control interno, ya que estos tramites no se estaban teniendo en cuenta a lo largo del año.</v>
      </c>
      <c r="AL114" s="59">
        <f>IFERROR(__xludf.DUMMYFUNCTION("""COMPUTED_VALUE"""),44582.0)</f>
        <v>44582</v>
      </c>
      <c r="AM114" s="60"/>
      <c r="AN114" s="61" t="str">
        <f>IFERROR(IF((AO114+1)&lt;2,Alertas!$B$2&amp;TEXT(AO114,"0%")&amp;Alertas!$D$2, IF((AO114+1)=2,Alertas!$B$3,IF((AO114+1)&gt;2,Alertas!$B$4&amp;TEXT(AO114,"0%")&amp;Alertas!$D$4,AO114+1))),"Sin meta para el segundo trimestre")</f>
        <v>La ejecución de la meta registrada se encuentra por debajo de la meta programada en la formulación del plan de acción para el segundo trimestre, su porcentaje de cumplimiento es 94%, lo cual indica un incumplimiento que puede ser entendido por los entes de control como falencias en el proceso de planeación y gestión de la dependencia. se recomienda realizar acciones para garantizar el cumplimiento de la meta durante lo que resta de vigencia</v>
      </c>
      <c r="AO114" s="62">
        <f t="shared" si="2"/>
        <v>0.94</v>
      </c>
      <c r="AP114" s="61" t="str">
        <f t="shared" si="3"/>
        <v>La ejecución de la meta registrada se encuentra por debajo de la meta programada en la formulación del plan de acción para el segundo trimestre, su porcentaje de cumplimiento es 94%, lo cual indica un incumplimiento que puede ser entendido por los entes de control como falencias en el proceso de planeación y gestión de la dependencia. se recomienda realizar acciones para garantizar el cumplimiento de la meta durante lo que resta de vigencia.</v>
      </c>
      <c r="AQ114" s="63"/>
      <c r="AR114" s="64"/>
      <c r="AS114" s="65"/>
      <c r="AT114" s="65"/>
      <c r="AU114" s="66"/>
      <c r="AV114" s="67"/>
      <c r="AW114" s="68"/>
      <c r="AX114" s="63"/>
      <c r="AY114" s="64"/>
      <c r="AZ114" s="69"/>
      <c r="BA114" s="65"/>
      <c r="BB114" s="70"/>
      <c r="BC114" s="71"/>
      <c r="BD114" s="72"/>
      <c r="BE114" s="73"/>
      <c r="BF114" s="64"/>
      <c r="BG114" s="69"/>
      <c r="BH114" s="65"/>
      <c r="BI114" s="66"/>
      <c r="BJ114" s="71"/>
      <c r="BK114" s="72"/>
      <c r="BL114" s="74"/>
      <c r="BN114" s="5" t="str">
        <f t="shared" si="23"/>
        <v>-1</v>
      </c>
      <c r="BP114" s="5"/>
    </row>
    <row r="115" ht="37.5" customHeight="1">
      <c r="A115" s="45"/>
      <c r="B115" s="46">
        <f>IFERROR(__xludf.DUMMYFUNCTION("""COMPUTED_VALUE"""),113.0)</f>
        <v>113</v>
      </c>
      <c r="C115" s="47" t="str">
        <f>IFERROR(__xludf.DUMMYFUNCTION("""COMPUTED_VALUE"""),"Gestión de la administración y fomento")</f>
        <v>Gestión de la administración y fomento</v>
      </c>
      <c r="D115" s="48" t="str">
        <f>IFERROR(__xludf.DUMMYFUNCTION("""COMPUTED_VALUE"""),"Regional Bogotá")</f>
        <v>Regional Bogotá</v>
      </c>
      <c r="E115" s="48" t="str">
        <f>IFERROR(__xludf.DUMMYFUNCTION("""COMPUTED_VALUE"""),"Fortalecimiento de la sostenibilidad del sector pesquero y de la acuicultura en el territorio nacional")</f>
        <v>Fortalecimiento de la sostenibilidad del sector pesquero y de la acuicultura en el territorio nacional</v>
      </c>
      <c r="F115" s="49">
        <f>IFERROR(__xludf.DUMMYFUNCTION("""COMPUTED_VALUE"""),2.01901100028E12)</f>
        <v>2019011000280</v>
      </c>
      <c r="G115" s="50" t="str">
        <f>IFERROR(__xludf.DUMMYFUNCTION("""COMPUTED_VALUE"""),"Sostenibilidad")</f>
        <v>Sostenibilidad</v>
      </c>
      <c r="H115" s="48" t="str">
        <f>IFERROR(__xludf.DUMMYFUNCTION("""COMPUTED_VALUE"""),"Mejorar la explotación de los recursos pesqueros y de la acuicultura.")</f>
        <v>Mejorar la explotación de los recursos pesqueros y de la acuicultura.</v>
      </c>
      <c r="I115" s="48" t="str">
        <f>IFERROR(__xludf.DUMMYFUNCTION("""COMPUTED_VALUE"""),"2-Servicios de apoyo a las estaciones de acuicultura")</f>
        <v>2-Servicios de apoyo a las estaciones de acuicultura</v>
      </c>
      <c r="J115" s="48" t="str">
        <f>IFERROR(__xludf.DUMMYFUNCTION("""COMPUTED_VALUE"""),"Producir alevinos para el sector productivo y/o con fines de repoblamiento.")</f>
        <v>Producir alevinos para el sector productivo y/o con fines de repoblamiento.</v>
      </c>
      <c r="K115" s="51" t="str">
        <f>IFERROR(__xludf.DUMMYFUNCTION("""COMPUTED_VALUE"""),"Producto")</f>
        <v>Producto</v>
      </c>
      <c r="L115" s="51" t="str">
        <f>IFERROR(__xludf.DUMMYFUNCTION("""COMPUTED_VALUE"""),"Eficacia")</f>
        <v>Eficacia</v>
      </c>
      <c r="M115" s="51" t="str">
        <f>IFERROR(__xludf.DUMMYFUNCTION("""COMPUTED_VALUE"""),"Número")</f>
        <v>Número</v>
      </c>
      <c r="N115" s="52" t="str">
        <f>IFERROR(__xludf.DUMMYFUNCTION("""COMPUTED_VALUE"""),"Alevinos producidos")</f>
        <v>Alevinos producidos</v>
      </c>
      <c r="O115" s="53"/>
      <c r="P115" s="54">
        <f>IFERROR(__xludf.DUMMYFUNCTION("""COMPUTED_VALUE"""),6100000.0)</f>
        <v>6100000</v>
      </c>
      <c r="Q115" s="55" t="str">
        <f>IFERROR(__xludf.DUMMYFUNCTION("""COMPUTED_VALUE"""),"Producir Alevinos")</f>
        <v>Producir Alevinos</v>
      </c>
      <c r="R115" s="14" t="str">
        <f>IFERROR(__xludf.DUMMYFUNCTION("""COMPUTED_VALUE"""),"Trimestral")</f>
        <v>Trimestral</v>
      </c>
      <c r="S115" s="54">
        <f>IFERROR(__xludf.DUMMYFUNCTION("""COMPUTED_VALUE"""),600000.0)</f>
        <v>600000</v>
      </c>
      <c r="T115" s="54">
        <f>IFERROR(__xludf.DUMMYFUNCTION("""COMPUTED_VALUE"""),600000.0)</f>
        <v>600000</v>
      </c>
      <c r="U115" s="54">
        <f>IFERROR(__xludf.DUMMYFUNCTION("""COMPUTED_VALUE"""),2400000.0)</f>
        <v>2400000</v>
      </c>
      <c r="V115" s="54">
        <f>IFERROR(__xludf.DUMMYFUNCTION("""COMPUTED_VALUE"""),2500000.0)</f>
        <v>2500000</v>
      </c>
      <c r="W115" s="56" t="str">
        <f>IFERROR(__xludf.DUMMYFUNCTION("""COMPUTED_VALUE"""),"Regional Bogota")</f>
        <v>Regional Bogota</v>
      </c>
      <c r="X115" s="57" t="str">
        <f>IFERROR(__xludf.DUMMYFUNCTION("""COMPUTED_VALUE"""),"Carlos Augusto Borda Rodriguez")</f>
        <v>Carlos Augusto Borda Rodriguez</v>
      </c>
      <c r="Y115" s="47" t="str">
        <f>IFERROR(__xludf.DUMMYFUNCTION("""COMPUTED_VALUE"""),"Director Regional Bogotá")</f>
        <v>Director Regional Bogotá</v>
      </c>
      <c r="Z115" s="57" t="str">
        <f>IFERROR(__xludf.DUMMYFUNCTION("""COMPUTED_VALUE"""),"carlos.borda@aunap.gov.co")</f>
        <v>carlos.borda@aunap.gov.co</v>
      </c>
      <c r="AA115" s="47" t="str">
        <f>IFERROR(__xludf.DUMMYFUNCTION("""COMPUTED_VALUE"""),"Humanos, Físicos, Financieros, Tecnológicos")</f>
        <v>Humanos, Físicos, Financieros, Tecnológicos</v>
      </c>
      <c r="AB115" s="47" t="str">
        <f>IFERROR(__xludf.DUMMYFUNCTION("""COMPUTED_VALUE"""),"No asociado")</f>
        <v>No asociado</v>
      </c>
      <c r="AC115" s="47" t="str">
        <f>IFERROR(__xludf.DUMMYFUNCTION("""COMPUTED_VALUE"""),"Propiciar la formalización de la pesca y la acuicultura")</f>
        <v>Propiciar la formalización de la pesca y la acuicultura</v>
      </c>
      <c r="AD115" s="47" t="str">
        <f>IFERROR(__xludf.DUMMYFUNCTION("""COMPUTED_VALUE"""),"Gestión con valores para resultados")</f>
        <v>Gestión con valores para resultados</v>
      </c>
      <c r="AE115" s="47" t="str">
        <f>IFERROR(__xludf.DUMMYFUNCTION("""COMPUTED_VALUE"""),"Fortalecimiento Organizacional y Simplificación de Procesos")</f>
        <v>Fortalecimiento Organizacional y Simplificación de Procesos</v>
      </c>
      <c r="AF115" s="47" t="str">
        <f>IFERROR(__xludf.DUMMYFUNCTION("""COMPUTED_VALUE"""),"12. Producción y consumo responsable")</f>
        <v>12. Producción y consumo responsable</v>
      </c>
      <c r="AG115" s="58">
        <f>IFERROR(__xludf.DUMMYFUNCTION("""COMPUTED_VALUE"""),2828083.0)</f>
        <v>2828083</v>
      </c>
      <c r="AH115" s="59" t="str">
        <f>IFERROR(__xludf.DUMMYFUNCTION("""COMPUTED_VALUE"""),"Se repunto en la produción de alevinos una vez se contaron con los insumos, contratistas y el alimento balanceado, se produjeron 303600 alevinos adicionales pendientes de entrega")</f>
        <v>Se repunto en la produción de alevinos una vez se contaron con los insumos, contratistas y el alimento balanceado, se produjeron 303600 alevinos adicionales pendientes de entrega</v>
      </c>
      <c r="AI115" s="77" t="str">
        <f>IFERROR(__xludf.DUMMYFUNCTION("""COMPUTED_VALUE"""),"https://drive.google.com/drive/folders/1PM-1JLen1zpPc8VRGRo2H8p_6t6HvItK")</f>
        <v>https://drive.google.com/drive/folders/1PM-1JLen1zpPc8VRGRo2H8p_6t6HvItK</v>
      </c>
      <c r="AJ115" s="59">
        <f>IFERROR(__xludf.DUMMYFUNCTION("""COMPUTED_VALUE"""),4441866.0)</f>
        <v>4441866</v>
      </c>
      <c r="AK115" s="59" t="str">
        <f>IFERROR(__xludf.DUMMYFUNCTION("""COMPUTED_VALUE"""),"Debido a la deficiencia de suministro de alimento balanceado, se logro dar inicio a la producción a partir del segundo semestre del año")</f>
        <v>Debido a la deficiencia de suministro de alimento balanceado, se logro dar inicio a la producción a partir del segundo semestre del año</v>
      </c>
      <c r="AL115" s="59">
        <f>IFERROR(__xludf.DUMMYFUNCTION("""COMPUTED_VALUE"""),44582.0)</f>
        <v>44582</v>
      </c>
      <c r="AM115" s="60"/>
      <c r="AN115" s="61" t="str">
        <f>IFERROR(IF((AO115+1)&lt;2,Alertas!$B$2&amp;TEXT(AO115,"0%")&amp;Alertas!$D$2, IF((AO115+1)=2,Alertas!$B$3,IF((AO115+1)&gt;2,Alertas!$B$4&amp;TEXT(AO115,"0%")&amp;Alertas!$D$4,AO115+1))),"Sin meta para el segundo trimestre")</f>
        <v>La ejecución de la meta registrada se encuentra por encima de la meta programada en la formulación del plan de acción para el segundo trimestre, su porcentaje de cumplimiento es 471%,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15" s="62">
        <f t="shared" si="2"/>
        <v>4.713471667</v>
      </c>
      <c r="AP115" s="61" t="str">
        <f t="shared" si="3"/>
        <v>La ejecución de la meta registrada se encuentra por encima de la meta programada en la formulación del plan de acción para el segundo trimestre, su porcentaje de cumplimiento es 471%,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15" s="63"/>
      <c r="AR115" s="64"/>
      <c r="AS115" s="65"/>
      <c r="AT115" s="65"/>
      <c r="AU115" s="66"/>
      <c r="AV115" s="67"/>
      <c r="AW115" s="68"/>
      <c r="AX115" s="63"/>
      <c r="AY115" s="64"/>
      <c r="AZ115" s="69"/>
      <c r="BA115" s="65"/>
      <c r="BB115" s="70"/>
      <c r="BC115" s="71"/>
      <c r="BD115" s="72"/>
      <c r="BE115" s="73"/>
      <c r="BF115" s="64"/>
      <c r="BG115" s="69"/>
      <c r="BH115" s="65"/>
      <c r="BI115" s="66"/>
      <c r="BJ115" s="71"/>
      <c r="BK115" s="72"/>
      <c r="BL115" s="74"/>
      <c r="BN115" s="5" t="str">
        <f t="shared" si="23"/>
        <v>1</v>
      </c>
      <c r="BP115" s="5"/>
    </row>
    <row r="116" ht="37.5" customHeight="1">
      <c r="A116" s="45"/>
      <c r="B116" s="46">
        <f>IFERROR(__xludf.DUMMYFUNCTION("""COMPUTED_VALUE"""),114.0)</f>
        <v>114</v>
      </c>
      <c r="C116" s="47" t="str">
        <f>IFERROR(__xludf.DUMMYFUNCTION("""COMPUTED_VALUE"""),"Gestión de la administración y fomento")</f>
        <v>Gestión de la administración y fomento</v>
      </c>
      <c r="D116" s="48" t="str">
        <f>IFERROR(__xludf.DUMMYFUNCTION("""COMPUTED_VALUE"""),"Regional Bogotá")</f>
        <v>Regional Bogotá</v>
      </c>
      <c r="E116" s="48" t="str">
        <f>IFERROR(__xludf.DUMMYFUNCTION("""COMPUTED_VALUE"""),"Fortalecimiento de la sostenibilidad del sector pesquero y de la acuicultura en el territorio nacional")</f>
        <v>Fortalecimiento de la sostenibilidad del sector pesquero y de la acuicultura en el territorio nacional</v>
      </c>
      <c r="F116" s="49">
        <f>IFERROR(__xludf.DUMMYFUNCTION("""COMPUTED_VALUE"""),2.01901100028E12)</f>
        <v>2019011000280</v>
      </c>
      <c r="G116" s="50" t="str">
        <f>IFERROR(__xludf.DUMMYFUNCTION("""COMPUTED_VALUE"""),"Sostenibilidad")</f>
        <v>Sostenibilidad</v>
      </c>
      <c r="H116" s="48" t="str">
        <f>IFERROR(__xludf.DUMMYFUNCTION("""COMPUTED_VALUE"""),"Mejorar la explotación de los recursos pesqueros y de la acuicultura.")</f>
        <v>Mejorar la explotación de los recursos pesqueros y de la acuicultura.</v>
      </c>
      <c r="I116" s="48" t="str">
        <f>IFERROR(__xludf.DUMMYFUNCTION("""COMPUTED_VALUE"""),"3-Servicios de apoyo a las estaciones de acuicultura")</f>
        <v>3-Servicios de apoyo a las estaciones de acuicultura</v>
      </c>
      <c r="J116" s="48" t="str">
        <f>IFERROR(__xludf.DUMMYFUNCTION("""COMPUTED_VALUE"""),"Desarrollar acciones de extensión rural a través de las estaciones de acuicultura")</f>
        <v>Desarrollar acciones de extensión rural a través de las estaciones de acuicultura</v>
      </c>
      <c r="K116" s="51" t="str">
        <f>IFERROR(__xludf.DUMMYFUNCTION("""COMPUTED_VALUE"""),"Producto")</f>
        <v>Producto</v>
      </c>
      <c r="L116" s="51" t="str">
        <f>IFERROR(__xludf.DUMMYFUNCTION("""COMPUTED_VALUE"""),"Eficacia")</f>
        <v>Eficacia</v>
      </c>
      <c r="M116" s="51" t="str">
        <f>IFERROR(__xludf.DUMMYFUNCTION("""COMPUTED_VALUE"""),"Número")</f>
        <v>Número</v>
      </c>
      <c r="N116" s="52" t="str">
        <f>IFERROR(__xludf.DUMMYFUNCTION("""COMPUTED_VALUE"""),"Eventos realizados")</f>
        <v>Eventos realizados</v>
      </c>
      <c r="O116" s="53"/>
      <c r="P116" s="54">
        <f>IFERROR(__xludf.DUMMYFUNCTION("""COMPUTED_VALUE"""),7.0)</f>
        <v>7</v>
      </c>
      <c r="Q116" s="55" t="str">
        <f>IFERROR(__xludf.DUMMYFUNCTION("""COMPUTED_VALUE"""),"Realizar Eventos de Extención Rural")</f>
        <v>Realizar Eventos de Extención Rural</v>
      </c>
      <c r="R116" s="14" t="str">
        <f>IFERROR(__xludf.DUMMYFUNCTION("""COMPUTED_VALUE"""),"Trimestral")</f>
        <v>Trimestral</v>
      </c>
      <c r="S116" s="54">
        <f>IFERROR(__xludf.DUMMYFUNCTION("""COMPUTED_VALUE"""),1.0)</f>
        <v>1</v>
      </c>
      <c r="T116" s="54">
        <f>IFERROR(__xludf.DUMMYFUNCTION("""COMPUTED_VALUE"""),1.0)</f>
        <v>1</v>
      </c>
      <c r="U116" s="54">
        <f>IFERROR(__xludf.DUMMYFUNCTION("""COMPUTED_VALUE"""),2.0)</f>
        <v>2</v>
      </c>
      <c r="V116" s="54">
        <f>IFERROR(__xludf.DUMMYFUNCTION("""COMPUTED_VALUE"""),3.0)</f>
        <v>3</v>
      </c>
      <c r="W116" s="56" t="str">
        <f>IFERROR(__xludf.DUMMYFUNCTION("""COMPUTED_VALUE"""),"Regional Bogota")</f>
        <v>Regional Bogota</v>
      </c>
      <c r="X116" s="57" t="str">
        <f>IFERROR(__xludf.DUMMYFUNCTION("""COMPUTED_VALUE"""),"Carlos Augusto Borda Rodriguez")</f>
        <v>Carlos Augusto Borda Rodriguez</v>
      </c>
      <c r="Y116" s="47" t="str">
        <f>IFERROR(__xludf.DUMMYFUNCTION("""COMPUTED_VALUE"""),"Director Regional Bogotá")</f>
        <v>Director Regional Bogotá</v>
      </c>
      <c r="Z116" s="57" t="str">
        <f>IFERROR(__xludf.DUMMYFUNCTION("""COMPUTED_VALUE"""),"carlos.borda@aunap.gov.co")</f>
        <v>carlos.borda@aunap.gov.co</v>
      </c>
      <c r="AA116" s="47" t="str">
        <f>IFERROR(__xludf.DUMMYFUNCTION("""COMPUTED_VALUE"""),"Humanos, Físicos, Financieros, Tecnológicos")</f>
        <v>Humanos, Físicos, Financieros, Tecnológicos</v>
      </c>
      <c r="AB116" s="47" t="str">
        <f>IFERROR(__xludf.DUMMYFUNCTION("""COMPUTED_VALUE"""),"No asociado")</f>
        <v>No asociado</v>
      </c>
      <c r="AC116" s="47" t="str">
        <f>IFERROR(__xludf.DUMMYFUNCTION("""COMPUTED_VALUE"""),"Llegar con actividades de pesca y acuicultura a todas las regiones")</f>
        <v>Llegar con actividades de pesca y acuicultura a todas las regiones</v>
      </c>
      <c r="AD116" s="47" t="str">
        <f>IFERROR(__xludf.DUMMYFUNCTION("""COMPUTED_VALUE"""),"Gestión con valores para resultados")</f>
        <v>Gestión con valores para resultados</v>
      </c>
      <c r="AE116" s="47" t="str">
        <f>IFERROR(__xludf.DUMMYFUNCTION("""COMPUTED_VALUE"""),"Fortalecimiento Organizacional y Simplificación de Procesos")</f>
        <v>Fortalecimiento Organizacional y Simplificación de Procesos</v>
      </c>
      <c r="AF116" s="47" t="str">
        <f>IFERROR(__xludf.DUMMYFUNCTION("""COMPUTED_VALUE"""),"12. Producción y consumo responsable")</f>
        <v>12. Producción y consumo responsable</v>
      </c>
      <c r="AG116" s="58">
        <f>IFERROR(__xludf.DUMMYFUNCTION("""COMPUTED_VALUE"""),8.0)</f>
        <v>8</v>
      </c>
      <c r="AH116" s="59" t="str">
        <f>IFERROR(__xludf.DUMMYFUNCTION("""COMPUTED_VALUE"""),"Se adelantaron varias capacitaciones una vez se facilitaron las normas para realizar las reuniones en recintos")</f>
        <v>Se adelantaron varias capacitaciones una vez se facilitaron las normas para realizar las reuniones en recintos</v>
      </c>
      <c r="AI116" s="77" t="str">
        <f>IFERROR(__xludf.DUMMYFUNCTION("""COMPUTED_VALUE"""),"https://drive.google.com/drive/folders/1PM-1JLen1zpPc8VRGRo2H8p_6t6HvItK")</f>
        <v>https://drive.google.com/drive/folders/1PM-1JLen1zpPc8VRGRo2H8p_6t6HvItK</v>
      </c>
      <c r="AJ116" s="59">
        <f>IFERROR(__xludf.DUMMYFUNCTION("""COMPUTED_VALUE"""),10.0)</f>
        <v>10</v>
      </c>
      <c r="AK116" s="59" t="str">
        <f>IFERROR(__xludf.DUMMYFUNCTION("""COMPUTED_VALUE"""),"Se lograron adelantar capacitaciones una vez se flexibilizaron las normas de bioseguridad por parte del gobierno nacional")</f>
        <v>Se lograron adelantar capacitaciones una vez se flexibilizaron las normas de bioseguridad por parte del gobierno nacional</v>
      </c>
      <c r="AL116" s="59">
        <f>IFERROR(__xludf.DUMMYFUNCTION("""COMPUTED_VALUE"""),44582.0)</f>
        <v>44582</v>
      </c>
      <c r="AM116" s="60"/>
      <c r="AN116" s="61" t="str">
        <f>IFERROR(IF((AO116+1)&lt;2,Alertas!$B$2&amp;TEXT(AO116,"0%")&amp;Alertas!$D$2, IF((AO116+1)=2,Alertas!$B$3,IF((AO116+1)&gt;2,Alertas!$B$4&amp;TEXT(AO116,"0%")&amp;Alertas!$D$4,AO116+1))),"Sin meta para el segundo trimestre")</f>
        <v>La ejecución de la meta registrada se encuentra por encima de la meta programada en la formulación del plan de acción para el segundo trimestre, su porcentaje de cumplimiento es 800%,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16" s="62">
        <f t="shared" si="2"/>
        <v>8</v>
      </c>
      <c r="AP116" s="61" t="str">
        <f t="shared" si="3"/>
        <v>La ejecución de la meta registrada se encuentra por encima de la meta programada en la formulación del plan de acción para el segundo trimestre, su porcentaje de cumplimiento es 800%,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16" s="63"/>
      <c r="AR116" s="64"/>
      <c r="AS116" s="65"/>
      <c r="AT116" s="65"/>
      <c r="AU116" s="66"/>
      <c r="AV116" s="67"/>
      <c r="AW116" s="68"/>
      <c r="AX116" s="63"/>
      <c r="AY116" s="64"/>
      <c r="AZ116" s="69"/>
      <c r="BA116" s="65"/>
      <c r="BB116" s="70"/>
      <c r="BC116" s="71"/>
      <c r="BD116" s="72"/>
      <c r="BE116" s="73"/>
      <c r="BF116" s="64"/>
      <c r="BG116" s="69"/>
      <c r="BH116" s="65"/>
      <c r="BI116" s="66"/>
      <c r="BJ116" s="71"/>
      <c r="BK116" s="72"/>
      <c r="BL116" s="74"/>
      <c r="BN116" s="5" t="str">
        <f t="shared" si="23"/>
        <v>1</v>
      </c>
      <c r="BP116" s="5"/>
    </row>
    <row r="117" ht="37.5" customHeight="1">
      <c r="A117" s="45"/>
      <c r="B117" s="46">
        <f>IFERROR(__xludf.DUMMYFUNCTION("""COMPUTED_VALUE"""),115.0)</f>
        <v>115</v>
      </c>
      <c r="C117" s="47" t="str">
        <f>IFERROR(__xludf.DUMMYFUNCTION("""COMPUTED_VALUE"""),"Gestión de la administración y fomento")</f>
        <v>Gestión de la administración y fomento</v>
      </c>
      <c r="D117" s="48" t="str">
        <f>IFERROR(__xludf.DUMMYFUNCTION("""COMPUTED_VALUE"""),"Regional Bogotá")</f>
        <v>Regional Bogotá</v>
      </c>
      <c r="E117" s="48" t="str">
        <f>IFERROR(__xludf.DUMMYFUNCTION("""COMPUTED_VALUE"""),"Fortalecimiento de la sostenibilidad del sector pesquero y de la acuicultura en el territorio nacional")</f>
        <v>Fortalecimiento de la sostenibilidad del sector pesquero y de la acuicultura en el territorio nacional</v>
      </c>
      <c r="F117" s="49">
        <f>IFERROR(__xludf.DUMMYFUNCTION("""COMPUTED_VALUE"""),2.01901100028E12)</f>
        <v>2019011000280</v>
      </c>
      <c r="G117" s="50" t="str">
        <f>IFERROR(__xludf.DUMMYFUNCTION("""COMPUTED_VALUE"""),"Sostenibilidad")</f>
        <v>Sostenibilidad</v>
      </c>
      <c r="H117" s="48" t="str">
        <f>IFERROR(__xludf.DUMMYFUNCTION("""COMPUTED_VALUE"""),"Mejorar la explotación de los recursos pesqueros y de la acuicultura.")</f>
        <v>Mejorar la explotación de los recursos pesqueros y de la acuicultura.</v>
      </c>
      <c r="I117" s="48" t="str">
        <f>IFERROR(__xludf.DUMMYFUNCTION("""COMPUTED_VALUE"""),"Servicios de administración de los recurso pesqueros y de la acuicultura")</f>
        <v>Servicios de administración de los recurso pesqueros y de la acuicultura</v>
      </c>
      <c r="J117" s="48" t="str">
        <f>IFERROR(__xludf.DUMMYFUNCTION("""COMPUTED_VALUE"""),"Realizar acciones de divulgación y formalización de la actividad pesquera y de la acuicultura.")</f>
        <v>Realizar acciones de divulgación y formalización de la actividad pesquera y de la acuicultura.</v>
      </c>
      <c r="K117" s="51" t="str">
        <f>IFERROR(__xludf.DUMMYFUNCTION("""COMPUTED_VALUE"""),"Gestión del área")</f>
        <v>Gestión del área</v>
      </c>
      <c r="L117" s="51" t="str">
        <f>IFERROR(__xludf.DUMMYFUNCTION("""COMPUTED_VALUE"""),"Eficacia")</f>
        <v>Eficacia</v>
      </c>
      <c r="M117" s="51" t="str">
        <f>IFERROR(__xludf.DUMMYFUNCTION("""COMPUTED_VALUE"""),"Número")</f>
        <v>Número</v>
      </c>
      <c r="N117" s="52" t="str">
        <f>IFERROR(__xludf.DUMMYFUNCTION("""COMPUTED_VALUE"""),"Número de capacitaciones realizadas/Número de capacitaciones programadas")</f>
        <v>Número de capacitaciones realizadas/Número de capacitaciones programadas</v>
      </c>
      <c r="O117" s="53"/>
      <c r="P117" s="54">
        <f>IFERROR(__xludf.DUMMYFUNCTION("""COMPUTED_VALUE"""),90.0)</f>
        <v>90</v>
      </c>
      <c r="Q117" s="55" t="str">
        <f>IFERROR(__xludf.DUMMYFUNCTION("""COMPUTED_VALUE"""),"Realizar capacitaciones a los grupos de interés en asociatividad y normatividad para el ejercicio de la acuicultura, pesca y actividades conexas")</f>
        <v>Realizar capacitaciones a los grupos de interés en asociatividad y normatividad para el ejercicio de la acuicultura, pesca y actividades conexas</v>
      </c>
      <c r="R117" s="14" t="str">
        <f>IFERROR(__xludf.DUMMYFUNCTION("""COMPUTED_VALUE"""),"Trimestral")</f>
        <v>Trimestral</v>
      </c>
      <c r="S117" s="54">
        <f>IFERROR(__xludf.DUMMYFUNCTION("""COMPUTED_VALUE"""),15.0)</f>
        <v>15</v>
      </c>
      <c r="T117" s="54">
        <f>IFERROR(__xludf.DUMMYFUNCTION("""COMPUTED_VALUE"""),25.0)</f>
        <v>25</v>
      </c>
      <c r="U117" s="54">
        <f>IFERROR(__xludf.DUMMYFUNCTION("""COMPUTED_VALUE"""),25.0)</f>
        <v>25</v>
      </c>
      <c r="V117" s="54">
        <f>IFERROR(__xludf.DUMMYFUNCTION("""COMPUTED_VALUE"""),25.0)</f>
        <v>25</v>
      </c>
      <c r="W117" s="56" t="str">
        <f>IFERROR(__xludf.DUMMYFUNCTION("""COMPUTED_VALUE"""),"Regional Bogota")</f>
        <v>Regional Bogota</v>
      </c>
      <c r="X117" s="57" t="str">
        <f>IFERROR(__xludf.DUMMYFUNCTION("""COMPUTED_VALUE"""),"Carlos Augusto Borda Rodriguez")</f>
        <v>Carlos Augusto Borda Rodriguez</v>
      </c>
      <c r="Y117" s="47" t="str">
        <f>IFERROR(__xludf.DUMMYFUNCTION("""COMPUTED_VALUE"""),"Director Regional Bogotá")</f>
        <v>Director Regional Bogotá</v>
      </c>
      <c r="Z117" s="57" t="str">
        <f>IFERROR(__xludf.DUMMYFUNCTION("""COMPUTED_VALUE"""),"carlos.borda@aunap.gov.co")</f>
        <v>carlos.borda@aunap.gov.co</v>
      </c>
      <c r="AA117" s="47" t="str">
        <f>IFERROR(__xludf.DUMMYFUNCTION("""COMPUTED_VALUE"""),"Humanos, Físicos, Financieros, Tecnológicos")</f>
        <v>Humanos, Físicos, Financieros, Tecnológicos</v>
      </c>
      <c r="AB117" s="47" t="str">
        <f>IFERROR(__xludf.DUMMYFUNCTION("""COMPUTED_VALUE"""),"No asociado")</f>
        <v>No asociado</v>
      </c>
      <c r="AC117" s="47" t="str">
        <f>IFERROR(__xludf.DUMMYFUNCTION("""COMPUTED_VALUE"""),"Llegar con actividades de pesca y acuicultura a todas las regiones")</f>
        <v>Llegar con actividades de pesca y acuicultura a todas las regiones</v>
      </c>
      <c r="AD117" s="47" t="str">
        <f>IFERROR(__xludf.DUMMYFUNCTION("""COMPUTED_VALUE"""),"Gestión con valores para resultados")</f>
        <v>Gestión con valores para resultados</v>
      </c>
      <c r="AE117" s="47" t="str">
        <f>IFERROR(__xludf.DUMMYFUNCTION("""COMPUTED_VALUE"""),"Fortalecimiento Organizacional y Simplificación de Procesos")</f>
        <v>Fortalecimiento Organizacional y Simplificación de Procesos</v>
      </c>
      <c r="AF117" s="47" t="str">
        <f>IFERROR(__xludf.DUMMYFUNCTION("""COMPUTED_VALUE"""),"12. Producción y consumo responsable")</f>
        <v>12. Producción y consumo responsable</v>
      </c>
      <c r="AG117" s="58">
        <f>IFERROR(__xludf.DUMMYFUNCTION("""COMPUTED_VALUE"""),5.0)</f>
        <v>5</v>
      </c>
      <c r="AH117" s="59" t="str">
        <f>IFERROR(__xludf.DUMMYFUNCTION("""COMPUTED_VALUE"""),"Debido a problemas de orden público las reuniones que se realizan en especial con las fuerzas militares se reducieron")</f>
        <v>Debido a problemas de orden público las reuniones que se realizan en especial con las fuerzas militares se reducieron</v>
      </c>
      <c r="AI117" s="77" t="str">
        <f>IFERROR(__xludf.DUMMYFUNCTION("""COMPUTED_VALUE"""),"https://drive.google.com/drive/folders/1PM-1JLen1zpPc8VRGRo2H8p_6t6HvItK")</f>
        <v>https://drive.google.com/drive/folders/1PM-1JLen1zpPc8VRGRo2H8p_6t6HvItK</v>
      </c>
      <c r="AJ117" s="59">
        <f>IFERROR(__xludf.DUMMYFUNCTION("""COMPUTED_VALUE"""),25.0)</f>
        <v>25</v>
      </c>
      <c r="AK117" s="59" t="str">
        <f>IFERROR(__xludf.DUMMYFUNCTION("""COMPUTED_VALUE"""),"Debido a que se presento un error en las cantidades de eventos a grupos de interes y de asociaciones que se invirtieron, y luego no se pudo bajar el numero de eventos, lo que afecto la ejecución de la meta, mas los problemas de orden publico")</f>
        <v>Debido a que se presento un error en las cantidades de eventos a grupos de interes y de asociaciones que se invirtieron, y luego no se pudo bajar el numero de eventos, lo que afecto la ejecución de la meta, mas los problemas de orden publico</v>
      </c>
      <c r="AL117" s="59">
        <f>IFERROR(__xludf.DUMMYFUNCTION("""COMPUTED_VALUE"""),44582.0)</f>
        <v>44582</v>
      </c>
      <c r="AM117" s="60"/>
      <c r="AN117" s="61" t="str">
        <f>IFERROR(IF((AO117+1)&lt;2,Alertas!$B$2&amp;TEXT(AO117,"0%")&amp;Alertas!$D$2, IF((AO117+1)=2,Alertas!$B$3,IF((AO117+1)&gt;2,Alertas!$B$4&amp;TEXT(AO117,"0%")&amp;Alertas!$D$4,AO117+1))),"Sin meta para el segundo trimestre")</f>
        <v>La ejecución de la meta registrada se encuentra por debajo de la meta programada en la formulación del plan de acción para el segundo trimestre, su porcentaje de cumplimiento es 20%, lo cual indica un incumplimiento que puede ser entendido por los entes de control como falencias en el proceso de planeación y gestión de la dependencia. se recomienda realizar acciones para garantizar el cumplimiento de la meta durante lo que resta de vigencia</v>
      </c>
      <c r="AO117" s="62">
        <f t="shared" si="2"/>
        <v>0.2</v>
      </c>
      <c r="AP117" s="61" t="str">
        <f t="shared" si="3"/>
        <v>La ejecución de la meta registrada se encuentra por debajo de la meta programada en la formulación del plan de acción para el segundo trimestre, su porcentaje de cumplimiento es 20%, lo cual indica un incumplimiento que puede ser entendido por los entes de control como falencias en el proceso de planeación y gestión de la dependencia. se recomienda realizar acciones para garantizar el cumplimiento de la meta durante lo que resta de vigencia.</v>
      </c>
      <c r="AQ117" s="63"/>
      <c r="AR117" s="64"/>
      <c r="AS117" s="65"/>
      <c r="AT117" s="65"/>
      <c r="AU117" s="66"/>
      <c r="AV117" s="67"/>
      <c r="AW117" s="68"/>
      <c r="AX117" s="63"/>
      <c r="AY117" s="64"/>
      <c r="AZ117" s="69"/>
      <c r="BA117" s="65"/>
      <c r="BB117" s="70"/>
      <c r="BC117" s="71"/>
      <c r="BD117" s="72"/>
      <c r="BE117" s="73"/>
      <c r="BF117" s="64"/>
      <c r="BG117" s="69"/>
      <c r="BH117" s="65"/>
      <c r="BI117" s="66"/>
      <c r="BJ117" s="71"/>
      <c r="BK117" s="72"/>
      <c r="BL117" s="74"/>
      <c r="BN117" s="5" t="str">
        <f t="shared" si="23"/>
        <v>-1</v>
      </c>
      <c r="BP117" s="5"/>
    </row>
    <row r="118" ht="37.5" customHeight="1">
      <c r="A118" s="45"/>
      <c r="B118" s="46">
        <f>IFERROR(__xludf.DUMMYFUNCTION("""COMPUTED_VALUE"""),116.0)</f>
        <v>116</v>
      </c>
      <c r="C118" s="47" t="str">
        <f>IFERROR(__xludf.DUMMYFUNCTION("""COMPUTED_VALUE"""),"Gestión de la administración y fomento")</f>
        <v>Gestión de la administración y fomento</v>
      </c>
      <c r="D118" s="48" t="str">
        <f>IFERROR(__xludf.DUMMYFUNCTION("""COMPUTED_VALUE"""),"Regional Bogotá")</f>
        <v>Regional Bogotá</v>
      </c>
      <c r="E118" s="48" t="str">
        <f>IFERROR(__xludf.DUMMYFUNCTION("""COMPUTED_VALUE"""),"Fortalecimiento de la sostenibilidad del sector pesquero y de la acuicultura en el territorio nacional")</f>
        <v>Fortalecimiento de la sostenibilidad del sector pesquero y de la acuicultura en el territorio nacional</v>
      </c>
      <c r="F118" s="49">
        <f>IFERROR(__xludf.DUMMYFUNCTION("""COMPUTED_VALUE"""),2.01901100028E12)</f>
        <v>2019011000280</v>
      </c>
      <c r="G118" s="50" t="str">
        <f>IFERROR(__xludf.DUMMYFUNCTION("""COMPUTED_VALUE"""),"Sostenibilidad")</f>
        <v>Sostenibilidad</v>
      </c>
      <c r="H118" s="48" t="str">
        <f>IFERROR(__xludf.DUMMYFUNCTION("""COMPUTED_VALUE"""),"Mejorar la explotación de los recursos pesqueros y de la acuicultura.")</f>
        <v>Mejorar la explotación de los recursos pesqueros y de la acuicultura.</v>
      </c>
      <c r="I118" s="48" t="str">
        <f>IFERROR(__xludf.DUMMYFUNCTION("""COMPUTED_VALUE"""),"Servicios de administración de los recurso pesqueros y de la acuicultura")</f>
        <v>Servicios de administración de los recurso pesqueros y de la acuicultura</v>
      </c>
      <c r="J118" s="48" t="str">
        <f>IFERROR(__xludf.DUMMYFUNCTION("""COMPUTED_VALUE"""),"Realizar acciones de divulgación y formalización de la actividad pesquera y de la acuicultura.")</f>
        <v>Realizar acciones de divulgación y formalización de la actividad pesquera y de la acuicultura.</v>
      </c>
      <c r="K118" s="51" t="str">
        <f>IFERROR(__xludf.DUMMYFUNCTION("""COMPUTED_VALUE"""),"Gestión del área")</f>
        <v>Gestión del área</v>
      </c>
      <c r="L118" s="51" t="str">
        <f>IFERROR(__xludf.DUMMYFUNCTION("""COMPUTED_VALUE"""),"Eficacia")</f>
        <v>Eficacia</v>
      </c>
      <c r="M118" s="51" t="str">
        <f>IFERROR(__xludf.DUMMYFUNCTION("""COMPUTED_VALUE"""),"Número")</f>
        <v>Número</v>
      </c>
      <c r="N118" s="52" t="str">
        <f>IFERROR(__xludf.DUMMYFUNCTION("""COMPUTED_VALUE"""),"Número de asociaciones capacitadas/Número de asociaciones programadas para capacitar.")</f>
        <v>Número de asociaciones capacitadas/Número de asociaciones programadas para capacitar.</v>
      </c>
      <c r="O118" s="53"/>
      <c r="P118" s="54">
        <f>IFERROR(__xludf.DUMMYFUNCTION("""COMPUTED_VALUE"""),35.0)</f>
        <v>35</v>
      </c>
      <c r="Q118" s="55" t="str">
        <f>IFERROR(__xludf.DUMMYFUNCTION("""COMPUTED_VALUE"""),"Realizar capacitaciones a las asociaciones en temas de pesca y acuicultura")</f>
        <v>Realizar capacitaciones a las asociaciones en temas de pesca y acuicultura</v>
      </c>
      <c r="R118" s="14" t="str">
        <f>IFERROR(__xludf.DUMMYFUNCTION("""COMPUTED_VALUE"""),"Trimestral")</f>
        <v>Trimestral</v>
      </c>
      <c r="S118" s="54">
        <f>IFERROR(__xludf.DUMMYFUNCTION("""COMPUTED_VALUE"""),6.0)</f>
        <v>6</v>
      </c>
      <c r="T118" s="54">
        <f>IFERROR(__xludf.DUMMYFUNCTION("""COMPUTED_VALUE"""),8.0)</f>
        <v>8</v>
      </c>
      <c r="U118" s="54">
        <f>IFERROR(__xludf.DUMMYFUNCTION("""COMPUTED_VALUE"""),9.0)</f>
        <v>9</v>
      </c>
      <c r="V118" s="54">
        <f>IFERROR(__xludf.DUMMYFUNCTION("""COMPUTED_VALUE"""),12.0)</f>
        <v>12</v>
      </c>
      <c r="W118" s="56" t="str">
        <f>IFERROR(__xludf.DUMMYFUNCTION("""COMPUTED_VALUE"""),"Regional Bogota")</f>
        <v>Regional Bogota</v>
      </c>
      <c r="X118" s="57" t="str">
        <f>IFERROR(__xludf.DUMMYFUNCTION("""COMPUTED_VALUE"""),"Carlos Augusto Borda Rodriguez")</f>
        <v>Carlos Augusto Borda Rodriguez</v>
      </c>
      <c r="Y118" s="47" t="str">
        <f>IFERROR(__xludf.DUMMYFUNCTION("""COMPUTED_VALUE"""),"Director Regional Bogotá")</f>
        <v>Director Regional Bogotá</v>
      </c>
      <c r="Z118" s="57" t="str">
        <f>IFERROR(__xludf.DUMMYFUNCTION("""COMPUTED_VALUE"""),"carlos.borda@aunap.gov.co")</f>
        <v>carlos.borda@aunap.gov.co</v>
      </c>
      <c r="AA118" s="47" t="str">
        <f>IFERROR(__xludf.DUMMYFUNCTION("""COMPUTED_VALUE"""),"Humanos, Físicos, Financieros, Tecnológicos")</f>
        <v>Humanos, Físicos, Financieros, Tecnológicos</v>
      </c>
      <c r="AB118" s="47" t="str">
        <f>IFERROR(__xludf.DUMMYFUNCTION("""COMPUTED_VALUE"""),"No asociado")</f>
        <v>No asociado</v>
      </c>
      <c r="AC118" s="47" t="str">
        <f>IFERROR(__xludf.DUMMYFUNCTION("""COMPUTED_VALUE"""),"Llegar con actividades de pesca y acuicultura a todas las regiones")</f>
        <v>Llegar con actividades de pesca y acuicultura a todas las regiones</v>
      </c>
      <c r="AD118" s="47" t="str">
        <f>IFERROR(__xludf.DUMMYFUNCTION("""COMPUTED_VALUE"""),"Gestión con valores para resultados")</f>
        <v>Gestión con valores para resultados</v>
      </c>
      <c r="AE118" s="47" t="str">
        <f>IFERROR(__xludf.DUMMYFUNCTION("""COMPUTED_VALUE"""),"Fortalecimiento Organizacional y Simplificación de Procesos")</f>
        <v>Fortalecimiento Organizacional y Simplificación de Procesos</v>
      </c>
      <c r="AF118" s="47" t="str">
        <f>IFERROR(__xludf.DUMMYFUNCTION("""COMPUTED_VALUE"""),"12. Producción y consumo responsable")</f>
        <v>12. Producción y consumo responsable</v>
      </c>
      <c r="AG118" s="58">
        <f>IFERROR(__xludf.DUMMYFUNCTION("""COMPUTED_VALUE"""),17.0)</f>
        <v>17</v>
      </c>
      <c r="AH118" s="59" t="str">
        <f>IFERROR(__xludf.DUMMYFUNCTION("""COMPUTED_VALUE"""),"Se trabajo en socializar la normatividad de la entidad a las asociaciones")</f>
        <v>Se trabajo en socializar la normatividad de la entidad a las asociaciones</v>
      </c>
      <c r="AI118" s="77" t="str">
        <f>IFERROR(__xludf.DUMMYFUNCTION("""COMPUTED_VALUE"""),"https://drive.google.com/drive/folders/1PM-1JLen1zpPc8VRGRo2H8p_6t6HvItK")</f>
        <v>https://drive.google.com/drive/folders/1PM-1JLen1zpPc8VRGRo2H8p_6t6HvItK</v>
      </c>
      <c r="AJ118" s="59">
        <f>IFERROR(__xludf.DUMMYFUNCTION("""COMPUTED_VALUE"""),41.0)</f>
        <v>41</v>
      </c>
      <c r="AK118" s="59" t="str">
        <f>IFERROR(__xludf.DUMMYFUNCTION("""COMPUTED_VALUE"""),"Se supero la meta debido a la socialización de la normaltividad y a la promocion de los proyectos de fomento")</f>
        <v>Se supero la meta debido a la socialización de la normaltividad y a la promocion de los proyectos de fomento</v>
      </c>
      <c r="AL118" s="59">
        <f>IFERROR(__xludf.DUMMYFUNCTION("""COMPUTED_VALUE"""),44582.0)</f>
        <v>44582</v>
      </c>
      <c r="AM118" s="60"/>
      <c r="AN118" s="61" t="str">
        <f>IFERROR(IF((AO118+1)&lt;2,Alertas!$B$2&amp;TEXT(AO118,"0%")&amp;Alertas!$D$2, IF((AO118+1)=2,Alertas!$B$3,IF((AO118+1)&gt;2,Alertas!$B$4&amp;TEXT(AO118,"0%")&amp;Alertas!$D$4,AO118+1))),"Sin meta para el segundo trimestre")</f>
        <v>La ejecución de la meta registrada se encuentra por encima de la meta programada en la formulación del plan de acción para el segundo trimestre, su porcentaje de cumplimiento es 213%,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18" s="62">
        <f t="shared" si="2"/>
        <v>2.125</v>
      </c>
      <c r="AP118" s="61" t="str">
        <f t="shared" si="3"/>
        <v>La ejecución de la meta registrada se encuentra por encima de la meta programada en la formulación del plan de acción para el segundo trimestre, su porcentaje de cumplimiento es 213%,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18" s="63"/>
      <c r="AR118" s="64"/>
      <c r="AS118" s="65"/>
      <c r="AT118" s="65"/>
      <c r="AU118" s="66"/>
      <c r="AV118" s="67"/>
      <c r="AW118" s="68"/>
      <c r="AX118" s="63"/>
      <c r="AY118" s="64"/>
      <c r="AZ118" s="69"/>
      <c r="BA118" s="65"/>
      <c r="BB118" s="70"/>
      <c r="BC118" s="71"/>
      <c r="BD118" s="72"/>
      <c r="BE118" s="73"/>
      <c r="BF118" s="64"/>
      <c r="BG118" s="69"/>
      <c r="BH118" s="65"/>
      <c r="BI118" s="66"/>
      <c r="BJ118" s="71"/>
      <c r="BK118" s="72"/>
      <c r="BL118" s="74"/>
      <c r="BN118" s="5" t="str">
        <f t="shared" si="23"/>
        <v>1</v>
      </c>
      <c r="BP118" s="5"/>
    </row>
    <row r="119" ht="37.5" customHeight="1">
      <c r="A119" s="45"/>
      <c r="B119" s="46">
        <f>IFERROR(__xludf.DUMMYFUNCTION("""COMPUTED_VALUE"""),117.0)</f>
        <v>117</v>
      </c>
      <c r="C119" s="47" t="str">
        <f>IFERROR(__xludf.DUMMYFUNCTION("""COMPUTED_VALUE"""),"Gestión de la administración y fomento")</f>
        <v>Gestión de la administración y fomento</v>
      </c>
      <c r="D119" s="48" t="str">
        <f>IFERROR(__xludf.DUMMYFUNCTION("""COMPUTED_VALUE"""),"Regional Bogotá")</f>
        <v>Regional Bogotá</v>
      </c>
      <c r="E119" s="48" t="str">
        <f>IFERROR(__xludf.DUMMYFUNCTION("""COMPUTED_VALUE"""),"Fortalecimiento de la sostenibilidad del sector pesquero y de la acuicultura en el territorio nacional")</f>
        <v>Fortalecimiento de la sostenibilidad del sector pesquero y de la acuicultura en el territorio nacional</v>
      </c>
      <c r="F119" s="49">
        <f>IFERROR(__xludf.DUMMYFUNCTION("""COMPUTED_VALUE"""),2.01901100028E12)</f>
        <v>2019011000280</v>
      </c>
      <c r="G119" s="50" t="str">
        <f>IFERROR(__xludf.DUMMYFUNCTION("""COMPUTED_VALUE"""),"Sostenibilidad")</f>
        <v>Sostenibilidad</v>
      </c>
      <c r="H119" s="48" t="str">
        <f>IFERROR(__xludf.DUMMYFUNCTION("""COMPUTED_VALUE"""),"Mejorar la explotación de los recursos pesqueros y de la acuicultura.")</f>
        <v>Mejorar la explotación de los recursos pesqueros y de la acuicultura.</v>
      </c>
      <c r="I119" s="48" t="str">
        <f>IFERROR(__xludf.DUMMYFUNCTION("""COMPUTED_VALUE"""),"Servicios de administración de los recurso pesqueros y de la acuicultura")</f>
        <v>Servicios de administración de los recurso pesqueros y de la acuicultura</v>
      </c>
      <c r="J119" s="48" t="str">
        <f>IFERROR(__xludf.DUMMYFUNCTION("""COMPUTED_VALUE"""),"Regular el manejo y el ejercicio de la actividad pesquera y de la acuicultura.")</f>
        <v>Regular el manejo y el ejercicio de la actividad pesquera y de la acuicultura.</v>
      </c>
      <c r="K119" s="51" t="str">
        <f>IFERROR(__xludf.DUMMYFUNCTION("""COMPUTED_VALUE"""),"Gestión del área")</f>
        <v>Gestión del área</v>
      </c>
      <c r="L119" s="51" t="str">
        <f>IFERROR(__xludf.DUMMYFUNCTION("""COMPUTED_VALUE"""),"Eficacia")</f>
        <v>Eficacia</v>
      </c>
      <c r="M119" s="51" t="str">
        <f>IFERROR(__xludf.DUMMYFUNCTION("""COMPUTED_VALUE"""),"Número")</f>
        <v>Número</v>
      </c>
      <c r="N119" s="52" t="str">
        <f>IFERROR(__xludf.DUMMYFUNCTION("""COMPUTED_VALUE"""),"Pescadores artesanales formalizados/pescadores artesanales programados para formalizar")</f>
        <v>Pescadores artesanales formalizados/pescadores artesanales programados para formalizar</v>
      </c>
      <c r="O119" s="53"/>
      <c r="P119" s="54">
        <f>IFERROR(__xludf.DUMMYFUNCTION("""COMPUTED_VALUE"""),800.0)</f>
        <v>800</v>
      </c>
      <c r="Q119" s="55" t="str">
        <f>IFERROR(__xludf.DUMMYFUNCTION("""COMPUTED_VALUE"""),"Realizar la formalización de Pescadores Artesanales")</f>
        <v>Realizar la formalización de Pescadores Artesanales</v>
      </c>
      <c r="R119" s="14" t="str">
        <f>IFERROR(__xludf.DUMMYFUNCTION("""COMPUTED_VALUE"""),"Trimestral")</f>
        <v>Trimestral</v>
      </c>
      <c r="S119" s="54">
        <f>IFERROR(__xludf.DUMMYFUNCTION("""COMPUTED_VALUE"""),200.0)</f>
        <v>200</v>
      </c>
      <c r="T119" s="54">
        <f>IFERROR(__xludf.DUMMYFUNCTION("""COMPUTED_VALUE"""),200.0)</f>
        <v>200</v>
      </c>
      <c r="U119" s="54">
        <f>IFERROR(__xludf.DUMMYFUNCTION("""COMPUTED_VALUE"""),200.0)</f>
        <v>200</v>
      </c>
      <c r="V119" s="54">
        <f>IFERROR(__xludf.DUMMYFUNCTION("""COMPUTED_VALUE"""),200.0)</f>
        <v>200</v>
      </c>
      <c r="W119" s="56" t="str">
        <f>IFERROR(__xludf.DUMMYFUNCTION("""COMPUTED_VALUE"""),"Regional Bogota")</f>
        <v>Regional Bogota</v>
      </c>
      <c r="X119" s="57" t="str">
        <f>IFERROR(__xludf.DUMMYFUNCTION("""COMPUTED_VALUE"""),"Carlos Augusto Borda Rodriguez")</f>
        <v>Carlos Augusto Borda Rodriguez</v>
      </c>
      <c r="Y119" s="47" t="str">
        <f>IFERROR(__xludf.DUMMYFUNCTION("""COMPUTED_VALUE"""),"Director Regional Bogotá")</f>
        <v>Director Regional Bogotá</v>
      </c>
      <c r="Z119" s="57" t="str">
        <f>IFERROR(__xludf.DUMMYFUNCTION("""COMPUTED_VALUE"""),"carlos.borda@aunap.gov.co")</f>
        <v>carlos.borda@aunap.gov.co</v>
      </c>
      <c r="AA119" s="47" t="str">
        <f>IFERROR(__xludf.DUMMYFUNCTION("""COMPUTED_VALUE"""),"Humanos, Físicos, Financieros, Tecnológicos")</f>
        <v>Humanos, Físicos, Financieros, Tecnológicos</v>
      </c>
      <c r="AB119" s="47" t="str">
        <f>IFERROR(__xludf.DUMMYFUNCTION("""COMPUTED_VALUE"""),"No asociado")</f>
        <v>No asociado</v>
      </c>
      <c r="AC119" s="47" t="str">
        <f>IFERROR(__xludf.DUMMYFUNCTION("""COMPUTED_VALUE"""),"Llegar con actividades de pesca y acuicultura a todas las regiones")</f>
        <v>Llegar con actividades de pesca y acuicultura a todas las regiones</v>
      </c>
      <c r="AD119" s="47" t="str">
        <f>IFERROR(__xludf.DUMMYFUNCTION("""COMPUTED_VALUE"""),"Gestión con valores para resultados")</f>
        <v>Gestión con valores para resultados</v>
      </c>
      <c r="AE119" s="47" t="str">
        <f>IFERROR(__xludf.DUMMYFUNCTION("""COMPUTED_VALUE"""),"Racionalización de Trámites")</f>
        <v>Racionalización de Trámites</v>
      </c>
      <c r="AF119" s="47" t="str">
        <f>IFERROR(__xludf.DUMMYFUNCTION("""COMPUTED_VALUE"""),"12. Producción y consumo responsable")</f>
        <v>12. Producción y consumo responsable</v>
      </c>
      <c r="AG119" s="58">
        <f>IFERROR(__xludf.DUMMYFUNCTION("""COMPUTED_VALUE"""),39.0)</f>
        <v>39</v>
      </c>
      <c r="AH119" s="59" t="str">
        <f>IFERROR(__xludf.DUMMYFUNCTION("""COMPUTED_VALUE"""),"Se suspendio la impresion de carne, por el convenio con Penut")</f>
        <v>Se suspendio la impresion de carne, por el convenio con Penut</v>
      </c>
      <c r="AI119" s="77" t="str">
        <f>IFERROR(__xludf.DUMMYFUNCTION("""COMPUTED_VALUE"""),"https://drive.google.com/drive/folders/1PM-1JLen1zpPc8VRGRo2H8p_6t6HvItK")</f>
        <v>https://drive.google.com/drive/folders/1PM-1JLen1zpPc8VRGRo2H8p_6t6HvItK</v>
      </c>
      <c r="AJ119" s="59">
        <f>IFERROR(__xludf.DUMMYFUNCTION("""COMPUTED_VALUE"""),788.0)</f>
        <v>788</v>
      </c>
      <c r="AK119" s="59" t="str">
        <f>IFERROR(__xludf.DUMMYFUNCTION("""COMPUTED_VALUE"""),"Se adelanto la gestion para la formalización de los pescadores, el ultimo trimestre se redujo la impresión de carné, hasta que se adelante el convenio con Penut  para el Rio Magalena, los mismos se inprimiran una vez se tenga el enlace con el software de "&amp;" ellos")</f>
        <v>Se adelanto la gestion para la formalización de los pescadores, el ultimo trimestre se redujo la impresión de carné, hasta que se adelante el convenio con Penut  para el Rio Magalena, los mismos se inprimiran una vez se tenga el enlace con el software de  ellos</v>
      </c>
      <c r="AL119" s="59">
        <f>IFERROR(__xludf.DUMMYFUNCTION("""COMPUTED_VALUE"""),44582.0)</f>
        <v>44582</v>
      </c>
      <c r="AM119" s="60"/>
      <c r="AN119" s="61" t="str">
        <f>IFERROR(IF((AO119+1)&lt;2,Alertas!$B$2&amp;TEXT(AO119,"0%")&amp;Alertas!$D$2, IF((AO119+1)=2,Alertas!$B$3,IF((AO119+1)&gt;2,Alertas!$B$4&amp;TEXT(AO119,"0%")&amp;Alertas!$D$4,AO119+1))),"Sin meta para el segundo trimestre")</f>
        <v>La ejecución de la meta registrada se encuentra por debajo de la meta programada en la formulación del plan de acción para el segundo trimestre, su porcentaje de cumplimiento es 20%, lo cual indica un incumplimiento que puede ser entendido por los entes de control como falencias en el proceso de planeación y gestión de la dependencia. se recomienda realizar acciones para garantizar el cumplimiento de la meta durante lo que resta de vigencia</v>
      </c>
      <c r="AO119" s="62">
        <f t="shared" si="2"/>
        <v>0.195</v>
      </c>
      <c r="AP119" s="61" t="str">
        <f t="shared" si="3"/>
        <v>La ejecución de la meta registrada se encuentra por debajo de la meta programada en la formulación del plan de acción para el segundo trimestre, su porcentaje de cumplimiento es 20%, lo cual indica un incumplimiento que puede ser entendido por los entes de control como falencias en el proceso de planeación y gestión de la dependencia. se recomienda realizar acciones para garantizar el cumplimiento de la meta durante lo que resta de vigencia.</v>
      </c>
      <c r="AQ119" s="63"/>
      <c r="AR119" s="64"/>
      <c r="AS119" s="65"/>
      <c r="AT119" s="65"/>
      <c r="AU119" s="66"/>
      <c r="AV119" s="67"/>
      <c r="AW119" s="68"/>
      <c r="AX119" s="63"/>
      <c r="AY119" s="64"/>
      <c r="AZ119" s="69"/>
      <c r="BA119" s="65"/>
      <c r="BB119" s="70"/>
      <c r="BC119" s="71"/>
      <c r="BD119" s="72"/>
      <c r="BE119" s="73"/>
      <c r="BF119" s="64"/>
      <c r="BG119" s="69"/>
      <c r="BH119" s="65"/>
      <c r="BI119" s="66"/>
      <c r="BJ119" s="71"/>
      <c r="BK119" s="72"/>
      <c r="BL119" s="74"/>
      <c r="BN119" s="5" t="str">
        <f t="shared" si="23"/>
        <v>-1</v>
      </c>
      <c r="BP119" s="5"/>
    </row>
    <row r="120" ht="37.5" customHeight="1">
      <c r="A120" s="45"/>
      <c r="B120" s="46">
        <f>IFERROR(__xludf.DUMMYFUNCTION("""COMPUTED_VALUE"""),118.0)</f>
        <v>118</v>
      </c>
      <c r="C120" s="47" t="str">
        <f>IFERROR(__xludf.DUMMYFUNCTION("""COMPUTED_VALUE"""),"Gestión de la inspección y vigilancia")</f>
        <v>Gestión de la inspección y vigilancia</v>
      </c>
      <c r="D120" s="48" t="str">
        <f>IFERROR(__xludf.DUMMYFUNCTION("""COMPUTED_VALUE"""),"Regional Bogotá")</f>
        <v>Regional Bogotá</v>
      </c>
      <c r="E120"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20" s="49">
        <f>IFERROR(__xludf.DUMMYFUNCTION("""COMPUTED_VALUE"""),2.019011000276E12)</f>
        <v>2019011000276</v>
      </c>
      <c r="G120" s="50" t="str">
        <f>IFERROR(__xludf.DUMMYFUNCTION("""COMPUTED_VALUE"""),"Inspección")</f>
        <v>Inspección</v>
      </c>
      <c r="H120" s="48" t="str">
        <f>IFERROR(__xludf.DUMMYFUNCTION("""COMPUTED_VALUE"""),"Fortalecer los mecanismos de seguimiento y control de la actividad pesquera y de la acuicultura.")</f>
        <v>Fortalecer los mecanismos de seguimiento y control de la actividad pesquera y de la acuicultura.</v>
      </c>
      <c r="I120" s="48" t="str">
        <f>IFERROR(__xludf.DUMMYFUNCTION("""COMPUTED_VALUE"""),"Servicio de inspección, vigilancia y control de la pesca y la acuicultura")</f>
        <v>Servicio de inspección, vigilancia y control de la pesca y la acuicultura</v>
      </c>
      <c r="J120" s="48" t="str">
        <f>IFERROR(__xludf.DUMMYFUNCTION("""COMPUTED_VALUE"""),"Realizar los operativos de inspección, vigilancia y control.")</f>
        <v>Realizar los operativos de inspección, vigilancia y control.</v>
      </c>
      <c r="K120" s="51" t="str">
        <f>IFERROR(__xludf.DUMMYFUNCTION("""COMPUTED_VALUE"""),"Producto")</f>
        <v>Producto</v>
      </c>
      <c r="L120" s="51" t="str">
        <f>IFERROR(__xludf.DUMMYFUNCTION("""COMPUTED_VALUE"""),"Eficacia")</f>
        <v>Eficacia</v>
      </c>
      <c r="M120" s="51" t="str">
        <f>IFERROR(__xludf.DUMMYFUNCTION("""COMPUTED_VALUE"""),"Número")</f>
        <v>Número</v>
      </c>
      <c r="N120" s="52" t="str">
        <f>IFERROR(__xludf.DUMMYFUNCTION("""COMPUTED_VALUE"""),"Operativos de inspección, vigilancia y control realizados")</f>
        <v>Operativos de inspección, vigilancia y control realizados</v>
      </c>
      <c r="O120" s="53"/>
      <c r="P120" s="54">
        <f>IFERROR(__xludf.DUMMYFUNCTION("""COMPUTED_VALUE"""),510.0)</f>
        <v>510</v>
      </c>
      <c r="Q120" s="55" t="str">
        <f>IFERROR(__xludf.DUMMYFUNCTION("""COMPUTED_VALUE"""),"Realizar Operativos de Control")</f>
        <v>Realizar Operativos de Control</v>
      </c>
      <c r="R120" s="14" t="str">
        <f>IFERROR(__xludf.DUMMYFUNCTION("""COMPUTED_VALUE"""),"Trimestral")</f>
        <v>Trimestral</v>
      </c>
      <c r="S120" s="54">
        <f>IFERROR(__xludf.DUMMYFUNCTION("""COMPUTED_VALUE"""),106.0)</f>
        <v>106</v>
      </c>
      <c r="T120" s="54">
        <f>IFERROR(__xludf.DUMMYFUNCTION("""COMPUTED_VALUE"""),120.0)</f>
        <v>120</v>
      </c>
      <c r="U120" s="54">
        <f>IFERROR(__xludf.DUMMYFUNCTION("""COMPUTED_VALUE"""),164.0)</f>
        <v>164</v>
      </c>
      <c r="V120" s="54">
        <f>IFERROR(__xludf.DUMMYFUNCTION("""COMPUTED_VALUE"""),120.0)</f>
        <v>120</v>
      </c>
      <c r="W120" s="56" t="str">
        <f>IFERROR(__xludf.DUMMYFUNCTION("""COMPUTED_VALUE"""),"Regional Bogota")</f>
        <v>Regional Bogota</v>
      </c>
      <c r="X120" s="57" t="str">
        <f>IFERROR(__xludf.DUMMYFUNCTION("""COMPUTED_VALUE"""),"Carlos Augusto Borda Rodriguez")</f>
        <v>Carlos Augusto Borda Rodriguez</v>
      </c>
      <c r="Y120" s="47" t="str">
        <f>IFERROR(__xludf.DUMMYFUNCTION("""COMPUTED_VALUE"""),"Director Regional Bogotá")</f>
        <v>Director Regional Bogotá</v>
      </c>
      <c r="Z120" s="57" t="str">
        <f>IFERROR(__xludf.DUMMYFUNCTION("""COMPUTED_VALUE"""),"carlos.borda@aunap.gov.co")</f>
        <v>carlos.borda@aunap.gov.co</v>
      </c>
      <c r="AA120" s="47" t="str">
        <f>IFERROR(__xludf.DUMMYFUNCTION("""COMPUTED_VALUE"""),"Humanos, Físicos, Financieros, Tecnológicos")</f>
        <v>Humanos, Físicos, Financieros, Tecnológicos</v>
      </c>
      <c r="AB120" s="47" t="str">
        <f>IFERROR(__xludf.DUMMYFUNCTION("""COMPUTED_VALUE"""),"No asociado")</f>
        <v>No asociado</v>
      </c>
      <c r="AC120" s="47" t="str">
        <f>IFERROR(__xludf.DUMMYFUNCTION("""COMPUTED_VALUE"""),"Llegar con actividades de pesca y acuicultura a todas las regiones")</f>
        <v>Llegar con actividades de pesca y acuicultura a todas las regiones</v>
      </c>
      <c r="AD120" s="47" t="str">
        <f>IFERROR(__xludf.DUMMYFUNCTION("""COMPUTED_VALUE"""),"Gestión con valores para resultados")</f>
        <v>Gestión con valores para resultados</v>
      </c>
      <c r="AE120" s="47" t="str">
        <f>IFERROR(__xludf.DUMMYFUNCTION("""COMPUTED_VALUE"""),"Fortalecimiento Organizacional y Simplificación de Procesos")</f>
        <v>Fortalecimiento Organizacional y Simplificación de Procesos</v>
      </c>
      <c r="AF120" s="47" t="str">
        <f>IFERROR(__xludf.DUMMYFUNCTION("""COMPUTED_VALUE"""),"12. Producción y consumo responsable")</f>
        <v>12. Producción y consumo responsable</v>
      </c>
      <c r="AG120" s="58">
        <f>IFERROR(__xludf.DUMMYFUNCTION("""COMPUTED_VALUE"""),180.0)</f>
        <v>180</v>
      </c>
      <c r="AH120" s="59" t="str">
        <f>IFERROR(__xludf.DUMMYFUNCTION("""COMPUTED_VALUE"""),"SE reforzo el traabajo en las oficinas adscritas realizando actividades en las diferentes zonas de influencia de la regional. Se realizo presencia mas fecuente en la población de Honda con la contratista asignada en esa población")</f>
        <v>SE reforzo el traabajo en las oficinas adscritas realizando actividades en las diferentes zonas de influencia de la regional. Se realizo presencia mas fecuente en la población de Honda con la contratista asignada en esa población</v>
      </c>
      <c r="AI120" s="77" t="str">
        <f>IFERROR(__xludf.DUMMYFUNCTION("""COMPUTED_VALUE"""),"https://drive.google.com/drive/u/0/folders/1UKK-6DzfkSjRxrSlJ4mRP-z1drRQaXNY")</f>
        <v>https://drive.google.com/drive/u/0/folders/1UKK-6DzfkSjRxrSlJ4mRP-z1drRQaXNY</v>
      </c>
      <c r="AJ120" s="59">
        <f>IFERROR(__xludf.DUMMYFUNCTION("""COMPUTED_VALUE"""),533.0)</f>
        <v>533</v>
      </c>
      <c r="AK120" s="59" t="str">
        <f>IFERROR(__xludf.DUMMYFUNCTION("""COMPUTED_VALUE"""),"se logro superar la meta y se adicionaron algunos operativos que no estaban en los reportes mensuales, pues se realizaron el dia del corte del informe,")</f>
        <v>se logro superar la meta y se adicionaron algunos operativos que no estaban en los reportes mensuales, pues se realizaron el dia del corte del informe,</v>
      </c>
      <c r="AL120" s="59">
        <f>IFERROR(__xludf.DUMMYFUNCTION("""COMPUTED_VALUE"""),44582.0)</f>
        <v>44582</v>
      </c>
      <c r="AM120" s="60"/>
      <c r="AN120" s="61" t="str">
        <f>IFERROR(IF((AO120+1)&lt;2,Alertas!$B$2&amp;TEXT(AO120,"0%")&amp;Alertas!$D$2, IF((AO120+1)=2,Alertas!$B$3,IF((AO120+1)&gt;2,Alertas!$B$4&amp;TEXT(AO120,"0%")&amp;Alertas!$D$4,AO120+1))),"Sin meta para el segundo trimestre")</f>
        <v>La ejecución de la meta registrada se encuentra por encima de la meta programada en la formulación del plan de acción para el segundo trimestre, su porcentaje de cumplimiento es 150%,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20" s="62">
        <f t="shared" si="2"/>
        <v>1.5</v>
      </c>
      <c r="AP120" s="61" t="str">
        <f t="shared" si="3"/>
        <v>La ejecución de la meta registrada se encuentra por encima de la meta programada en la formulación del plan de acción para el segundo trimestre, su porcentaje de cumplimiento es 150%,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20" s="63"/>
      <c r="AR120" s="64"/>
      <c r="AS120" s="65"/>
      <c r="AT120" s="65"/>
      <c r="AU120" s="66"/>
      <c r="AV120" s="67"/>
      <c r="AW120" s="68"/>
      <c r="AX120" s="63"/>
      <c r="AY120" s="64"/>
      <c r="AZ120" s="69"/>
      <c r="BA120" s="65"/>
      <c r="BB120" s="70"/>
      <c r="BC120" s="71"/>
      <c r="BD120" s="72"/>
      <c r="BE120" s="73"/>
      <c r="BF120" s="64"/>
      <c r="BG120" s="69"/>
      <c r="BH120" s="65"/>
      <c r="BI120" s="66"/>
      <c r="BJ120" s="71"/>
      <c r="BK120" s="72"/>
      <c r="BL120" s="74"/>
      <c r="BN120" s="5" t="str">
        <f t="shared" si="23"/>
        <v>1</v>
      </c>
      <c r="BP120" s="5"/>
    </row>
    <row r="121" ht="37.5" customHeight="1">
      <c r="A121" s="45"/>
      <c r="B121" s="46">
        <f>IFERROR(__xludf.DUMMYFUNCTION("""COMPUTED_VALUE"""),119.0)</f>
        <v>119</v>
      </c>
      <c r="C121" s="47" t="str">
        <f>IFERROR(__xludf.DUMMYFUNCTION("""COMPUTED_VALUE"""),"Gestión de la administración y fomento")</f>
        <v>Gestión de la administración y fomento</v>
      </c>
      <c r="D121" s="48" t="str">
        <f>IFERROR(__xludf.DUMMYFUNCTION("""COMPUTED_VALUE"""),"Regional Bogotá")</f>
        <v>Regional Bogotá</v>
      </c>
      <c r="E121" s="48" t="str">
        <f>IFERROR(__xludf.DUMMYFUNCTION("""COMPUTED_VALUE"""),"Fortalecimiento de la sostenibilidad del sector pesquero y de la acuicultura en el territorio nacional")</f>
        <v>Fortalecimiento de la sostenibilidad del sector pesquero y de la acuicultura en el territorio nacional</v>
      </c>
      <c r="F121" s="49">
        <f>IFERROR(__xludf.DUMMYFUNCTION("""COMPUTED_VALUE"""),2.01901100028E12)</f>
        <v>2019011000280</v>
      </c>
      <c r="G121" s="50" t="str">
        <f>IFERROR(__xludf.DUMMYFUNCTION("""COMPUTED_VALUE"""),"Sostenibilidad")</f>
        <v>Sostenibilidad</v>
      </c>
      <c r="H121" s="48" t="str">
        <f>IFERROR(__xludf.DUMMYFUNCTION("""COMPUTED_VALUE"""),"Mejorar la explotación de los recursos pesqueros y de la acuicultura.")</f>
        <v>Mejorar la explotación de los recursos pesqueros y de la acuicultura.</v>
      </c>
      <c r="I121" s="48" t="str">
        <f>IFERROR(__xludf.DUMMYFUNCTION("""COMPUTED_VALUE"""),"Servicio de ordenación pesquera y de la acuicultura")</f>
        <v>Servicio de ordenación pesquera y de la acuicultura</v>
      </c>
      <c r="J121" s="48" t="str">
        <f>IFERROR(__xludf.DUMMYFUNCTION("""COMPUTED_VALUE"""),"Generar acciones de fomento para la pesca, la acuicultura y sus actividades conexas.")</f>
        <v>Generar acciones de fomento para la pesca, la acuicultura y sus actividades conexas.</v>
      </c>
      <c r="K121" s="51" t="str">
        <f>IFERROR(__xludf.DUMMYFUNCTION("""COMPUTED_VALUE"""),"Gestión del área")</f>
        <v>Gestión del área</v>
      </c>
      <c r="L121" s="51" t="str">
        <f>IFERROR(__xludf.DUMMYFUNCTION("""COMPUTED_VALUE"""),"Eficacia")</f>
        <v>Eficacia</v>
      </c>
      <c r="M121" s="51" t="str">
        <f>IFERROR(__xludf.DUMMYFUNCTION("""COMPUTED_VALUE"""),"Número")</f>
        <v>Número</v>
      </c>
      <c r="N121" s="52" t="str">
        <f>IFERROR(__xludf.DUMMYFUNCTION("""COMPUTED_VALUE"""),"Numero de Repoblamientos realizados sobre Numero de Repoblamientos programados")</f>
        <v>Numero de Repoblamientos realizados sobre Numero de Repoblamientos programados</v>
      </c>
      <c r="O121" s="53"/>
      <c r="P121" s="54">
        <f>IFERROR(__xludf.DUMMYFUNCTION("""COMPUTED_VALUE"""),1450000.0)</f>
        <v>1450000</v>
      </c>
      <c r="Q121" s="55" t="str">
        <f>IFERROR(__xludf.DUMMYFUNCTION("""COMPUTED_VALUE"""),"Generar los Repoblamientos Misionales - Bocachico")</f>
        <v>Generar los Repoblamientos Misionales - Bocachico</v>
      </c>
      <c r="R121" s="14" t="str">
        <f>IFERROR(__xludf.DUMMYFUNCTION("""COMPUTED_VALUE"""),"Trimestral")</f>
        <v>Trimestral</v>
      </c>
      <c r="S121" s="54">
        <f>IFERROR(__xludf.DUMMYFUNCTION("""COMPUTED_VALUE"""),150000.0)</f>
        <v>150000</v>
      </c>
      <c r="T121" s="54">
        <f>IFERROR(__xludf.DUMMYFUNCTION("""COMPUTED_VALUE"""),350000.0)</f>
        <v>350000</v>
      </c>
      <c r="U121" s="54">
        <f>IFERROR(__xludf.DUMMYFUNCTION("""COMPUTED_VALUE"""),450000.0)</f>
        <v>450000</v>
      </c>
      <c r="V121" s="54">
        <f>IFERROR(__xludf.DUMMYFUNCTION("""COMPUTED_VALUE"""),500000.0)</f>
        <v>500000</v>
      </c>
      <c r="W121" s="56" t="str">
        <f>IFERROR(__xludf.DUMMYFUNCTION("""COMPUTED_VALUE"""),"Regional Bogota")</f>
        <v>Regional Bogota</v>
      </c>
      <c r="X121" s="57" t="str">
        <f>IFERROR(__xludf.DUMMYFUNCTION("""COMPUTED_VALUE"""),"Carlos Augusto Borda Rodriguez")</f>
        <v>Carlos Augusto Borda Rodriguez</v>
      </c>
      <c r="Y121" s="47" t="str">
        <f>IFERROR(__xludf.DUMMYFUNCTION("""COMPUTED_VALUE"""),"Director Regional Bogotá")</f>
        <v>Director Regional Bogotá</v>
      </c>
      <c r="Z121" s="57" t="str">
        <f>IFERROR(__xludf.DUMMYFUNCTION("""COMPUTED_VALUE"""),"carlos.borda@aunap.gov.co")</f>
        <v>carlos.borda@aunap.gov.co</v>
      </c>
      <c r="AA121" s="47" t="str">
        <f>IFERROR(__xludf.DUMMYFUNCTION("""COMPUTED_VALUE"""),"Humanos, Físicos, Financieros, Tecnológicos")</f>
        <v>Humanos, Físicos, Financieros, Tecnológicos</v>
      </c>
      <c r="AB121" s="47" t="str">
        <f>IFERROR(__xludf.DUMMYFUNCTION("""COMPUTED_VALUE"""),"No asociado")</f>
        <v>No asociado</v>
      </c>
      <c r="AC121" s="47" t="str">
        <f>IFERROR(__xludf.DUMMYFUNCTION("""COMPUTED_VALUE"""),"Llegar con actividades de pesca y acuicultura a todas las regiones")</f>
        <v>Llegar con actividades de pesca y acuicultura a todas las regiones</v>
      </c>
      <c r="AD121" s="47" t="str">
        <f>IFERROR(__xludf.DUMMYFUNCTION("""COMPUTED_VALUE"""),"Gestión con valores para resultados")</f>
        <v>Gestión con valores para resultados</v>
      </c>
      <c r="AE121" s="47" t="str">
        <f>IFERROR(__xludf.DUMMYFUNCTION("""COMPUTED_VALUE"""),"Fortalecimiento Organizacional y Simplificación de Procesos")</f>
        <v>Fortalecimiento Organizacional y Simplificación de Procesos</v>
      </c>
      <c r="AF121" s="47" t="str">
        <f>IFERROR(__xludf.DUMMYFUNCTION("""COMPUTED_VALUE"""),"12. Producción y consumo responsable")</f>
        <v>12. Producción y consumo responsable</v>
      </c>
      <c r="AG121" s="58">
        <f>IFERROR(__xludf.DUMMYFUNCTION("""COMPUTED_VALUE"""),1885550.0)</f>
        <v>1885550</v>
      </c>
      <c r="AH121" s="59" t="str">
        <f>IFERROR(__xludf.DUMMYFUNCTION("""COMPUTED_VALUE"""),"Se realizaron varios repoblamientos como parte de los memorandos de entendimiento adelantados con la gobernacion de Cundinamarca, la alcaldia de Gigante y varias alcaldias que apoyaron en este proceso a la AUNAP ")</f>
        <v>Se realizaron varios repoblamientos como parte de los memorandos de entendimiento adelantados con la gobernacion de Cundinamarca, la alcaldia de Gigante y varias alcaldias que apoyaron en este proceso a la AUNAP </v>
      </c>
      <c r="AI121" s="77" t="str">
        <f>IFERROR(__xludf.DUMMYFUNCTION("""COMPUTED_VALUE"""),"https://drive.google.com/drive/u/0/folders/17KYuAGxBYbtcoUaV_eNzRjEs5WG4k2cg")</f>
        <v>https://drive.google.com/drive/u/0/folders/17KYuAGxBYbtcoUaV_eNzRjEs5WG4k2cg</v>
      </c>
      <c r="AJ121" s="59">
        <f>IFERROR(__xludf.DUMMYFUNCTION("""COMPUTED_VALUE"""),2938615.0)</f>
        <v>2938615</v>
      </c>
      <c r="AK121" s="59" t="str">
        <f>IFERROR(__xludf.DUMMYFUNCTION("""COMPUTED_VALUE"""),"Se logro realizar buenas entergas con el apoto de los memorandos de entendimiento y de l apoyo de varias alcaldias")</f>
        <v>Se logro realizar buenas entergas con el apoto de los memorandos de entendimiento y de l apoyo de varias alcaldias</v>
      </c>
      <c r="AL121" s="59">
        <f>IFERROR(__xludf.DUMMYFUNCTION("""COMPUTED_VALUE"""),44582.0)</f>
        <v>44582</v>
      </c>
      <c r="AM121" s="60"/>
      <c r="AN121" s="61" t="str">
        <f>IFERROR(IF((AO121+1)&lt;2,Alertas!$B$2&amp;TEXT(AO121,"0%")&amp;Alertas!$D$2, IF((AO121+1)=2,Alertas!$B$3,IF((AO121+1)&gt;2,Alertas!$B$4&amp;TEXT(AO121,"0%")&amp;Alertas!$D$4,AO121+1))),"Sin meta para el segundo trimestre")</f>
        <v>La ejecución de la meta registrada se encuentra por encima de la meta programada en la formulación del plan de acción para el segundo trimestre, su porcentaje de cumplimiento es 539%,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21" s="62">
        <f t="shared" si="2"/>
        <v>5.387285714</v>
      </c>
      <c r="AP121" s="61" t="str">
        <f t="shared" si="3"/>
        <v>La ejecución de la meta registrada se encuentra por encima de la meta programada en la formulación del plan de acción para el segundo trimestre, su porcentaje de cumplimiento es 539%,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21" s="63"/>
      <c r="AR121" s="64"/>
      <c r="AS121" s="65"/>
      <c r="AT121" s="65"/>
      <c r="AU121" s="66"/>
      <c r="AV121" s="67"/>
      <c r="AW121" s="68"/>
      <c r="AX121" s="63"/>
      <c r="AY121" s="64"/>
      <c r="AZ121" s="69"/>
      <c r="BA121" s="65"/>
      <c r="BB121" s="70"/>
      <c r="BC121" s="71"/>
      <c r="BD121" s="72"/>
      <c r="BE121" s="73"/>
      <c r="BF121" s="64"/>
      <c r="BG121" s="69"/>
      <c r="BH121" s="65"/>
      <c r="BI121" s="66"/>
      <c r="BJ121" s="71"/>
      <c r="BK121" s="72"/>
      <c r="BL121" s="74"/>
      <c r="BN121" s="5" t="str">
        <f t="shared" si="23"/>
        <v>1</v>
      </c>
      <c r="BP121" s="5"/>
    </row>
    <row r="122" ht="37.5" customHeight="1">
      <c r="A122" s="45"/>
      <c r="B122" s="46">
        <f>IFERROR(__xludf.DUMMYFUNCTION("""COMPUTED_VALUE"""),120.0)</f>
        <v>120</v>
      </c>
      <c r="C122" s="47" t="str">
        <f>IFERROR(__xludf.DUMMYFUNCTION("""COMPUTED_VALUE"""),"Gestión de la administración y fomento")</f>
        <v>Gestión de la administración y fomento</v>
      </c>
      <c r="D122" s="48" t="str">
        <f>IFERROR(__xludf.DUMMYFUNCTION("""COMPUTED_VALUE"""),"Regional Bogotá")</f>
        <v>Regional Bogotá</v>
      </c>
      <c r="E122" s="48" t="str">
        <f>IFERROR(__xludf.DUMMYFUNCTION("""COMPUTED_VALUE"""),"Fortalecimiento de la sostenibilidad del sector pesquero y de la acuicultura en el territorio nacional")</f>
        <v>Fortalecimiento de la sostenibilidad del sector pesquero y de la acuicultura en el territorio nacional</v>
      </c>
      <c r="F122" s="49">
        <f>IFERROR(__xludf.DUMMYFUNCTION("""COMPUTED_VALUE"""),2.01901100028E12)</f>
        <v>2019011000280</v>
      </c>
      <c r="G122" s="50" t="str">
        <f>IFERROR(__xludf.DUMMYFUNCTION("""COMPUTED_VALUE"""),"Sostenibilidad")</f>
        <v>Sostenibilidad</v>
      </c>
      <c r="H122" s="48" t="str">
        <f>IFERROR(__xludf.DUMMYFUNCTION("""COMPUTED_VALUE"""),"Mejorar la explotación de los recursos pesqueros y de la acuicultura.")</f>
        <v>Mejorar la explotación de los recursos pesqueros y de la acuicultura.</v>
      </c>
      <c r="I122" s="48" t="str">
        <f>IFERROR(__xludf.DUMMYFUNCTION("""COMPUTED_VALUE"""),"Servicios de apoyo al fomento de la pesca y la acuicultura")</f>
        <v>Servicios de apoyo al fomento de la pesca y la acuicultura</v>
      </c>
      <c r="J122" s="48" t="str">
        <f>IFERROR(__xludf.DUMMYFUNCTION("""COMPUTED_VALUE"""),"Generar acciones de fomento para la pesca, la acuicultura y sus actividades conexas.")</f>
        <v>Generar acciones de fomento para la pesca, la acuicultura y sus actividades conexas.</v>
      </c>
      <c r="K122" s="51" t="str">
        <f>IFERROR(__xludf.DUMMYFUNCTION("""COMPUTED_VALUE"""),"Gestión del área")</f>
        <v>Gestión del área</v>
      </c>
      <c r="L122" s="51" t="str">
        <f>IFERROR(__xludf.DUMMYFUNCTION("""COMPUTED_VALUE"""),"Eficacia")</f>
        <v>Eficacia</v>
      </c>
      <c r="M122" s="51" t="str">
        <f>IFERROR(__xludf.DUMMYFUNCTION("""COMPUTED_VALUE"""),"Número")</f>
        <v>Número</v>
      </c>
      <c r="N122" s="52" t="str">
        <f>IFERROR(__xludf.DUMMYFUNCTION("""COMPUTED_VALUE"""),"Numero de Especies Nativas realizadas sobre Numero de Especies Nativas Programadas")</f>
        <v>Numero de Especies Nativas realizadas sobre Numero de Especies Nativas Programadas</v>
      </c>
      <c r="O122" s="53"/>
      <c r="P122" s="54">
        <f>IFERROR(__xludf.DUMMYFUNCTION("""COMPUTED_VALUE"""),110000.0)</f>
        <v>110000</v>
      </c>
      <c r="Q122" s="55" t="str">
        <f>IFERROR(__xludf.DUMMYFUNCTION("""COMPUTED_VALUE"""),"Generar el Repoblamiento de otras especies nativas")</f>
        <v>Generar el Repoblamiento de otras especies nativas</v>
      </c>
      <c r="R122" s="14" t="str">
        <f>IFERROR(__xludf.DUMMYFUNCTION("""COMPUTED_VALUE"""),"Trimestral")</f>
        <v>Trimestral</v>
      </c>
      <c r="S122" s="54">
        <f>IFERROR(__xludf.DUMMYFUNCTION("""COMPUTED_VALUE"""),0.0)</f>
        <v>0</v>
      </c>
      <c r="T122" s="54">
        <f>IFERROR(__xludf.DUMMYFUNCTION("""COMPUTED_VALUE"""),30000.0)</f>
        <v>30000</v>
      </c>
      <c r="U122" s="54">
        <f>IFERROR(__xludf.DUMMYFUNCTION("""COMPUTED_VALUE"""),50000.0)</f>
        <v>50000</v>
      </c>
      <c r="V122" s="54">
        <f>IFERROR(__xludf.DUMMYFUNCTION("""COMPUTED_VALUE"""),30000.0)</f>
        <v>30000</v>
      </c>
      <c r="W122" s="56" t="str">
        <f>IFERROR(__xludf.DUMMYFUNCTION("""COMPUTED_VALUE"""),"Regional Bogota")</f>
        <v>Regional Bogota</v>
      </c>
      <c r="X122" s="57" t="str">
        <f>IFERROR(__xludf.DUMMYFUNCTION("""COMPUTED_VALUE"""),"Carlos Augusto Borda Rodriguez")</f>
        <v>Carlos Augusto Borda Rodriguez</v>
      </c>
      <c r="Y122" s="47" t="str">
        <f>IFERROR(__xludf.DUMMYFUNCTION("""COMPUTED_VALUE"""),"Director Regional Bogotá")</f>
        <v>Director Regional Bogotá</v>
      </c>
      <c r="Z122" s="57" t="str">
        <f>IFERROR(__xludf.DUMMYFUNCTION("""COMPUTED_VALUE"""),"carlos.borda@aunap.gov.co")</f>
        <v>carlos.borda@aunap.gov.co</v>
      </c>
      <c r="AA122" s="47" t="str">
        <f>IFERROR(__xludf.DUMMYFUNCTION("""COMPUTED_VALUE"""),"Humanos, Físicos, Financieros, Tecnológicos")</f>
        <v>Humanos, Físicos, Financieros, Tecnológicos</v>
      </c>
      <c r="AB122" s="47" t="str">
        <f>IFERROR(__xludf.DUMMYFUNCTION("""COMPUTED_VALUE"""),"No asociado")</f>
        <v>No asociado</v>
      </c>
      <c r="AC122" s="47" t="str">
        <f>IFERROR(__xludf.DUMMYFUNCTION("""COMPUTED_VALUE"""),"Llegar con actividades de pesca y acuicultura a todas las regiones")</f>
        <v>Llegar con actividades de pesca y acuicultura a todas las regiones</v>
      </c>
      <c r="AD122" s="47" t="str">
        <f>IFERROR(__xludf.DUMMYFUNCTION("""COMPUTED_VALUE"""),"Gestión con valores para resultados")</f>
        <v>Gestión con valores para resultados</v>
      </c>
      <c r="AE122" s="47" t="str">
        <f>IFERROR(__xludf.DUMMYFUNCTION("""COMPUTED_VALUE"""),"Fortalecimiento Organizacional y Simplificación de Procesos")</f>
        <v>Fortalecimiento Organizacional y Simplificación de Procesos</v>
      </c>
      <c r="AF122" s="47" t="str">
        <f>IFERROR(__xludf.DUMMYFUNCTION("""COMPUTED_VALUE"""),"12. Producción y consumo responsable")</f>
        <v>12. Producción y consumo responsable</v>
      </c>
      <c r="AG122" s="58">
        <f>IFERROR(__xludf.DUMMYFUNCTION("""COMPUTED_VALUE"""),554772.0)</f>
        <v>554772</v>
      </c>
      <c r="AH122" s="59" t="str">
        <f>IFERROR(__xludf.DUMMYFUNCTION("""COMPUTED_VALUE"""),"A partir de la directriz de realizar siembras multiespecie y de la promoción realizada sobre los avances en reproducción y producción en especies activas emblamaticas como la doncella y el capaz, lo que aumento la demanda de estas. Se adjuntan las present"&amp;"aciones realizadas en agroexpo 2021. Se mejoro el sistema productivo de las especies y se dio inicio a la producción del pez dorada")</f>
        <v>A partir de la directriz de realizar siembras multiespecie y de la promoción realizada sobre los avances en reproducción y producción en especies activas emblamaticas como la doncella y el capaz, lo que aumento la demanda de estas. Se adjuntan las presentaciones realizadas en agroexpo 2021. Se mejoro el sistema productivo de las especies y se dio inicio a la producción del pez dorada</v>
      </c>
      <c r="AI122" s="77" t="str">
        <f>IFERROR(__xludf.DUMMYFUNCTION("""COMPUTED_VALUE"""),"https://drive.google.com/drive/u/0/folders/1GHr_u4alEmglt_3bgS2FijLbQUAVmAL1")</f>
        <v>https://drive.google.com/drive/u/0/folders/1GHr_u4alEmglt_3bgS2FijLbQUAVmAL1</v>
      </c>
      <c r="AJ122" s="59">
        <f>IFERROR(__xludf.DUMMYFUNCTION("""COMPUTED_VALUE"""),592697.0)</f>
        <v>592697</v>
      </c>
      <c r="AK122" s="59" t="str">
        <f>IFERROR(__xludf.DUMMYFUNCTION("""COMPUTED_VALUE"""),"La oferta de otras especies nativas tuvo una excelente aceptación por parte de la comunidad, lo que aumento su demanda")</f>
        <v>La oferta de otras especies nativas tuvo una excelente aceptación por parte de la comunidad, lo que aumento su demanda</v>
      </c>
      <c r="AL122" s="59">
        <f>IFERROR(__xludf.DUMMYFUNCTION("""COMPUTED_VALUE"""),44582.0)</f>
        <v>44582</v>
      </c>
      <c r="AM122" s="60"/>
      <c r="AN122" s="61" t="str">
        <f>IFERROR(IF((AO122+1)&lt;2,Alertas!$B$2&amp;TEXT(AO122,"0%")&amp;Alertas!$D$2, IF((AO122+1)=2,Alertas!$B$3,IF((AO122+1)&gt;2,Alertas!$B$4&amp;TEXT(AO122,"0%")&amp;Alertas!$D$4,AO122+1))),"Sin meta para el segundo trimestre")</f>
        <v>La ejecución de la meta registrada se encuentra por encima de la meta programada en la formulación del plan de acción para el segundo trimestre, su porcentaje de cumplimiento es 1849%,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22" s="62">
        <f t="shared" si="2"/>
        <v>18.4924</v>
      </c>
      <c r="AP122" s="61" t="str">
        <f t="shared" si="3"/>
        <v>La ejecución de la meta registrada se encuentra por encima de la meta programada en la formulación del plan de acción para el segundo trimestre, su porcentaje de cumplimiento es 1849%,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22" s="63"/>
      <c r="AR122" s="64"/>
      <c r="AS122" s="65"/>
      <c r="AT122" s="65"/>
      <c r="AU122" s="66"/>
      <c r="AV122" s="67"/>
      <c r="AW122" s="68"/>
      <c r="AX122" s="63"/>
      <c r="AY122" s="64"/>
      <c r="AZ122" s="69"/>
      <c r="BA122" s="65"/>
      <c r="BB122" s="70"/>
      <c r="BC122" s="71"/>
      <c r="BD122" s="72"/>
      <c r="BE122" s="73"/>
      <c r="BF122" s="64"/>
      <c r="BG122" s="69"/>
      <c r="BH122" s="65"/>
      <c r="BI122" s="66"/>
      <c r="BJ122" s="71"/>
      <c r="BK122" s="72"/>
      <c r="BL122" s="74"/>
      <c r="BN122" s="5" t="str">
        <f t="shared" si="23"/>
        <v>1</v>
      </c>
      <c r="BP122" s="5"/>
    </row>
    <row r="123" ht="37.5" customHeight="1">
      <c r="A123" s="45"/>
      <c r="B123" s="46">
        <f>IFERROR(__xludf.DUMMYFUNCTION("""COMPUTED_VALUE"""),121.0)</f>
        <v>121</v>
      </c>
      <c r="C123" s="47" t="str">
        <f>IFERROR(__xludf.DUMMYFUNCTION("""COMPUTED_VALUE"""),"Gestión de la administración y fomento")</f>
        <v>Gestión de la administración y fomento</v>
      </c>
      <c r="D123" s="48" t="str">
        <f>IFERROR(__xludf.DUMMYFUNCTION("""COMPUTED_VALUE"""),"Regional Cali")</f>
        <v>Regional Cali</v>
      </c>
      <c r="E123" s="48" t="str">
        <f>IFERROR(__xludf.DUMMYFUNCTION("""COMPUTED_VALUE"""),"Fortalecimiento de la sostenibilidad del sector pesquero y de la acuicultura en el territorio nacional")</f>
        <v>Fortalecimiento de la sostenibilidad del sector pesquero y de la acuicultura en el territorio nacional</v>
      </c>
      <c r="F123" s="49">
        <f>IFERROR(__xludf.DUMMYFUNCTION("""COMPUTED_VALUE"""),2.01901100028E12)</f>
        <v>2019011000280</v>
      </c>
      <c r="G123" s="50" t="str">
        <f>IFERROR(__xludf.DUMMYFUNCTION("""COMPUTED_VALUE"""),"Sostenibilidad")</f>
        <v>Sostenibilidad</v>
      </c>
      <c r="H123" s="48" t="str">
        <f>IFERROR(__xludf.DUMMYFUNCTION("""COMPUTED_VALUE"""),"Mejorar la explotación de los recursos pesqueros y de la acuicultura.")</f>
        <v>Mejorar la explotación de los recursos pesqueros y de la acuicultura.</v>
      </c>
      <c r="I123" s="48" t="str">
        <f>IFERROR(__xludf.DUMMYFUNCTION("""COMPUTED_VALUE"""),"Servicios de administración de los recurso pesqueros y de la acuicultura")</f>
        <v>Servicios de administración de los recurso pesqueros y de la acuicultura</v>
      </c>
      <c r="J123" s="48" t="str">
        <f>IFERROR(__xludf.DUMMYFUNCTION("""COMPUTED_VALUE"""),"Regular el manejo y el ejercicio de la actividad pesquera y de la acuicultura.")</f>
        <v>Regular el manejo y el ejercicio de la actividad pesquera y de la acuicultura.</v>
      </c>
      <c r="K123" s="51" t="str">
        <f>IFERROR(__xludf.DUMMYFUNCTION("""COMPUTED_VALUE"""),"Producto")</f>
        <v>Producto</v>
      </c>
      <c r="L123" s="51" t="str">
        <f>IFERROR(__xludf.DUMMYFUNCTION("""COMPUTED_VALUE"""),"Eficacia")</f>
        <v>Eficacia</v>
      </c>
      <c r="M123" s="51" t="str">
        <f>IFERROR(__xludf.DUMMYFUNCTION("""COMPUTED_VALUE"""),"Número")</f>
        <v>Número</v>
      </c>
      <c r="N123" s="52" t="str">
        <f>IFERROR(__xludf.DUMMYFUNCTION("""COMPUTED_VALUE"""),"Trámites atendidos")</f>
        <v>Trámites atendidos</v>
      </c>
      <c r="O123" s="53">
        <f>IFERROR(__xludf.DUMMYFUNCTION("""COMPUTED_VALUE"""),-7140.0)</f>
        <v>-7140</v>
      </c>
      <c r="P123" s="54">
        <f>IFERROR(__xludf.DUMMYFUNCTION("""COMPUTED_VALUE"""),410.0)</f>
        <v>410</v>
      </c>
      <c r="Q123" s="55" t="str">
        <f>IFERROR(__xludf.DUMMYFUNCTION("""COMPUTED_VALUE"""),"Atención de trámites")</f>
        <v>Atención de trámites</v>
      </c>
      <c r="R123" s="14" t="str">
        <f>IFERROR(__xludf.DUMMYFUNCTION("""COMPUTED_VALUE"""),"Trimestral")</f>
        <v>Trimestral</v>
      </c>
      <c r="S123" s="54">
        <f>IFERROR(__xludf.DUMMYFUNCTION("""COMPUTED_VALUE"""),105.0)</f>
        <v>105</v>
      </c>
      <c r="T123" s="54">
        <f>IFERROR(__xludf.DUMMYFUNCTION("""COMPUTED_VALUE"""),85.0)</f>
        <v>85</v>
      </c>
      <c r="U123" s="54">
        <f>IFERROR(__xludf.DUMMYFUNCTION("""COMPUTED_VALUE"""),120.0)</f>
        <v>120</v>
      </c>
      <c r="V123" s="54">
        <f>IFERROR(__xludf.DUMMYFUNCTION("""COMPUTED_VALUE"""),100.0)</f>
        <v>100</v>
      </c>
      <c r="W123" s="56" t="str">
        <f>IFERROR(__xludf.DUMMYFUNCTION("""COMPUTED_VALUE"""),"Regional Cali")</f>
        <v>Regional Cali</v>
      </c>
      <c r="X123" s="57" t="str">
        <f>IFERROR(__xludf.DUMMYFUNCTION("""COMPUTED_VALUE"""),"Sandra Amgulo")</f>
        <v>Sandra Amgulo</v>
      </c>
      <c r="Y123" s="47" t="str">
        <f>IFERROR(__xludf.DUMMYFUNCTION("""COMPUTED_VALUE"""),"Director Regional")</f>
        <v>Director Regional</v>
      </c>
      <c r="Z123" s="57" t="str">
        <f>IFERROR(__xludf.DUMMYFUNCTION("""COMPUTED_VALUE"""),"sandra.angulo@aunap.gov.co")</f>
        <v>sandra.angulo@aunap.gov.co</v>
      </c>
      <c r="AA123" s="47" t="str">
        <f>IFERROR(__xludf.DUMMYFUNCTION("""COMPUTED_VALUE"""),"Humanos, fisicos, financieros y tecnologicos")</f>
        <v>Humanos, fisicos, financieros y tecnologicos</v>
      </c>
      <c r="AB123" s="47" t="str">
        <f>IFERROR(__xludf.DUMMYFUNCTION("""COMPUTED_VALUE"""),"No asociado")</f>
        <v>No asociado</v>
      </c>
      <c r="AC123" s="47" t="str">
        <f>IFERROR(__xludf.DUMMYFUNCTION("""COMPUTED_VALUE"""),"Propiciar la formalización de la pesca y la acuicultura")</f>
        <v>Propiciar la formalización de la pesca y la acuicultura</v>
      </c>
      <c r="AD123" s="47" t="str">
        <f>IFERROR(__xludf.DUMMYFUNCTION("""COMPUTED_VALUE"""),"Gestión con valores para resultados")</f>
        <v>Gestión con valores para resultados</v>
      </c>
      <c r="AE123" s="47" t="str">
        <f>IFERROR(__xludf.DUMMYFUNCTION("""COMPUTED_VALUE"""),"Fortalecimiento Organizacional y Simplificación de Procesos")</f>
        <v>Fortalecimiento Organizacional y Simplificación de Procesos</v>
      </c>
      <c r="AF123" s="47" t="str">
        <f>IFERROR(__xludf.DUMMYFUNCTION("""COMPUTED_VALUE"""),"12. Producción y consumo responsable")</f>
        <v>12. Producción y consumo responsable</v>
      </c>
      <c r="AG123" s="58">
        <f>IFERROR(__xludf.DUMMYFUNCTION("""COMPUTED_VALUE"""),174.0)</f>
        <v>174</v>
      </c>
      <c r="AH123" s="59" t="str">
        <f>IFERROR(__xludf.DUMMYFUNCTION("""COMPUTED_VALUE"""),"Meta superada en un 74% - Cabe resaltar que los trámites dependen en gran parte de las solicitudes realizadas por los usuarios de la actividad pesquera y acuicola ")</f>
        <v>Meta superada en un 74% - Cabe resaltar que los trámites dependen en gran parte de las solicitudes realizadas por los usuarios de la actividad pesquera y acuicola </v>
      </c>
      <c r="AI123" s="77" t="str">
        <f>IFERROR(__xludf.DUMMYFUNCTION("""COMPUTED_VALUE"""),"https://drive.google.com/drive/folders/15izoFYpAbXdMqDjs4sFQBhL-JvWaaRZD?usp=sharing")</f>
        <v>https://drive.google.com/drive/folders/15izoFYpAbXdMqDjs4sFQBhL-JvWaaRZD?usp=sharing</v>
      </c>
      <c r="AJ123" s="59">
        <f>IFERROR(__xludf.DUMMYFUNCTION("""COMPUTED_VALUE"""),638.0)</f>
        <v>638</v>
      </c>
      <c r="AK123" s="59" t="str">
        <f>IFERROR(__xludf.DUMMYFUNCTION("""COMPUTED_VALUE"""),"La Dirección regional Cali  atendió el 100% de los tramites solicitados  ")</f>
        <v>La Dirección regional Cali  atendió el 100% de los tramites solicitados  </v>
      </c>
      <c r="AL123" s="59">
        <f>IFERROR(__xludf.DUMMYFUNCTION("""COMPUTED_VALUE"""),44582.0)</f>
        <v>44582</v>
      </c>
      <c r="AM123" s="60"/>
      <c r="AN123" s="61" t="str">
        <f>IFERROR(IF((AO123+1)&lt;2,Alertas!$B$2&amp;TEXT(AO123,"0%")&amp;Alertas!$D$2, IF((AO123+1)=2,Alertas!$B$3,IF((AO123+1)&gt;2,Alertas!$B$4&amp;TEXT(AO123,"0%")&amp;Alertas!$D$4,AO123+1))),"Sin meta para el segundo trimestre")</f>
        <v>La ejecución de la meta registrada se encuentra por encima de la meta programada en la formulación del plan de acción para el segundo trimestre, su porcentaje de cumplimiento es 205%,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23" s="62">
        <f t="shared" si="2"/>
        <v>2.047058824</v>
      </c>
      <c r="AP123" s="61" t="str">
        <f t="shared" si="3"/>
        <v>La ejecución de la meta registrada se encuentra por encima de la meta programada en la formulación del plan de acción para el segundo trimestre, su porcentaje de cumplimiento es 205%,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23" s="63"/>
      <c r="AR123" s="64"/>
      <c r="AS123" s="65"/>
      <c r="AT123" s="65"/>
      <c r="AU123" s="66"/>
      <c r="AV123" s="67"/>
      <c r="AW123" s="68"/>
      <c r="AX123" s="63"/>
      <c r="AY123" s="64"/>
      <c r="AZ123" s="69"/>
      <c r="BA123" s="65"/>
      <c r="BB123" s="70"/>
      <c r="BC123" s="71"/>
      <c r="BD123" s="72"/>
      <c r="BE123" s="73"/>
      <c r="BF123" s="64"/>
      <c r="BG123" s="69"/>
      <c r="BH123" s="65"/>
      <c r="BI123" s="66"/>
      <c r="BJ123" s="71"/>
      <c r="BK123" s="72"/>
      <c r="BL123" s="74"/>
      <c r="BN123" s="5" t="str">
        <f t="shared" si="23"/>
        <v>1</v>
      </c>
      <c r="BP123" s="5"/>
    </row>
    <row r="124" ht="37.5" customHeight="1">
      <c r="A124" s="45"/>
      <c r="B124" s="46">
        <f>IFERROR(__xludf.DUMMYFUNCTION("""COMPUTED_VALUE"""),122.0)</f>
        <v>122</v>
      </c>
      <c r="C124" s="47" t="str">
        <f>IFERROR(__xludf.DUMMYFUNCTION("""COMPUTED_VALUE"""),"Gestión de la administración y fomento")</f>
        <v>Gestión de la administración y fomento</v>
      </c>
      <c r="D124" s="48" t="str">
        <f>IFERROR(__xludf.DUMMYFUNCTION("""COMPUTED_VALUE"""),"Regional Cali")</f>
        <v>Regional Cali</v>
      </c>
      <c r="E124" s="48" t="str">
        <f>IFERROR(__xludf.DUMMYFUNCTION("""COMPUTED_VALUE"""),"Fortalecimiento de la sostenibilidad del sector pesquero y de la acuicultura en el territorio nacional")</f>
        <v>Fortalecimiento de la sostenibilidad del sector pesquero y de la acuicultura en el territorio nacional</v>
      </c>
      <c r="F124" s="49">
        <f>IFERROR(__xludf.DUMMYFUNCTION("""COMPUTED_VALUE"""),2.01901100028E12)</f>
        <v>2019011000280</v>
      </c>
      <c r="G124" s="50" t="str">
        <f>IFERROR(__xludf.DUMMYFUNCTION("""COMPUTED_VALUE"""),"Sostenibilidad")</f>
        <v>Sostenibilidad</v>
      </c>
      <c r="H124" s="48" t="str">
        <f>IFERROR(__xludf.DUMMYFUNCTION("""COMPUTED_VALUE"""),"Mejorar la explotación de los recursos pesqueros y de la acuicultura.")</f>
        <v>Mejorar la explotación de los recursos pesqueros y de la acuicultura.</v>
      </c>
      <c r="I124" s="48" t="str">
        <f>IFERROR(__xludf.DUMMYFUNCTION("""COMPUTED_VALUE"""),"3-Servicios de apoyo a las estaciones de acuicultura")</f>
        <v>3-Servicios de apoyo a las estaciones de acuicultura</v>
      </c>
      <c r="J124" s="48" t="str">
        <f>IFERROR(__xludf.DUMMYFUNCTION("""COMPUTED_VALUE"""),"Desarrollar acciones de extensión rural a través de las estaciones de acuicultura")</f>
        <v>Desarrollar acciones de extensión rural a través de las estaciones de acuicultura</v>
      </c>
      <c r="K124" s="51" t="str">
        <f>IFERROR(__xludf.DUMMYFUNCTION("""COMPUTED_VALUE"""),"Producto")</f>
        <v>Producto</v>
      </c>
      <c r="L124" s="51" t="str">
        <f>IFERROR(__xludf.DUMMYFUNCTION("""COMPUTED_VALUE"""),"Eficacia")</f>
        <v>Eficacia</v>
      </c>
      <c r="M124" s="51" t="str">
        <f>IFERROR(__xludf.DUMMYFUNCTION("""COMPUTED_VALUE"""),"Número")</f>
        <v>Número</v>
      </c>
      <c r="N124" s="52" t="str">
        <f>IFERROR(__xludf.DUMMYFUNCTION("""COMPUTED_VALUE"""),"Eventos realizados")</f>
        <v>Eventos realizados</v>
      </c>
      <c r="O124" s="53">
        <f>IFERROR(__xludf.DUMMYFUNCTION("""COMPUTED_VALUE"""),-7140.0)</f>
        <v>-7140</v>
      </c>
      <c r="P124" s="54">
        <f>IFERROR(__xludf.DUMMYFUNCTION("""COMPUTED_VALUE"""),3.0)</f>
        <v>3</v>
      </c>
      <c r="Q124" s="55" t="str">
        <f>IFERROR(__xludf.DUMMYFUNCTION("""COMPUTED_VALUE"""),"Desarrollar campañas informativas y Divulgadas de acciones de acuicultura a través de las estaciones")</f>
        <v>Desarrollar campañas informativas y Divulgadas de acciones de acuicultura a través de las estaciones</v>
      </c>
      <c r="R124" s="14" t="str">
        <f>IFERROR(__xludf.DUMMYFUNCTION("""COMPUTED_VALUE"""),"Trimestral")</f>
        <v>Trimestral</v>
      </c>
      <c r="S124" s="54">
        <f>IFERROR(__xludf.DUMMYFUNCTION("""COMPUTED_VALUE"""),0.0)</f>
        <v>0</v>
      </c>
      <c r="T124" s="54">
        <f>IFERROR(__xludf.DUMMYFUNCTION("""COMPUTED_VALUE"""),1.0)</f>
        <v>1</v>
      </c>
      <c r="U124" s="54">
        <f>IFERROR(__xludf.DUMMYFUNCTION("""COMPUTED_VALUE"""),1.0)</f>
        <v>1</v>
      </c>
      <c r="V124" s="54">
        <f>IFERROR(__xludf.DUMMYFUNCTION("""COMPUTED_VALUE"""),1.0)</f>
        <v>1</v>
      </c>
      <c r="W124" s="56" t="str">
        <f>IFERROR(__xludf.DUMMYFUNCTION("""COMPUTED_VALUE"""),"Regional Cali")</f>
        <v>Regional Cali</v>
      </c>
      <c r="X124" s="57" t="str">
        <f>IFERROR(__xludf.DUMMYFUNCTION("""COMPUTED_VALUE"""),"Sandra Amgulo")</f>
        <v>Sandra Amgulo</v>
      </c>
      <c r="Y124" s="47" t="str">
        <f>IFERROR(__xludf.DUMMYFUNCTION("""COMPUTED_VALUE"""),"Director Regional")</f>
        <v>Director Regional</v>
      </c>
      <c r="Z124" s="57" t="str">
        <f>IFERROR(__xludf.DUMMYFUNCTION("""COMPUTED_VALUE"""),"sandra.angulo@aunap.gov.co")</f>
        <v>sandra.angulo@aunap.gov.co</v>
      </c>
      <c r="AA124" s="47" t="str">
        <f>IFERROR(__xludf.DUMMYFUNCTION("""COMPUTED_VALUE"""),"Humanos, fisicos, financieros y tecnologicos")</f>
        <v>Humanos, fisicos, financieros y tecnologicos</v>
      </c>
      <c r="AB124" s="47" t="str">
        <f>IFERROR(__xludf.DUMMYFUNCTION("""COMPUTED_VALUE"""),"No asociado")</f>
        <v>No asociado</v>
      </c>
      <c r="AC124" s="47" t="str">
        <f>IFERROR(__xludf.DUMMYFUNCTION("""COMPUTED_VALUE"""),"Llegar con actividades de pesca y acuicultura a todas las regiones")</f>
        <v>Llegar con actividades de pesca y acuicultura a todas las regiones</v>
      </c>
      <c r="AD124" s="47" t="str">
        <f>IFERROR(__xludf.DUMMYFUNCTION("""COMPUTED_VALUE"""),"Gestión con valores para resultados")</f>
        <v>Gestión con valores para resultados</v>
      </c>
      <c r="AE124" s="47" t="str">
        <f>IFERROR(__xludf.DUMMYFUNCTION("""COMPUTED_VALUE"""),"Fortalecimiento Organizacional y Simplificación de Procesos")</f>
        <v>Fortalecimiento Organizacional y Simplificación de Procesos</v>
      </c>
      <c r="AF124" s="47" t="str">
        <f>IFERROR(__xludf.DUMMYFUNCTION("""COMPUTED_VALUE"""),"12. Producción y consumo responsable")</f>
        <v>12. Producción y consumo responsable</v>
      </c>
      <c r="AG124" s="58">
        <f>IFERROR(__xludf.DUMMYFUNCTION("""COMPUTED_VALUE"""),1.0)</f>
        <v>1</v>
      </c>
      <c r="AH124" s="59" t="str">
        <f>IFERROR(__xludf.DUMMYFUNCTION("""COMPUTED_VALUE"""),"Meta cumplida un 100% ")</f>
        <v>Meta cumplida un 100% </v>
      </c>
      <c r="AI124" s="77" t="str">
        <f>IFERROR(__xludf.DUMMYFUNCTION("""COMPUTED_VALUE"""),"https://drive.google.com/file/d/1zCNAnva4rAxnWVbWTS0AluiZXKFtp1-W/view?usp=sharing")</f>
        <v>https://drive.google.com/file/d/1zCNAnva4rAxnWVbWTS0AluiZXKFtp1-W/view?usp=sharing</v>
      </c>
      <c r="AJ124" s="59">
        <f>IFERROR(__xludf.DUMMYFUNCTION("""COMPUTED_VALUE"""),3.0)</f>
        <v>3</v>
      </c>
      <c r="AK124" s="59" t="str">
        <f>IFERROR(__xludf.DUMMYFUNCTION("""COMPUTED_VALUE"""),"Se dío cumplimiento al 100% de la meta estableciado para la vigencia 2021")</f>
        <v>Se dío cumplimiento al 100% de la meta estableciado para la vigencia 2021</v>
      </c>
      <c r="AL124" s="59">
        <f>IFERROR(__xludf.DUMMYFUNCTION("""COMPUTED_VALUE"""),44582.0)</f>
        <v>44582</v>
      </c>
      <c r="AM124" s="60"/>
      <c r="AN124" s="61" t="str">
        <f>IFERROR(IF((AO124+1)&lt;2,Alertas!$B$2&amp;TEXT(AO124,"0%")&amp;Alertas!$D$2, IF((AO124+1)=2,Alertas!$B$3,IF((AO124+1)&gt;2,Alertas!$B$4&amp;TEXT(AO124,"0%")&amp;Alertas!$D$4,AO124+1))),"Sin meta para el segundo trimestre")</f>
        <v>La ejecución de la meta registrada se encuentra acorde a la meta programada en la formulación del plan de acción para el segundo trimestre</v>
      </c>
      <c r="AO124" s="62">
        <f t="shared" si="2"/>
        <v>1</v>
      </c>
      <c r="AP124" s="61" t="str">
        <f t="shared" si="3"/>
        <v>La ejecución de la meta registrada se encuentra acorde a la meta programada en la formulación del plan de acción para el segundo trimestre.</v>
      </c>
      <c r="AQ124" s="63"/>
      <c r="AR124" s="64"/>
      <c r="AS124" s="65"/>
      <c r="AT124" s="65"/>
      <c r="AU124" s="66"/>
      <c r="AV124" s="67"/>
      <c r="AW124" s="68"/>
      <c r="AX124" s="63"/>
      <c r="AY124" s="64"/>
      <c r="AZ124" s="69"/>
      <c r="BA124" s="65"/>
      <c r="BB124" s="70"/>
      <c r="BC124" s="71"/>
      <c r="BD124" s="72"/>
      <c r="BE124" s="73"/>
      <c r="BF124" s="64"/>
      <c r="BG124" s="69"/>
      <c r="BH124" s="65"/>
      <c r="BI124" s="66"/>
      <c r="BJ124" s="71"/>
      <c r="BK124" s="72"/>
      <c r="BL124" s="74"/>
      <c r="BN124" s="5" t="str">
        <f t="shared" si="23"/>
        <v>0</v>
      </c>
      <c r="BP124" s="5"/>
    </row>
    <row r="125" ht="37.5" customHeight="1">
      <c r="A125" s="45"/>
      <c r="B125" s="46">
        <f>IFERROR(__xludf.DUMMYFUNCTION("""COMPUTED_VALUE"""),123.0)</f>
        <v>123</v>
      </c>
      <c r="C125" s="47" t="str">
        <f>IFERROR(__xludf.DUMMYFUNCTION("""COMPUTED_VALUE"""),"Gestión de la administración y fomento")</f>
        <v>Gestión de la administración y fomento</v>
      </c>
      <c r="D125" s="48" t="str">
        <f>IFERROR(__xludf.DUMMYFUNCTION("""COMPUTED_VALUE"""),"Regional Cali")</f>
        <v>Regional Cali</v>
      </c>
      <c r="E125" s="48" t="str">
        <f>IFERROR(__xludf.DUMMYFUNCTION("""COMPUTED_VALUE"""),"Fortalecimiento de la sostenibilidad del sector pesquero y de la acuicultura en el territorio nacional")</f>
        <v>Fortalecimiento de la sostenibilidad del sector pesquero y de la acuicultura en el territorio nacional</v>
      </c>
      <c r="F125" s="49">
        <f>IFERROR(__xludf.DUMMYFUNCTION("""COMPUTED_VALUE"""),2.01901100028E12)</f>
        <v>2019011000280</v>
      </c>
      <c r="G125" s="50" t="str">
        <f>IFERROR(__xludf.DUMMYFUNCTION("""COMPUTED_VALUE"""),"Sostenibilidad")</f>
        <v>Sostenibilidad</v>
      </c>
      <c r="H125" s="48" t="str">
        <f>IFERROR(__xludf.DUMMYFUNCTION("""COMPUTED_VALUE"""),"Mejorar la explotación de los recursos pesqueros y de la acuicultura.")</f>
        <v>Mejorar la explotación de los recursos pesqueros y de la acuicultura.</v>
      </c>
      <c r="I125" s="48" t="str">
        <f>IFERROR(__xludf.DUMMYFUNCTION("""COMPUTED_VALUE"""),"Servicios de administración de los recurso pesqueros y de la acuicultura")</f>
        <v>Servicios de administración de los recurso pesqueros y de la acuicultura</v>
      </c>
      <c r="J125" s="48" t="str">
        <f>IFERROR(__xludf.DUMMYFUNCTION("""COMPUTED_VALUE"""),"Realizar acciones de divulgación y formalización de la actividad pesquera y de la acuicultura.")</f>
        <v>Realizar acciones de divulgación y formalización de la actividad pesquera y de la acuicultura.</v>
      </c>
      <c r="K125" s="51" t="str">
        <f>IFERROR(__xludf.DUMMYFUNCTION("""COMPUTED_VALUE"""),"Producto")</f>
        <v>Producto</v>
      </c>
      <c r="L125" s="51" t="str">
        <f>IFERROR(__xludf.DUMMYFUNCTION("""COMPUTED_VALUE"""),"Eficacia")</f>
        <v>Eficacia</v>
      </c>
      <c r="M125" s="51" t="str">
        <f>IFERROR(__xludf.DUMMYFUNCTION("""COMPUTED_VALUE"""),"Número")</f>
        <v>Número</v>
      </c>
      <c r="N125" s="52" t="str">
        <f>IFERROR(__xludf.DUMMYFUNCTION("""COMPUTED_VALUE"""),"Numero de capacitaciones realizadasNumero de capacitaciones programadas")</f>
        <v>Numero de capacitaciones realizadasNumero de capacitaciones programadas</v>
      </c>
      <c r="O125" s="53">
        <f>IFERROR(__xludf.DUMMYFUNCTION("""COMPUTED_VALUE"""),-7140.0)</f>
        <v>-7140</v>
      </c>
      <c r="P125" s="54">
        <f>IFERROR(__xludf.DUMMYFUNCTION("""COMPUTED_VALUE"""),35.0)</f>
        <v>35</v>
      </c>
      <c r="Q125" s="55" t="str">
        <f>IFERROR(__xludf.DUMMYFUNCTION("""COMPUTED_VALUE"""),"Capacitación a los grupos de interés en asociatividad y normatividad para el ejercicio de la acuicultura, pesca y actividades conexas")</f>
        <v>Capacitación a los grupos de interés en asociatividad y normatividad para el ejercicio de la acuicultura, pesca y actividades conexas</v>
      </c>
      <c r="R125" s="14" t="str">
        <f>IFERROR(__xludf.DUMMYFUNCTION("""COMPUTED_VALUE"""),"Trimestral")</f>
        <v>Trimestral</v>
      </c>
      <c r="S125" s="54">
        <f>IFERROR(__xludf.DUMMYFUNCTION("""COMPUTED_VALUE"""),0.0)</f>
        <v>0</v>
      </c>
      <c r="T125" s="54">
        <f>IFERROR(__xludf.DUMMYFUNCTION("""COMPUTED_VALUE"""),10.0)</f>
        <v>10</v>
      </c>
      <c r="U125" s="54">
        <f>IFERROR(__xludf.DUMMYFUNCTION("""COMPUTED_VALUE"""),15.0)</f>
        <v>15</v>
      </c>
      <c r="V125" s="54">
        <f>IFERROR(__xludf.DUMMYFUNCTION("""COMPUTED_VALUE"""),10.0)</f>
        <v>10</v>
      </c>
      <c r="W125" s="56" t="str">
        <f>IFERROR(__xludf.DUMMYFUNCTION("""COMPUTED_VALUE"""),"Regional Cali")</f>
        <v>Regional Cali</v>
      </c>
      <c r="X125" s="57" t="str">
        <f>IFERROR(__xludf.DUMMYFUNCTION("""COMPUTED_VALUE"""),"Sandra Amgulo")</f>
        <v>Sandra Amgulo</v>
      </c>
      <c r="Y125" s="47" t="str">
        <f>IFERROR(__xludf.DUMMYFUNCTION("""COMPUTED_VALUE"""),"Director Regional")</f>
        <v>Director Regional</v>
      </c>
      <c r="Z125" s="57" t="str">
        <f>IFERROR(__xludf.DUMMYFUNCTION("""COMPUTED_VALUE"""),"sandra.angulo@aunap.gov.co")</f>
        <v>sandra.angulo@aunap.gov.co</v>
      </c>
      <c r="AA125" s="47" t="str">
        <f>IFERROR(__xludf.DUMMYFUNCTION("""COMPUTED_VALUE"""),"Humanos, fisicos, financieros y tecnologicos")</f>
        <v>Humanos, fisicos, financieros y tecnologicos</v>
      </c>
      <c r="AB125" s="47" t="str">
        <f>IFERROR(__xludf.DUMMYFUNCTION("""COMPUTED_VALUE"""),"No asociado")</f>
        <v>No asociado</v>
      </c>
      <c r="AC125" s="47" t="str">
        <f>IFERROR(__xludf.DUMMYFUNCTION("""COMPUTED_VALUE"""),"Llegar con actividades de pesca y acuicultura a todas las regiones")</f>
        <v>Llegar con actividades de pesca y acuicultura a todas las regiones</v>
      </c>
      <c r="AD125" s="47" t="str">
        <f>IFERROR(__xludf.DUMMYFUNCTION("""COMPUTED_VALUE"""),"Gestión con valores para resultados")</f>
        <v>Gestión con valores para resultados</v>
      </c>
      <c r="AE125" s="47" t="str">
        <f>IFERROR(__xludf.DUMMYFUNCTION("""COMPUTED_VALUE"""),"Fortalecimiento Organizacional y Simplificación de Procesos")</f>
        <v>Fortalecimiento Organizacional y Simplificación de Procesos</v>
      </c>
      <c r="AF125" s="47" t="str">
        <f>IFERROR(__xludf.DUMMYFUNCTION("""COMPUTED_VALUE"""),"12. Producción y consumo responsable")</f>
        <v>12. Producción y consumo responsable</v>
      </c>
      <c r="AG125" s="58">
        <f>IFERROR(__xludf.DUMMYFUNCTION("""COMPUTED_VALUE"""),13.0)</f>
        <v>13</v>
      </c>
      <c r="AH125" s="59" t="str">
        <f>IFERROR(__xludf.DUMMYFUNCTION("""COMPUTED_VALUE"""),"Esta meta fue superada, por encima de la meta establecida, estas actividades en un gran porcentahje corresoponden a solicitudes de personas, entidades, colegios, consejos comunitarios, interesados en ejercer actividad de pesca y acuicultura ")</f>
        <v>Esta meta fue superada, por encima de la meta establecida, estas actividades en un gran porcentahje corresoponden a solicitudes de personas, entidades, colegios, consejos comunitarios, interesados en ejercer actividad de pesca y acuicultura </v>
      </c>
      <c r="AI125" s="77" t="str">
        <f>IFERROR(__xludf.DUMMYFUNCTION("""COMPUTED_VALUE"""),"https://drive.google.com/file/d/1_SqqcA0Y5-t9XTAeyEkZqc93r6bGcscS/view?usp=sharing")</f>
        <v>https://drive.google.com/file/d/1_SqqcA0Y5-t9XTAeyEkZqc93r6bGcscS/view?usp=sharing</v>
      </c>
      <c r="AJ125" s="59">
        <f>IFERROR(__xludf.DUMMYFUNCTION("""COMPUTED_VALUE"""),45.0)</f>
        <v>45</v>
      </c>
      <c r="AK125" s="59" t="str">
        <f>IFERROR(__xludf.DUMMYFUNCTION("""COMPUTED_VALUE"""),"Esta acividad además de ser programada obedece a las solicitudes de los interesados")</f>
        <v>Esta acividad además de ser programada obedece a las solicitudes de los interesados</v>
      </c>
      <c r="AL125" s="59">
        <f>IFERROR(__xludf.DUMMYFUNCTION("""COMPUTED_VALUE"""),44582.0)</f>
        <v>44582</v>
      </c>
      <c r="AM125" s="60"/>
      <c r="AN125" s="61" t="str">
        <f>IFERROR(IF((AO125+1)&lt;2,Alertas!$B$2&amp;TEXT(AO125,"0%")&amp;Alertas!$D$2, IF((AO125+1)=2,Alertas!$B$3,IF((AO125+1)&gt;2,Alertas!$B$4&amp;TEXT(AO125,"0%")&amp;Alertas!$D$4,AO125+1))),"Sin meta para el segundo trimestre")</f>
        <v>La ejecución de la meta registrada se encuentra por encima de la meta programada en la formulación del plan de acción para el segundo trimestre, su porcentaje de cumplimiento es 130%,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25" s="62">
        <f t="shared" si="2"/>
        <v>1.3</v>
      </c>
      <c r="AP125" s="61" t="str">
        <f t="shared" si="3"/>
        <v>La ejecución de la meta registrada se encuentra por encima de la meta programada en la formulación del plan de acción para el segundo trimestre, su porcentaje de cumplimiento es 130%,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25" s="63"/>
      <c r="AR125" s="64"/>
      <c r="AS125" s="65"/>
      <c r="AT125" s="65"/>
      <c r="AU125" s="66"/>
      <c r="AV125" s="67"/>
      <c r="AW125" s="68"/>
      <c r="AX125" s="63"/>
      <c r="AY125" s="64"/>
      <c r="AZ125" s="69"/>
      <c r="BA125" s="65"/>
      <c r="BB125" s="70"/>
      <c r="BC125" s="71"/>
      <c r="BD125" s="72"/>
      <c r="BE125" s="73"/>
      <c r="BF125" s="64"/>
      <c r="BG125" s="69"/>
      <c r="BH125" s="65"/>
      <c r="BI125" s="66"/>
      <c r="BJ125" s="71"/>
      <c r="BK125" s="72"/>
      <c r="BL125" s="74"/>
      <c r="BN125" s="5" t="str">
        <f t="shared" si="23"/>
        <v>1</v>
      </c>
      <c r="BP125" s="5"/>
    </row>
    <row r="126" ht="37.5" customHeight="1">
      <c r="A126" s="45"/>
      <c r="B126" s="46">
        <f>IFERROR(__xludf.DUMMYFUNCTION("""COMPUTED_VALUE"""),124.0)</f>
        <v>124</v>
      </c>
      <c r="C126" s="47" t="str">
        <f>IFERROR(__xludf.DUMMYFUNCTION("""COMPUTED_VALUE"""),"Gestión de la administración y fomento")</f>
        <v>Gestión de la administración y fomento</v>
      </c>
      <c r="D126" s="48" t="str">
        <f>IFERROR(__xludf.DUMMYFUNCTION("""COMPUTED_VALUE"""),"Regional Cali")</f>
        <v>Regional Cali</v>
      </c>
      <c r="E126" s="48" t="str">
        <f>IFERROR(__xludf.DUMMYFUNCTION("""COMPUTED_VALUE"""),"Fortalecimiento de la sostenibilidad del sector pesquero y de la acuicultura en el territorio nacional")</f>
        <v>Fortalecimiento de la sostenibilidad del sector pesquero y de la acuicultura en el territorio nacional</v>
      </c>
      <c r="F126" s="49">
        <f>IFERROR(__xludf.DUMMYFUNCTION("""COMPUTED_VALUE"""),2.01901100028E12)</f>
        <v>2019011000280</v>
      </c>
      <c r="G126" s="50" t="str">
        <f>IFERROR(__xludf.DUMMYFUNCTION("""COMPUTED_VALUE"""),"Sostenibilidad")</f>
        <v>Sostenibilidad</v>
      </c>
      <c r="H126" s="48" t="str">
        <f>IFERROR(__xludf.DUMMYFUNCTION("""COMPUTED_VALUE"""),"Mejorar la explotación de los recursos pesqueros y de la acuicultura.")</f>
        <v>Mejorar la explotación de los recursos pesqueros y de la acuicultura.</v>
      </c>
      <c r="I126" s="48" t="str">
        <f>IFERROR(__xludf.DUMMYFUNCTION("""COMPUTED_VALUE"""),"Servicios de administración de los recurso pesqueros y de la acuicultura")</f>
        <v>Servicios de administración de los recurso pesqueros y de la acuicultura</v>
      </c>
      <c r="J126" s="48" t="str">
        <f>IFERROR(__xludf.DUMMYFUNCTION("""COMPUTED_VALUE"""),"Realizar acciones de divulgación y formalización de la actividad pesquera y de la acuicultura.")</f>
        <v>Realizar acciones de divulgación y formalización de la actividad pesquera y de la acuicultura.</v>
      </c>
      <c r="K126" s="51" t="str">
        <f>IFERROR(__xludf.DUMMYFUNCTION("""COMPUTED_VALUE"""),"Gestión del área")</f>
        <v>Gestión del área</v>
      </c>
      <c r="L126" s="51" t="str">
        <f>IFERROR(__xludf.DUMMYFUNCTION("""COMPUTED_VALUE"""),"Eficacia")</f>
        <v>Eficacia</v>
      </c>
      <c r="M126" s="51" t="str">
        <f>IFERROR(__xludf.DUMMYFUNCTION("""COMPUTED_VALUE"""),"Número")</f>
        <v>Número</v>
      </c>
      <c r="N126" s="52" t="str">
        <f>IFERROR(__xludf.DUMMYFUNCTION("""COMPUTED_VALUE"""),"Número de asociaciones capacitadas/Número de asociaciones programadas")</f>
        <v>Número de asociaciones capacitadas/Número de asociaciones programadas</v>
      </c>
      <c r="O126" s="53"/>
      <c r="P126" s="54">
        <f>IFERROR(__xludf.DUMMYFUNCTION("""COMPUTED_VALUE"""),30.0)</f>
        <v>30</v>
      </c>
      <c r="Q126" s="55" t="str">
        <f>IFERROR(__xludf.DUMMYFUNCTION("""COMPUTED_VALUE"""),"Asociaciones capacitadas en temas de pesca y acuicultura")</f>
        <v>Asociaciones capacitadas en temas de pesca y acuicultura</v>
      </c>
      <c r="R126" s="14" t="str">
        <f>IFERROR(__xludf.DUMMYFUNCTION("""COMPUTED_VALUE"""),"Trimestral")</f>
        <v>Trimestral</v>
      </c>
      <c r="S126" s="54">
        <f>IFERROR(__xludf.DUMMYFUNCTION("""COMPUTED_VALUE"""),0.0)</f>
        <v>0</v>
      </c>
      <c r="T126" s="54">
        <f>IFERROR(__xludf.DUMMYFUNCTION("""COMPUTED_VALUE"""),10.0)</f>
        <v>10</v>
      </c>
      <c r="U126" s="54">
        <f>IFERROR(__xludf.DUMMYFUNCTION("""COMPUTED_VALUE"""),10.0)</f>
        <v>10</v>
      </c>
      <c r="V126" s="54">
        <f>IFERROR(__xludf.DUMMYFUNCTION("""COMPUTED_VALUE"""),10.0)</f>
        <v>10</v>
      </c>
      <c r="W126" s="56" t="str">
        <f>IFERROR(__xludf.DUMMYFUNCTION("""COMPUTED_VALUE"""),"Regional Cali")</f>
        <v>Regional Cali</v>
      </c>
      <c r="X126" s="57" t="str">
        <f>IFERROR(__xludf.DUMMYFUNCTION("""COMPUTED_VALUE"""),"Sandra Amgulo")</f>
        <v>Sandra Amgulo</v>
      </c>
      <c r="Y126" s="47" t="str">
        <f>IFERROR(__xludf.DUMMYFUNCTION("""COMPUTED_VALUE"""),"Director Regional")</f>
        <v>Director Regional</v>
      </c>
      <c r="Z126" s="57" t="str">
        <f>IFERROR(__xludf.DUMMYFUNCTION("""COMPUTED_VALUE"""),"sandra.angulo@aunap.gov.co")</f>
        <v>sandra.angulo@aunap.gov.co</v>
      </c>
      <c r="AA126" s="47" t="str">
        <f>IFERROR(__xludf.DUMMYFUNCTION("""COMPUTED_VALUE"""),"Humanos, fisicos, financieros y tecnologicos")</f>
        <v>Humanos, fisicos, financieros y tecnologicos</v>
      </c>
      <c r="AB126" s="47" t="str">
        <f>IFERROR(__xludf.DUMMYFUNCTION("""COMPUTED_VALUE"""),"No asociado")</f>
        <v>No asociado</v>
      </c>
      <c r="AC126" s="47" t="str">
        <f>IFERROR(__xludf.DUMMYFUNCTION("""COMPUTED_VALUE"""),"Llegar con actividades de pesca y acuicultura a todas las regiones")</f>
        <v>Llegar con actividades de pesca y acuicultura a todas las regiones</v>
      </c>
      <c r="AD126" s="47" t="str">
        <f>IFERROR(__xludf.DUMMYFUNCTION("""COMPUTED_VALUE"""),"Gestión con valores para resultados")</f>
        <v>Gestión con valores para resultados</v>
      </c>
      <c r="AE126" s="47" t="str">
        <f>IFERROR(__xludf.DUMMYFUNCTION("""COMPUTED_VALUE"""),"Fortalecimiento Organizacional y Simplificación de Procesos")</f>
        <v>Fortalecimiento Organizacional y Simplificación de Procesos</v>
      </c>
      <c r="AF126" s="47" t="str">
        <f>IFERROR(__xludf.DUMMYFUNCTION("""COMPUTED_VALUE"""),"12. Producción y consumo responsable")</f>
        <v>12. Producción y consumo responsable</v>
      </c>
      <c r="AG126" s="58">
        <f>IFERROR(__xludf.DUMMYFUNCTION("""COMPUTED_VALUE"""),10.0)</f>
        <v>10</v>
      </c>
      <c r="AH126" s="59" t="str">
        <f>IFERROR(__xludf.DUMMYFUNCTION("""COMPUTED_VALUE"""),"Meta cumplida un 100% ")</f>
        <v>Meta cumplida un 100% </v>
      </c>
      <c r="AI126" s="77" t="str">
        <f>IFERROR(__xludf.DUMMYFUNCTION("""COMPUTED_VALUE"""),"https://drive.google.com/file/d/1N4CORN5Yo9grctHWjG7kUBIA-PwNPXSn/view?usp=sharing")</f>
        <v>https://drive.google.com/file/d/1N4CORN5Yo9grctHWjG7kUBIA-PwNPXSn/view?usp=sharing</v>
      </c>
      <c r="AJ126" s="59">
        <f>IFERROR(__xludf.DUMMYFUNCTION("""COMPUTED_VALUE"""),35.0)</f>
        <v>35</v>
      </c>
      <c r="AK126" s="59" t="str">
        <f>IFERROR(__xludf.DUMMYFUNCTION("""COMPUTED_VALUE"""),"Esta acividad  es complemento para las asociaciones beneficiarias de los proyectos de fomento")</f>
        <v>Esta acividad  es complemento para las asociaciones beneficiarias de los proyectos de fomento</v>
      </c>
      <c r="AL126" s="59">
        <f>IFERROR(__xludf.DUMMYFUNCTION("""COMPUTED_VALUE"""),44582.0)</f>
        <v>44582</v>
      </c>
      <c r="AM126" s="60"/>
      <c r="AN126" s="61" t="str">
        <f>IFERROR(IF((AO126+1)&lt;2,Alertas!$B$2&amp;TEXT(AO126,"0%")&amp;Alertas!$D$2, IF((AO126+1)=2,Alertas!$B$3,IF((AO126+1)&gt;2,Alertas!$B$4&amp;TEXT(AO126,"0%")&amp;Alertas!$D$4,AO126+1))),"Sin meta para el segundo trimestre")</f>
        <v>La ejecución de la meta registrada se encuentra acorde a la meta programada en la formulación del plan de acción para el segundo trimestre</v>
      </c>
      <c r="AO126" s="62">
        <f t="shared" si="2"/>
        <v>1</v>
      </c>
      <c r="AP126" s="61" t="str">
        <f t="shared" si="3"/>
        <v>La ejecución de la meta registrada se encuentra acorde a la meta programada en la formulación del plan de acción para el segundo trimestre.</v>
      </c>
      <c r="AQ126" s="63"/>
      <c r="AR126" s="64"/>
      <c r="AS126" s="65"/>
      <c r="AT126" s="65"/>
      <c r="AU126" s="66"/>
      <c r="AV126" s="67"/>
      <c r="AW126" s="68"/>
      <c r="AX126" s="63"/>
      <c r="AY126" s="64"/>
      <c r="AZ126" s="69"/>
      <c r="BA126" s="65"/>
      <c r="BB126" s="70"/>
      <c r="BC126" s="71"/>
      <c r="BD126" s="72"/>
      <c r="BE126" s="73"/>
      <c r="BF126" s="64"/>
      <c r="BG126" s="69"/>
      <c r="BH126" s="65"/>
      <c r="BI126" s="66"/>
      <c r="BJ126" s="71"/>
      <c r="BK126" s="72"/>
      <c r="BL126" s="74"/>
      <c r="BN126" s="5" t="str">
        <f t="shared" si="23"/>
        <v>0</v>
      </c>
      <c r="BP126" s="5"/>
    </row>
    <row r="127" ht="37.5" customHeight="1">
      <c r="A127" s="45"/>
      <c r="B127" s="46">
        <f>IFERROR(__xludf.DUMMYFUNCTION("""COMPUTED_VALUE"""),125.0)</f>
        <v>125</v>
      </c>
      <c r="C127" s="47" t="str">
        <f>IFERROR(__xludf.DUMMYFUNCTION("""COMPUTED_VALUE"""),"Gestión de la administración y fomento")</f>
        <v>Gestión de la administración y fomento</v>
      </c>
      <c r="D127" s="48" t="str">
        <f>IFERROR(__xludf.DUMMYFUNCTION("""COMPUTED_VALUE"""),"Regional Cali")</f>
        <v>Regional Cali</v>
      </c>
      <c r="E127" s="48" t="str">
        <f>IFERROR(__xludf.DUMMYFUNCTION("""COMPUTED_VALUE"""),"Fortalecimiento de la sostenibilidad del sector pesquero y de la acuicultura en el territorio nacional")</f>
        <v>Fortalecimiento de la sostenibilidad del sector pesquero y de la acuicultura en el territorio nacional</v>
      </c>
      <c r="F127" s="49">
        <f>IFERROR(__xludf.DUMMYFUNCTION("""COMPUTED_VALUE"""),2.01901100028E12)</f>
        <v>2019011000280</v>
      </c>
      <c r="G127" s="50" t="str">
        <f>IFERROR(__xludf.DUMMYFUNCTION("""COMPUTED_VALUE"""),"Sostenibilidad")</f>
        <v>Sostenibilidad</v>
      </c>
      <c r="H127" s="48" t="str">
        <f>IFERROR(__xludf.DUMMYFUNCTION("""COMPUTED_VALUE"""),"Mejorar la explotación de los recursos pesqueros y de la acuicultura.")</f>
        <v>Mejorar la explotación de los recursos pesqueros y de la acuicultura.</v>
      </c>
      <c r="I127" s="48" t="str">
        <f>IFERROR(__xludf.DUMMYFUNCTION("""COMPUTED_VALUE"""),"Servicios de administración de los recurso pesqueros y de la acuicultura")</f>
        <v>Servicios de administración de los recurso pesqueros y de la acuicultura</v>
      </c>
      <c r="J127" s="48" t="str">
        <f>IFERROR(__xludf.DUMMYFUNCTION("""COMPUTED_VALUE"""),"Servicios de administración de los recurso pesqueros y de la acuicultura")</f>
        <v>Servicios de administración de los recurso pesqueros y de la acuicultura</v>
      </c>
      <c r="K127" s="51" t="str">
        <f>IFERROR(__xludf.DUMMYFUNCTION("""COMPUTED_VALUE"""),"Gestión del área")</f>
        <v>Gestión del área</v>
      </c>
      <c r="L127" s="51" t="str">
        <f>IFERROR(__xludf.DUMMYFUNCTION("""COMPUTED_VALUE"""),"Eficacia")</f>
        <v>Eficacia</v>
      </c>
      <c r="M127" s="51" t="str">
        <f>IFERROR(__xludf.DUMMYFUNCTION("""COMPUTED_VALUE"""),"Número")</f>
        <v>Número</v>
      </c>
      <c r="N127" s="52" t="str">
        <f>IFERROR(__xludf.DUMMYFUNCTION("""COMPUTED_VALUE"""),"Número de pescadores artesanales formalizados/Número de pescadores artesanales programados para formalizar")</f>
        <v>Número de pescadores artesanales formalizados/Número de pescadores artesanales programados para formalizar</v>
      </c>
      <c r="O127" s="53"/>
      <c r="P127" s="54">
        <f>IFERROR(__xludf.DUMMYFUNCTION("""COMPUTED_VALUE"""),2000.0)</f>
        <v>2000</v>
      </c>
      <c r="Q127" s="55" t="str">
        <f>IFERROR(__xludf.DUMMYFUNCTION("""COMPUTED_VALUE"""),"Formalizar Pescadores artesanales")</f>
        <v>Formalizar Pescadores artesanales</v>
      </c>
      <c r="R127" s="14" t="str">
        <f>IFERROR(__xludf.DUMMYFUNCTION("""COMPUTED_VALUE"""),"Trimestral")</f>
        <v>Trimestral</v>
      </c>
      <c r="S127" s="54">
        <f>IFERROR(__xludf.DUMMYFUNCTION("""COMPUTED_VALUE"""),200.0)</f>
        <v>200</v>
      </c>
      <c r="T127" s="54">
        <f>IFERROR(__xludf.DUMMYFUNCTION("""COMPUTED_VALUE"""),300.0)</f>
        <v>300</v>
      </c>
      <c r="U127" s="54">
        <f>IFERROR(__xludf.DUMMYFUNCTION("""COMPUTED_VALUE"""),750.0)</f>
        <v>750</v>
      </c>
      <c r="V127" s="54">
        <f>IFERROR(__xludf.DUMMYFUNCTION("""COMPUTED_VALUE"""),750.0)</f>
        <v>750</v>
      </c>
      <c r="W127" s="56" t="str">
        <f>IFERROR(__xludf.DUMMYFUNCTION("""COMPUTED_VALUE"""),"Regional Cali")</f>
        <v>Regional Cali</v>
      </c>
      <c r="X127" s="57" t="str">
        <f>IFERROR(__xludf.DUMMYFUNCTION("""COMPUTED_VALUE"""),"Sandra Amgulo")</f>
        <v>Sandra Amgulo</v>
      </c>
      <c r="Y127" s="47" t="str">
        <f>IFERROR(__xludf.DUMMYFUNCTION("""COMPUTED_VALUE"""),"Director Regional")</f>
        <v>Director Regional</v>
      </c>
      <c r="Z127" s="57" t="str">
        <f>IFERROR(__xludf.DUMMYFUNCTION("""COMPUTED_VALUE"""),"sandra.angulo@aunap.gov.co")</f>
        <v>sandra.angulo@aunap.gov.co</v>
      </c>
      <c r="AA127" s="47" t="str">
        <f>IFERROR(__xludf.DUMMYFUNCTION("""COMPUTED_VALUE"""),"Humanos, fisicos, financieros y tecnologicos")</f>
        <v>Humanos, fisicos, financieros y tecnologicos</v>
      </c>
      <c r="AB127" s="47" t="str">
        <f>IFERROR(__xludf.DUMMYFUNCTION("""COMPUTED_VALUE"""),"No asociado")</f>
        <v>No asociado</v>
      </c>
      <c r="AC127" s="47" t="str">
        <f>IFERROR(__xludf.DUMMYFUNCTION("""COMPUTED_VALUE"""),"Propiciar la formalización de la pesca y la acuicultura")</f>
        <v>Propiciar la formalización de la pesca y la acuicultura</v>
      </c>
      <c r="AD127" s="47" t="str">
        <f>IFERROR(__xludf.DUMMYFUNCTION("""COMPUTED_VALUE"""),"Gestión con valores para resultados")</f>
        <v>Gestión con valores para resultados</v>
      </c>
      <c r="AE127" s="47" t="str">
        <f>IFERROR(__xludf.DUMMYFUNCTION("""COMPUTED_VALUE"""),"Racionalización de Trámites")</f>
        <v>Racionalización de Trámites</v>
      </c>
      <c r="AF127" s="47" t="str">
        <f>IFERROR(__xludf.DUMMYFUNCTION("""COMPUTED_VALUE"""),"12. Producción y consumo responsable")</f>
        <v>12. Producción y consumo responsable</v>
      </c>
      <c r="AG127" s="58">
        <f>IFERROR(__xludf.DUMMYFUNCTION("""COMPUTED_VALUE"""),2034.0)</f>
        <v>2034</v>
      </c>
      <c r="AH127" s="59" t="str">
        <f>IFERROR(__xludf.DUMMYFUNCTION("""COMPUTED_VALUE"""),"Meta superada mas del 100%, se realizó la expedición de 34 carnet por encima de la meta establecia ya que esta actividad depende de las dolicitudes de los pescadores artesanales")</f>
        <v>Meta superada mas del 100%, se realizó la expedición de 34 carnet por encima de la meta establecia ya que esta actividad depende de las dolicitudes de los pescadores artesanales</v>
      </c>
      <c r="AI127" s="77" t="str">
        <f>IFERROR(__xludf.DUMMYFUNCTION("""COMPUTED_VALUE"""),"https://drive.google.com/drive/folders/162IXpR_AL7k9_71PrL0OMhh4VUAMAd2E?usp=sharing")</f>
        <v>https://drive.google.com/drive/folders/162IXpR_AL7k9_71PrL0OMhh4VUAMAd2E?usp=sharing</v>
      </c>
      <c r="AJ127" s="59">
        <f>IFERROR(__xludf.DUMMYFUNCTION("""COMPUTED_VALUE"""),8034.0)</f>
        <v>8034</v>
      </c>
      <c r="AK127" s="59" t="str">
        <f>IFERROR(__xludf.DUMMYFUNCTION("""COMPUTED_VALUE"""),"La Meta Total fue superada ampliamente ya que se dio cumplimiento  al compromiso de la ecpdición de carnet, producto de la caracterización realizada por el PNUD ")</f>
        <v>La Meta Total fue superada ampliamente ya que se dio cumplimiento  al compromiso de la ecpdición de carnet, producto de la caracterización realizada por el PNUD </v>
      </c>
      <c r="AL127" s="59">
        <f>IFERROR(__xludf.DUMMYFUNCTION("""COMPUTED_VALUE"""),44582.0)</f>
        <v>44582</v>
      </c>
      <c r="AM127" s="60"/>
      <c r="AN127" s="61" t="str">
        <f>IFERROR(IF((AO127+1)&lt;2,Alertas!$B$2&amp;TEXT(AO127,"0%")&amp;Alertas!$D$2, IF((AO127+1)=2,Alertas!$B$3,IF((AO127+1)&gt;2,Alertas!$B$4&amp;TEXT(AO127,"0%")&amp;Alertas!$D$4,AO127+1))),"Sin meta para el segundo trimestre")</f>
        <v>La ejecución de la meta registrada se encuentra por encima de la meta programada en la formulación del plan de acción para el segundo trimestre, su porcentaje de cumplimiento es 678%,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27" s="62">
        <f t="shared" si="2"/>
        <v>6.78</v>
      </c>
      <c r="AP127" s="61" t="str">
        <f t="shared" si="3"/>
        <v>La ejecución de la meta registrada se encuentra por encima de la meta programada en la formulación del plan de acción para el segundo trimestre, su porcentaje de cumplimiento es 678%,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27" s="63"/>
      <c r="AR127" s="64"/>
      <c r="AS127" s="65"/>
      <c r="AT127" s="65"/>
      <c r="AU127" s="66"/>
      <c r="AV127" s="67"/>
      <c r="AW127" s="68"/>
      <c r="AX127" s="63"/>
      <c r="AY127" s="64"/>
      <c r="AZ127" s="69"/>
      <c r="BA127" s="65"/>
      <c r="BB127" s="70"/>
      <c r="BC127" s="71"/>
      <c r="BD127" s="72"/>
      <c r="BE127" s="73"/>
      <c r="BF127" s="64"/>
      <c r="BG127" s="69"/>
      <c r="BH127" s="65"/>
      <c r="BI127" s="66"/>
      <c r="BJ127" s="71"/>
      <c r="BK127" s="72"/>
      <c r="BL127" s="74"/>
      <c r="BN127" s="5" t="str">
        <f t="shared" si="23"/>
        <v>1</v>
      </c>
      <c r="BP127" s="5"/>
    </row>
    <row r="128" ht="37.5" customHeight="1">
      <c r="A128" s="45"/>
      <c r="B128" s="46">
        <f>IFERROR(__xludf.DUMMYFUNCTION("""COMPUTED_VALUE"""),126.0)</f>
        <v>126</v>
      </c>
      <c r="C128" s="47" t="str">
        <f>IFERROR(__xludf.DUMMYFUNCTION("""COMPUTED_VALUE"""),"Gestión de la inspección y vigilancia")</f>
        <v>Gestión de la inspección y vigilancia</v>
      </c>
      <c r="D128" s="48" t="str">
        <f>IFERROR(__xludf.DUMMYFUNCTION("""COMPUTED_VALUE"""),"Regional Cali")</f>
        <v>Regional Cali</v>
      </c>
      <c r="E128"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28" s="49">
        <f>IFERROR(__xludf.DUMMYFUNCTION("""COMPUTED_VALUE"""),2.019011000276E12)</f>
        <v>2019011000276</v>
      </c>
      <c r="G128" s="50" t="str">
        <f>IFERROR(__xludf.DUMMYFUNCTION("""COMPUTED_VALUE"""),"Inspección")</f>
        <v>Inspección</v>
      </c>
      <c r="H128" s="48" t="str">
        <f>IFERROR(__xludf.DUMMYFUNCTION("""COMPUTED_VALUE"""),"Aumentar el conocimiento de la normatividad pesquera y de la acuicultura por parte de la comunidad.")</f>
        <v>Aumentar el conocimiento de la normatividad pesquera y de la acuicultura por parte de la comunidad.</v>
      </c>
      <c r="I128" s="48" t="str">
        <f>IFERROR(__xludf.DUMMYFUNCTION("""COMPUTED_VALUE"""),"Servicio de divulgación y socialización")</f>
        <v>Servicio de divulgación y socialización</v>
      </c>
      <c r="J128" s="48" t="str">
        <f>IFERROR(__xludf.DUMMYFUNCTION("""COMPUTED_VALUE"""),"Servicio de divulgación y socialización")</f>
        <v>Servicio de divulgación y socialización</v>
      </c>
      <c r="K128" s="51" t="str">
        <f>IFERROR(__xludf.DUMMYFUNCTION("""COMPUTED_VALUE"""),"Gestión del área")</f>
        <v>Gestión del área</v>
      </c>
      <c r="L128" s="51" t="str">
        <f>IFERROR(__xludf.DUMMYFUNCTION("""COMPUTED_VALUE"""),"Eficacia")</f>
        <v>Eficacia</v>
      </c>
      <c r="M128" s="51" t="str">
        <f>IFERROR(__xludf.DUMMYFUNCTION("""COMPUTED_VALUE"""),"Número")</f>
        <v>Número</v>
      </c>
      <c r="N128" s="52" t="str">
        <f>IFERROR(__xludf.DUMMYFUNCTION("""COMPUTED_VALUE"""),"Número de eventos realizados/Número de eventos programados")</f>
        <v>Número de eventos realizados/Número de eventos programados</v>
      </c>
      <c r="O128" s="53"/>
      <c r="P128" s="54">
        <f>IFERROR(__xludf.DUMMYFUNCTION("""COMPUTED_VALUE"""),50.0)</f>
        <v>50</v>
      </c>
      <c r="Q128" s="55" t="str">
        <f>IFERROR(__xludf.DUMMYFUNCTION("""COMPUTED_VALUE"""),"Eventos de divulgación y socialización apoyados a nivel nacional en pro de disminuir las malas prácticas, en el ejercicio del control y vigilancia preventiva de la actividad pesquera y acuícola.")</f>
        <v>Eventos de divulgación y socialización apoyados a nivel nacional en pro de disminuir las malas prácticas, en el ejercicio del control y vigilancia preventiva de la actividad pesquera y acuícola.</v>
      </c>
      <c r="R128" s="14" t="str">
        <f>IFERROR(__xludf.DUMMYFUNCTION("""COMPUTED_VALUE"""),"Trimestral")</f>
        <v>Trimestral</v>
      </c>
      <c r="S128" s="54">
        <f>IFERROR(__xludf.DUMMYFUNCTION("""COMPUTED_VALUE"""),10.0)</f>
        <v>10</v>
      </c>
      <c r="T128" s="54">
        <f>IFERROR(__xludf.DUMMYFUNCTION("""COMPUTED_VALUE"""),5.0)</f>
        <v>5</v>
      </c>
      <c r="U128" s="54">
        <f>IFERROR(__xludf.DUMMYFUNCTION("""COMPUTED_VALUE"""),5.0)</f>
        <v>5</v>
      </c>
      <c r="V128" s="54">
        <f>IFERROR(__xludf.DUMMYFUNCTION("""COMPUTED_VALUE"""),30.0)</f>
        <v>30</v>
      </c>
      <c r="W128" s="56" t="str">
        <f>IFERROR(__xludf.DUMMYFUNCTION("""COMPUTED_VALUE"""),"Regional Cali")</f>
        <v>Regional Cali</v>
      </c>
      <c r="X128" s="57" t="str">
        <f>IFERROR(__xludf.DUMMYFUNCTION("""COMPUTED_VALUE"""),"Sandra Amgulo")</f>
        <v>Sandra Amgulo</v>
      </c>
      <c r="Y128" s="47" t="str">
        <f>IFERROR(__xludf.DUMMYFUNCTION("""COMPUTED_VALUE"""),"Director Regional")</f>
        <v>Director Regional</v>
      </c>
      <c r="Z128" s="57" t="str">
        <f>IFERROR(__xludf.DUMMYFUNCTION("""COMPUTED_VALUE"""),"sandra.angulo@aunap.gov.co")</f>
        <v>sandra.angulo@aunap.gov.co</v>
      </c>
      <c r="AA128" s="47" t="str">
        <f>IFERROR(__xludf.DUMMYFUNCTION("""COMPUTED_VALUE"""),"Humanos, fisicos, financieros y tecnologicos")</f>
        <v>Humanos, fisicos, financieros y tecnologicos</v>
      </c>
      <c r="AB128" s="47" t="str">
        <f>IFERROR(__xludf.DUMMYFUNCTION("""COMPUTED_VALUE"""),"No asociado")</f>
        <v>No asociado</v>
      </c>
      <c r="AC128"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28" s="47" t="str">
        <f>IFERROR(__xludf.DUMMYFUNCTION("""COMPUTED_VALUE"""),"Gestión con valores para resultados")</f>
        <v>Gestión con valores para resultados</v>
      </c>
      <c r="AE128" s="47" t="str">
        <f>IFERROR(__xludf.DUMMYFUNCTION("""COMPUTED_VALUE"""),"Fortalecimiento Organizacional y Simplificación de Procesos")</f>
        <v>Fortalecimiento Organizacional y Simplificación de Procesos</v>
      </c>
      <c r="AF128" s="47" t="str">
        <f>IFERROR(__xludf.DUMMYFUNCTION("""COMPUTED_VALUE"""),"12. Producción y consumo responsable")</f>
        <v>12. Producción y consumo responsable</v>
      </c>
      <c r="AG128" s="58">
        <f>IFERROR(__xludf.DUMMYFUNCTION("""COMPUTED_VALUE"""),35.0)</f>
        <v>35</v>
      </c>
      <c r="AH128" s="59" t="str">
        <f>IFERROR(__xludf.DUMMYFUNCTION("""COMPUTED_VALUE"""),"Se superó la meta en un 5%, ya que se realizarón actividades de divulgación de la veda del camarón en el Pacífico colombiano con el objetivo de sensibilizar al subsector pesquero y a todos los involucrados  en la captura, proceso, comercialización y trans"&amp;"porte del recurso camarón sobre el cumplimiento de esta  importante medida de ordenamiento pesquero")</f>
        <v>Se superó la meta en un 5%, ya que se realizarón actividades de divulgación de la veda del camarón en el Pacífico colombiano con el objetivo de sensibilizar al subsector pesquero y a todos los involucrados  en la captura, proceso, comercialización y transporte del recurso camarón sobre el cumplimiento de esta  importante medida de ordenamiento pesquero</v>
      </c>
      <c r="AI128" s="77" t="str">
        <f>IFERROR(__xludf.DUMMYFUNCTION("""COMPUTED_VALUE"""),"https://drive.google.com/file/d/1mifKAQokfQgQDBUxoOlZe0qfiMd4cuFJ/view?usp=sharing")</f>
        <v>https://drive.google.com/file/d/1mifKAQokfQgQDBUxoOlZe0qfiMd4cuFJ/view?usp=sharing</v>
      </c>
      <c r="AJ128" s="59">
        <f>IFERROR(__xludf.DUMMYFUNCTION("""COMPUTED_VALUE"""),65.0)</f>
        <v>65</v>
      </c>
      <c r="AK128" s="59" t="str">
        <f>IFERROR(__xludf.DUMMYFUNCTION("""COMPUTED_VALUE"""),"La meta Total fue superada, ya que estas actividades estuvieron enfocada a las actividades de sensibilización para el cumoplimiento de la veda del camarón")</f>
        <v>La meta Total fue superada, ya que estas actividades estuvieron enfocada a las actividades de sensibilización para el cumoplimiento de la veda del camarón</v>
      </c>
      <c r="AL128" s="59">
        <f>IFERROR(__xludf.DUMMYFUNCTION("""COMPUTED_VALUE"""),44582.0)</f>
        <v>44582</v>
      </c>
      <c r="AM128" s="60"/>
      <c r="AN128" s="61" t="str">
        <f>IFERROR(IF((AO128+1)&lt;2,Alertas!$B$2&amp;TEXT(AO128,"0%")&amp;Alertas!$D$2, IF((AO128+1)=2,Alertas!$B$3,IF((AO128+1)&gt;2,Alertas!$B$4&amp;TEXT(AO128,"0%")&amp;Alertas!$D$4,AO128+1))),"Sin meta para el segundo trimestre")</f>
        <v>La ejecución de la meta registrada se encuentra por encima de la meta programada en la formulación del plan de acción para el segundo trimestre, su porcentaje de cumplimiento es 700%,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28" s="62">
        <f t="shared" si="2"/>
        <v>7</v>
      </c>
      <c r="AP128" s="61" t="str">
        <f t="shared" si="3"/>
        <v>La ejecución de la meta registrada se encuentra por encima de la meta programada en la formulación del plan de acción para el segundo trimestre, su porcentaje de cumplimiento es 700%,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28" s="63"/>
      <c r="AR128" s="64"/>
      <c r="AS128" s="65"/>
      <c r="AT128" s="65"/>
      <c r="AU128" s="66"/>
      <c r="AV128" s="67"/>
      <c r="AW128" s="68"/>
      <c r="AX128" s="63"/>
      <c r="AY128" s="64"/>
      <c r="AZ128" s="69"/>
      <c r="BA128" s="65"/>
      <c r="BB128" s="70"/>
      <c r="BC128" s="71"/>
      <c r="BD128" s="72"/>
      <c r="BE128" s="73"/>
      <c r="BF128" s="64"/>
      <c r="BG128" s="69"/>
      <c r="BH128" s="65"/>
      <c r="BI128" s="66"/>
      <c r="BJ128" s="71"/>
      <c r="BK128" s="72"/>
      <c r="BL128" s="74"/>
      <c r="BN128" s="5" t="str">
        <f t="shared" si="23"/>
        <v>1</v>
      </c>
      <c r="BP128" s="5"/>
    </row>
    <row r="129" ht="37.5" customHeight="1">
      <c r="A129" s="45"/>
      <c r="B129" s="46">
        <f>IFERROR(__xludf.DUMMYFUNCTION("""COMPUTED_VALUE"""),127.0)</f>
        <v>127</v>
      </c>
      <c r="C129" s="47" t="str">
        <f>IFERROR(__xludf.DUMMYFUNCTION("""COMPUTED_VALUE"""),"Gestión de la información y generación del conocimiento")</f>
        <v>Gestión de la información y generación del conocimiento</v>
      </c>
      <c r="D129" s="48" t="str">
        <f>IFERROR(__xludf.DUMMYFUNCTION("""COMPUTED_VALUE"""),"Regional Cali")</f>
        <v>Regional Cali</v>
      </c>
      <c r="E129"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129" s="49">
        <f>IFERROR(__xludf.DUMMYFUNCTION("""COMPUTED_VALUE"""),2.019011000277E12)</f>
        <v>2019011000277</v>
      </c>
      <c r="G129" s="50" t="str">
        <f>IFERROR(__xludf.DUMMYFUNCTION("""COMPUTED_VALUE"""),"Investigación")</f>
        <v>Investigación</v>
      </c>
      <c r="H129" s="48" t="str">
        <f>IFERROR(__xludf.DUMMYFUNCTION("""COMPUTED_VALUE"""),"Incrementar el conocimiento científico y técnico del estado de los recursos pesqueros y de la actividad pesquera")</f>
        <v>Incrementar el conocimiento científico y técnico del estado de los recursos pesqueros y de la actividad pesquera</v>
      </c>
      <c r="I129" s="48" t="str">
        <f>IFERROR(__xludf.DUMMYFUNCTION("""COMPUTED_VALUE"""),"Documentos de investigación")</f>
        <v>Documentos de investigación</v>
      </c>
      <c r="J129" s="48" t="str">
        <f>IFERROR(__xludf.DUMMYFUNCTION("""COMPUTED_VALUE"""),"Documentos de investigación")</f>
        <v>Documentos de investigación</v>
      </c>
      <c r="K129" s="51" t="str">
        <f>IFERROR(__xludf.DUMMYFUNCTION("""COMPUTED_VALUE"""),"Gestión del área")</f>
        <v>Gestión del área</v>
      </c>
      <c r="L129" s="51" t="str">
        <f>IFERROR(__xludf.DUMMYFUNCTION("""COMPUTED_VALUE"""),"Eficacia")</f>
        <v>Eficacia</v>
      </c>
      <c r="M129" s="51" t="str">
        <f>IFERROR(__xludf.DUMMYFUNCTION("""COMPUTED_VALUE"""),"Número")</f>
        <v>Número</v>
      </c>
      <c r="N129" s="52" t="str">
        <f>IFERROR(__xludf.DUMMYFUNCTION("""COMPUTED_VALUE"""),"Reportes de monitoreo que aportan a documentos de investigación")</f>
        <v>Reportes de monitoreo que aportan a documentos de investigación</v>
      </c>
      <c r="O129" s="53"/>
      <c r="P129" s="54">
        <f>IFERROR(__xludf.DUMMYFUNCTION("""COMPUTED_VALUE"""),3.0)</f>
        <v>3</v>
      </c>
      <c r="Q129" s="55" t="str">
        <f>IFERROR(__xludf.DUMMYFUNCTION("""COMPUTED_VALUE"""),"Realizar salidas de campo realizadas para la recopilación de información biológica pesquera en la Laguna de Sonso
")</f>
        <v>Realizar salidas de campo realizadas para la recopilación de información biológica pesquera en la Laguna de Sonso
</v>
      </c>
      <c r="R129" s="14" t="str">
        <f>IFERROR(__xludf.DUMMYFUNCTION("""COMPUTED_VALUE"""),"Trimestral")</f>
        <v>Trimestral</v>
      </c>
      <c r="S129" s="54">
        <f>IFERROR(__xludf.DUMMYFUNCTION("""COMPUTED_VALUE"""),0.0)</f>
        <v>0</v>
      </c>
      <c r="T129" s="54">
        <f>IFERROR(__xludf.DUMMYFUNCTION("""COMPUTED_VALUE"""),1.0)</f>
        <v>1</v>
      </c>
      <c r="U129" s="54">
        <f>IFERROR(__xludf.DUMMYFUNCTION("""COMPUTED_VALUE"""),1.0)</f>
        <v>1</v>
      </c>
      <c r="V129" s="54">
        <f>IFERROR(__xludf.DUMMYFUNCTION("""COMPUTED_VALUE"""),1.0)</f>
        <v>1</v>
      </c>
      <c r="W129" s="56" t="str">
        <f>IFERROR(__xludf.DUMMYFUNCTION("""COMPUTED_VALUE"""),"Regional Cali")</f>
        <v>Regional Cali</v>
      </c>
      <c r="X129" s="57" t="str">
        <f>IFERROR(__xludf.DUMMYFUNCTION("""COMPUTED_VALUE"""),"Sandra Amgulo")</f>
        <v>Sandra Amgulo</v>
      </c>
      <c r="Y129" s="47" t="str">
        <f>IFERROR(__xludf.DUMMYFUNCTION("""COMPUTED_VALUE"""),"Director Regional")</f>
        <v>Director Regional</v>
      </c>
      <c r="Z129" s="57" t="str">
        <f>IFERROR(__xludf.DUMMYFUNCTION("""COMPUTED_VALUE"""),"sandra.angulo@aunap.gov.co")</f>
        <v>sandra.angulo@aunap.gov.co</v>
      </c>
      <c r="AA129" s="47" t="str">
        <f>IFERROR(__xludf.DUMMYFUNCTION("""COMPUTED_VALUE"""),"Humanos, fisicos, financieros y tecnologicos")</f>
        <v>Humanos, fisicos, financieros y tecnologicos</v>
      </c>
      <c r="AB129" s="47" t="str">
        <f>IFERROR(__xludf.DUMMYFUNCTION("""COMPUTED_VALUE"""),"No asociado")</f>
        <v>No asociado</v>
      </c>
      <c r="AC129"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29" s="47" t="str">
        <f>IFERROR(__xludf.DUMMYFUNCTION("""COMPUTED_VALUE"""),"Gestión del conocimiento")</f>
        <v>Gestión del conocimiento</v>
      </c>
      <c r="AE129" s="47" t="str">
        <f>IFERROR(__xludf.DUMMYFUNCTION("""COMPUTED_VALUE"""),"Gestión del Conocimiento y la Innovación")</f>
        <v>Gestión del Conocimiento y la Innovación</v>
      </c>
      <c r="AF129" s="47" t="str">
        <f>IFERROR(__xludf.DUMMYFUNCTION("""COMPUTED_VALUE"""),"12. Producción y consumo responsable")</f>
        <v>12. Producción y consumo responsable</v>
      </c>
      <c r="AG129" s="58">
        <f>IFERROR(__xludf.DUMMYFUNCTION("""COMPUTED_VALUE"""),1.0)</f>
        <v>1</v>
      </c>
      <c r="AH129" s="59" t="str">
        <f>IFERROR(__xludf.DUMMYFUNCTION("""COMPUTED_VALUE"""),"Se cumplio con la meta establecida")</f>
        <v>Se cumplio con la meta establecida</v>
      </c>
      <c r="AI129" s="77" t="str">
        <f>IFERROR(__xludf.DUMMYFUNCTION("""COMPUTED_VALUE"""),"https://drive.google.com/file/d/1-bEt2zvtgkU7CJ5YEOKElkEgISSN80FN/view?usp=sharing")</f>
        <v>https://drive.google.com/file/d/1-bEt2zvtgkU7CJ5YEOKElkEgISSN80FN/view?usp=sharing</v>
      </c>
      <c r="AJ129" s="59">
        <f>IFERROR(__xludf.DUMMYFUNCTION("""COMPUTED_VALUE"""),3.0)</f>
        <v>3</v>
      </c>
      <c r="AK129" s="59" t="str">
        <f>IFERROR(__xludf.DUMMYFUNCTION("""COMPUTED_VALUE"""),"Se dío cuplimiento al 100% de esta actividad ")</f>
        <v>Se dío cuplimiento al 100% de esta actividad </v>
      </c>
      <c r="AL129" s="59">
        <f>IFERROR(__xludf.DUMMYFUNCTION("""COMPUTED_VALUE"""),44582.0)</f>
        <v>44582</v>
      </c>
      <c r="AM129" s="60"/>
      <c r="AN129" s="61" t="str">
        <f>IFERROR(IF((AO129+1)&lt;2,Alertas!$B$2&amp;TEXT(AO129,"0%")&amp;Alertas!$D$2, IF((AO129+1)=2,Alertas!$B$3,IF((AO129+1)&gt;2,Alertas!$B$4&amp;TEXT(AO129,"0%")&amp;Alertas!$D$4,AO129+1))),"Sin meta para el segundo trimestre")</f>
        <v>La ejecución de la meta registrada se encuentra acorde a la meta programada en la formulación del plan de acción para el segundo trimestre</v>
      </c>
      <c r="AO129" s="62">
        <f t="shared" si="2"/>
        <v>1</v>
      </c>
      <c r="AP129" s="61" t="str">
        <f t="shared" si="3"/>
        <v>La ejecución de la meta registrada se encuentra acorde a la meta programada en la formulación del plan de acción para el segundo trimestre.</v>
      </c>
      <c r="AQ129" s="63"/>
      <c r="AR129" s="64"/>
      <c r="AS129" s="65"/>
      <c r="AT129" s="65"/>
      <c r="AU129" s="66"/>
      <c r="AV129" s="67"/>
      <c r="AW129" s="68"/>
      <c r="AX129" s="63"/>
      <c r="AY129" s="64"/>
      <c r="AZ129" s="69"/>
      <c r="BA129" s="65"/>
      <c r="BB129" s="70"/>
      <c r="BC129" s="71"/>
      <c r="BD129" s="72"/>
      <c r="BE129" s="73"/>
      <c r="BF129" s="64"/>
      <c r="BG129" s="69"/>
      <c r="BH129" s="65"/>
      <c r="BI129" s="66"/>
      <c r="BJ129" s="71"/>
      <c r="BK129" s="72"/>
      <c r="BL129" s="74"/>
      <c r="BN129" s="5" t="str">
        <f t="shared" si="23"/>
        <v>0</v>
      </c>
      <c r="BP129" s="5"/>
    </row>
    <row r="130" ht="37.5" customHeight="1">
      <c r="A130" s="45"/>
      <c r="B130" s="46">
        <f>IFERROR(__xludf.DUMMYFUNCTION("""COMPUTED_VALUE"""),128.0)</f>
        <v>128</v>
      </c>
      <c r="C130" s="47" t="str">
        <f>IFERROR(__xludf.DUMMYFUNCTION("""COMPUTED_VALUE"""),"Gestión de la administración y fomento")</f>
        <v>Gestión de la administración y fomento</v>
      </c>
      <c r="D130" s="48" t="str">
        <f>IFERROR(__xludf.DUMMYFUNCTION("""COMPUTED_VALUE"""),"Regional Cali")</f>
        <v>Regional Cali</v>
      </c>
      <c r="E130" s="48" t="str">
        <f>IFERROR(__xludf.DUMMYFUNCTION("""COMPUTED_VALUE"""),"Fortalecimiento de la sostenibilidad del sector pesquero y de la acuicultura en el territorio nacional")</f>
        <v>Fortalecimiento de la sostenibilidad del sector pesquero y de la acuicultura en el territorio nacional</v>
      </c>
      <c r="F130" s="49">
        <f>IFERROR(__xludf.DUMMYFUNCTION("""COMPUTED_VALUE"""),2.01901100028E12)</f>
        <v>2019011000280</v>
      </c>
      <c r="G130" s="50" t="str">
        <f>IFERROR(__xludf.DUMMYFUNCTION("""COMPUTED_VALUE"""),"Sostenibilidad")</f>
        <v>Sostenibilidad</v>
      </c>
      <c r="H130" s="48" t="str">
        <f>IFERROR(__xludf.DUMMYFUNCTION("""COMPUTED_VALUE"""),"Mejorar la explotación de los recursos pesqueros y de la acuicultura.")</f>
        <v>Mejorar la explotación de los recursos pesqueros y de la acuicultura.</v>
      </c>
      <c r="I130" s="48" t="str">
        <f>IFERROR(__xludf.DUMMYFUNCTION("""COMPUTED_VALUE"""),"2-Servicios de apoyo a las estaciones de acuicultura")</f>
        <v>2-Servicios de apoyo a las estaciones de acuicultura</v>
      </c>
      <c r="J130" s="48" t="str">
        <f>IFERROR(__xludf.DUMMYFUNCTION("""COMPUTED_VALUE"""),"Producir alevinos para el sector productivo y/o con fines de repoblamiento.")</f>
        <v>Producir alevinos para el sector productivo y/o con fines de repoblamiento.</v>
      </c>
      <c r="K130" s="51" t="str">
        <f>IFERROR(__xludf.DUMMYFUNCTION("""COMPUTED_VALUE"""),"Producto")</f>
        <v>Producto</v>
      </c>
      <c r="L130" s="51" t="str">
        <f>IFERROR(__xludf.DUMMYFUNCTION("""COMPUTED_VALUE"""),"Eficacia")</f>
        <v>Eficacia</v>
      </c>
      <c r="M130" s="51" t="str">
        <f>IFERROR(__xludf.DUMMYFUNCTION("""COMPUTED_VALUE"""),"Número")</f>
        <v>Número</v>
      </c>
      <c r="N130" s="52" t="str">
        <f>IFERROR(__xludf.DUMMYFUNCTION("""COMPUTED_VALUE"""),"Alevinos producidos")</f>
        <v>Alevinos producidos</v>
      </c>
      <c r="O130" s="53">
        <f>IFERROR(__xludf.DUMMYFUNCTION("""COMPUTED_VALUE"""),-1.0)</f>
        <v>-1</v>
      </c>
      <c r="P130" s="54">
        <f>IFERROR(__xludf.DUMMYFUNCTION("""COMPUTED_VALUE"""),10000.0)</f>
        <v>10000</v>
      </c>
      <c r="Q130" s="55" t="str">
        <f>IFERROR(__xludf.DUMMYFUNCTION("""COMPUTED_VALUE"""),"producción de alevinos")</f>
        <v>producción de alevinos</v>
      </c>
      <c r="R130" s="14" t="str">
        <f>IFERROR(__xludf.DUMMYFUNCTION("""COMPUTED_VALUE"""),"Trimestral")</f>
        <v>Trimestral</v>
      </c>
      <c r="S130" s="54">
        <f>IFERROR(__xludf.DUMMYFUNCTION("""COMPUTED_VALUE"""),0.0)</f>
        <v>0</v>
      </c>
      <c r="T130" s="54">
        <f>IFERROR(__xludf.DUMMYFUNCTION("""COMPUTED_VALUE"""),0.0)</f>
        <v>0</v>
      </c>
      <c r="U130" s="54">
        <f>IFERROR(__xludf.DUMMYFUNCTION("""COMPUTED_VALUE"""),3000.0)</f>
        <v>3000</v>
      </c>
      <c r="V130" s="54">
        <f>IFERROR(__xludf.DUMMYFUNCTION("""COMPUTED_VALUE"""),7000.0)</f>
        <v>7000</v>
      </c>
      <c r="W130" s="56" t="str">
        <f>IFERROR(__xludf.DUMMYFUNCTION("""COMPUTED_VALUE"""),"Regional Cali")</f>
        <v>Regional Cali</v>
      </c>
      <c r="X130" s="57" t="str">
        <f>IFERROR(__xludf.DUMMYFUNCTION("""COMPUTED_VALUE"""),"Sandra Amgulo")</f>
        <v>Sandra Amgulo</v>
      </c>
      <c r="Y130" s="47" t="str">
        <f>IFERROR(__xludf.DUMMYFUNCTION("""COMPUTED_VALUE"""),"Director Regional")</f>
        <v>Director Regional</v>
      </c>
      <c r="Z130" s="57" t="str">
        <f>IFERROR(__xludf.DUMMYFUNCTION("""COMPUTED_VALUE"""),"sandra.angulo@aunap.gov.co")</f>
        <v>sandra.angulo@aunap.gov.co</v>
      </c>
      <c r="AA130" s="47" t="str">
        <f>IFERROR(__xludf.DUMMYFUNCTION("""COMPUTED_VALUE"""),"Humanos, fisicos, financieros y tecnologicos")</f>
        <v>Humanos, fisicos, financieros y tecnologicos</v>
      </c>
      <c r="AB130" s="47" t="str">
        <f>IFERROR(__xludf.DUMMYFUNCTION("""COMPUTED_VALUE"""),"No asociado")</f>
        <v>No asociado</v>
      </c>
      <c r="AC130" s="47" t="str">
        <f>IFERROR(__xludf.DUMMYFUNCTION("""COMPUTED_VALUE"""),"Llegar con actividades de pesca y acuicultura a todas las regiones")</f>
        <v>Llegar con actividades de pesca y acuicultura a todas las regiones</v>
      </c>
      <c r="AD130" s="47" t="str">
        <f>IFERROR(__xludf.DUMMYFUNCTION("""COMPUTED_VALUE"""),"Gestión con valores para resultados")</f>
        <v>Gestión con valores para resultados</v>
      </c>
      <c r="AE130" s="47" t="str">
        <f>IFERROR(__xludf.DUMMYFUNCTION("""COMPUTED_VALUE"""),"Fortalecimiento Organizacional y Simplificación de Procesos")</f>
        <v>Fortalecimiento Organizacional y Simplificación de Procesos</v>
      </c>
      <c r="AF130" s="47" t="str">
        <f>IFERROR(__xludf.DUMMYFUNCTION("""COMPUTED_VALUE"""),"12. Producción y consumo responsable")</f>
        <v>12. Producción y consumo responsable</v>
      </c>
      <c r="AG130" s="58">
        <f>IFERROR(__xludf.DUMMYFUNCTION("""COMPUTED_VALUE"""),5400.0)</f>
        <v>5400</v>
      </c>
      <c r="AH130" s="59" t="str">
        <f>IFERROR(__xludf.DUMMYFUNCTION("""COMPUTED_VALUE"""),"Se cumplio con la meta establecida; sin embargo cabe resaltar que  ante algunas dificultades operativas se realizó gran esfuerzo por parte de la estación marina de Bahía Málaga")</f>
        <v>Se cumplio con la meta establecida; sin embargo cabe resaltar que  ante algunas dificultades operativas se realizó gran esfuerzo por parte de la estación marina de Bahía Málaga</v>
      </c>
      <c r="AI130" s="59"/>
      <c r="AJ130" s="59">
        <f>IFERROR(__xludf.DUMMYFUNCTION("""COMPUTED_VALUE"""),5900.0)</f>
        <v>5900</v>
      </c>
      <c r="AK130" s="59" t="str">
        <f>IFERROR(__xludf.DUMMYFUNCTION("""COMPUTED_VALUE"""),"Se dío cuplimiento al 59% de esta actividad  NO DEJO CARGAR (SE MUESTRA ERROR COLOCAR PORCENTAJE) EL LINK POR TANTO ESTA EVIDENCIA SE ENVIA A CONTROL INTERNO  ")</f>
        <v>Se dío cuplimiento al 59% de esta actividad  NO DEJO CARGAR (SE MUESTRA ERROR COLOCAR PORCENTAJE) EL LINK POR TANTO ESTA EVIDENCIA SE ENVIA A CONTROL INTERNO  </v>
      </c>
      <c r="AL130" s="59">
        <f>IFERROR(__xludf.DUMMYFUNCTION("""COMPUTED_VALUE"""),44582.0)</f>
        <v>44582</v>
      </c>
      <c r="AM130" s="60"/>
      <c r="AN130" s="61" t="str">
        <f>IFERROR(IF((AO130+1)&lt;2,Alertas!$B$2&amp;TEXT(AO130,"0%")&amp;Alertas!$D$2, IF((AO130+1)=2,Alertas!$B$3,IF((AO130+1)&gt;2,Alertas!$B$4&amp;TEXT(AO130,"0%")&amp;Alertas!$D$4,AO130+1))),"Sin meta para el segundo trimestre")</f>
        <v>La ejecución de la meta registrada se encuentra por encima de la meta programada en la formulación del plan de acción para el segundo trimestre, su porcentaje de cumplimiento es 540100%,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30" s="62">
        <f t="shared" si="2"/>
        <v>5401</v>
      </c>
      <c r="AP130" s="61" t="str">
        <f t="shared" si="3"/>
        <v>La ejecución de la meta registrada se encuentra por encima de la meta programada en la formulación del plan de acción para el segundo trimestre, su porcentaje de cumplimiento es 540100%,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30" s="63"/>
      <c r="AR130" s="64"/>
      <c r="AS130" s="65"/>
      <c r="AT130" s="65"/>
      <c r="AU130" s="66"/>
      <c r="AV130" s="67"/>
      <c r="AW130" s="68"/>
      <c r="AX130" s="63"/>
      <c r="AY130" s="64"/>
      <c r="AZ130" s="69"/>
      <c r="BA130" s="65"/>
      <c r="BB130" s="70"/>
      <c r="BC130" s="71"/>
      <c r="BD130" s="72"/>
      <c r="BE130" s="73"/>
      <c r="BF130" s="64"/>
      <c r="BG130" s="69"/>
      <c r="BH130" s="65"/>
      <c r="BI130" s="66"/>
      <c r="BJ130" s="71"/>
      <c r="BK130" s="72"/>
      <c r="BL130" s="74"/>
      <c r="BN130" s="5" t="str">
        <f t="shared" si="23"/>
        <v>1</v>
      </c>
      <c r="BP130" s="5"/>
    </row>
    <row r="131" ht="37.5" customHeight="1">
      <c r="A131" s="45"/>
      <c r="B131" s="46">
        <f>IFERROR(__xludf.DUMMYFUNCTION("""COMPUTED_VALUE"""),129.0)</f>
        <v>129</v>
      </c>
      <c r="C131" s="47" t="str">
        <f>IFERROR(__xludf.DUMMYFUNCTION("""COMPUTED_VALUE"""),"Gestión de la inspección y vigilancia")</f>
        <v>Gestión de la inspección y vigilancia</v>
      </c>
      <c r="D131" s="48" t="str">
        <f>IFERROR(__xludf.DUMMYFUNCTION("""COMPUTED_VALUE"""),"Regional Cali")</f>
        <v>Regional Cali</v>
      </c>
      <c r="E131"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31" s="49">
        <f>IFERROR(__xludf.DUMMYFUNCTION("""COMPUTED_VALUE"""),2.019011000276E12)</f>
        <v>2019011000276</v>
      </c>
      <c r="G131" s="50" t="str">
        <f>IFERROR(__xludf.DUMMYFUNCTION("""COMPUTED_VALUE"""),"Inspección")</f>
        <v>Inspección</v>
      </c>
      <c r="H131" s="48" t="str">
        <f>IFERROR(__xludf.DUMMYFUNCTION("""COMPUTED_VALUE"""),"Fortalecer los mecanismos de seguimiento y control de la actividad pesquera y de la acuicultura.")</f>
        <v>Fortalecer los mecanismos de seguimiento y control de la actividad pesquera y de la acuicultura.</v>
      </c>
      <c r="I131" s="48" t="str">
        <f>IFERROR(__xludf.DUMMYFUNCTION("""COMPUTED_VALUE"""),"Servicio de inspección, vigilancia y control de la pesca y la acuicultura")</f>
        <v>Servicio de inspección, vigilancia y control de la pesca y la acuicultura</v>
      </c>
      <c r="J131" s="48" t="str">
        <f>IFERROR(__xludf.DUMMYFUNCTION("""COMPUTED_VALUE"""),"Servicio de inspección, vigilancia y control de la pesca y la acuicultura")</f>
        <v>Servicio de inspección, vigilancia y control de la pesca y la acuicultura</v>
      </c>
      <c r="K131" s="51" t="str">
        <f>IFERROR(__xludf.DUMMYFUNCTION("""COMPUTED_VALUE"""),"Producto")</f>
        <v>Producto</v>
      </c>
      <c r="L131" s="51" t="str">
        <f>IFERROR(__xludf.DUMMYFUNCTION("""COMPUTED_VALUE"""),"Eficacia")</f>
        <v>Eficacia</v>
      </c>
      <c r="M131" s="51" t="str">
        <f>IFERROR(__xludf.DUMMYFUNCTION("""COMPUTED_VALUE"""),"Número")</f>
        <v>Número</v>
      </c>
      <c r="N131" s="52" t="str">
        <f>IFERROR(__xludf.DUMMYFUNCTION("""COMPUTED_VALUE"""),"Operativos de inspección, vigilancia y control realizados")</f>
        <v>Operativos de inspección, vigilancia y control realizados</v>
      </c>
      <c r="O131" s="53">
        <f>IFERROR(__xludf.DUMMYFUNCTION("""COMPUTED_VALUE"""),157.0)</f>
        <v>157</v>
      </c>
      <c r="P131" s="54">
        <f>IFERROR(__xludf.DUMMYFUNCTION("""COMPUTED_VALUE"""),640.0)</f>
        <v>640</v>
      </c>
      <c r="Q131" s="55" t="str">
        <f>IFERROR(__xludf.DUMMYFUNCTION("""COMPUTED_VALUE"""),"Realizar operativos de control y vigilancia de la actividad pesquera y de la acuicultura y verificar el cumplimiento de  la normatividad pesquera y acuícola en:(Centros de acopio, Puntos de venta, Plazas principales, Muelles de desembarque, Aeropuertos, V"&amp;"ías terrestres y fluviales (incluidos cuerpos de agua) de la regional.")</f>
        <v>Realizar operativos de control y vigilancia de la actividad pesquera y de la acuicultura y verificar el cumplimiento de  la normatividad pesquera y acuícola en:(Centros de acopio, Puntos de venta, Plazas principales, Muelles de desembarque, Aeropuertos, Vías terrestres y fluviales (incluidos cuerpos de agua) de la regional.</v>
      </c>
      <c r="R131" s="14" t="str">
        <f>IFERROR(__xludf.DUMMYFUNCTION("""COMPUTED_VALUE"""),"Trimestral")</f>
        <v>Trimestral</v>
      </c>
      <c r="S131" s="54">
        <f>IFERROR(__xludf.DUMMYFUNCTION("""COMPUTED_VALUE"""),130.0)</f>
        <v>130</v>
      </c>
      <c r="T131" s="54">
        <f>IFERROR(__xludf.DUMMYFUNCTION("""COMPUTED_VALUE"""),170.0)</f>
        <v>170</v>
      </c>
      <c r="U131" s="54">
        <f>IFERROR(__xludf.DUMMYFUNCTION("""COMPUTED_VALUE"""),170.0)</f>
        <v>170</v>
      </c>
      <c r="V131" s="54">
        <f>IFERROR(__xludf.DUMMYFUNCTION("""COMPUTED_VALUE"""),170.0)</f>
        <v>170</v>
      </c>
      <c r="W131" s="56" t="str">
        <f>IFERROR(__xludf.DUMMYFUNCTION("""COMPUTED_VALUE"""),"Regional Cali")</f>
        <v>Regional Cali</v>
      </c>
      <c r="X131" s="57" t="str">
        <f>IFERROR(__xludf.DUMMYFUNCTION("""COMPUTED_VALUE"""),"Sandra Amgulo")</f>
        <v>Sandra Amgulo</v>
      </c>
      <c r="Y131" s="47" t="str">
        <f>IFERROR(__xludf.DUMMYFUNCTION("""COMPUTED_VALUE"""),"Director Regional")</f>
        <v>Director Regional</v>
      </c>
      <c r="Z131" s="57" t="str">
        <f>IFERROR(__xludf.DUMMYFUNCTION("""COMPUTED_VALUE"""),"sandra.angulo@aunap.gov.co")</f>
        <v>sandra.angulo@aunap.gov.co</v>
      </c>
      <c r="AA131" s="47" t="str">
        <f>IFERROR(__xludf.DUMMYFUNCTION("""COMPUTED_VALUE"""),"Humanos, fisicos, financieros y tecnologicos")</f>
        <v>Humanos, fisicos, financieros y tecnologicos</v>
      </c>
      <c r="AB131" s="47" t="str">
        <f>IFERROR(__xludf.DUMMYFUNCTION("""COMPUTED_VALUE"""),"No asociado")</f>
        <v>No asociado</v>
      </c>
      <c r="AC131"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31" s="47" t="str">
        <f>IFERROR(__xludf.DUMMYFUNCTION("""COMPUTED_VALUE"""),"Gestión con valores para resultados")</f>
        <v>Gestión con valores para resultados</v>
      </c>
      <c r="AE131" s="47" t="str">
        <f>IFERROR(__xludf.DUMMYFUNCTION("""COMPUTED_VALUE"""),"Fortalecimiento Organizacional y Simplificación de Procesos")</f>
        <v>Fortalecimiento Organizacional y Simplificación de Procesos</v>
      </c>
      <c r="AF131" s="47" t="str">
        <f>IFERROR(__xludf.DUMMYFUNCTION("""COMPUTED_VALUE"""),"12. Producción y consumo responsable")</f>
        <v>12. Producción y consumo responsable</v>
      </c>
      <c r="AG131" s="58">
        <f>IFERROR(__xludf.DUMMYFUNCTION("""COMPUTED_VALUE"""),214.0)</f>
        <v>214</v>
      </c>
      <c r="AH131" s="59" t="str">
        <f>IFERROR(__xludf.DUMMYFUNCTION("""COMPUTED_VALUE"""),"Se superó  la meta establecida, se realizarón 44 operativos por encima de lo establecido ya que se busca realizar un control efectivo de la verificación del cumplimiento de la normativida pesquera y acuicola")</f>
        <v>Se superó  la meta establecida, se realizarón 44 operativos por encima de lo establecido ya que se busca realizar un control efectivo de la verificación del cumplimiento de la normativida pesquera y acuicola</v>
      </c>
      <c r="AI131" s="81" t="str">
        <f>IFERROR(__xludf.DUMMYFUNCTION("""COMPUTED_VALUE"""),"https://drive.google.com/drive/folders/1QJb1W0hc69OkUcXeiQl6xqe5vkD8Cl0F?usp=sharing")</f>
        <v>https://drive.google.com/drive/folders/1QJb1W0hc69OkUcXeiQl6xqe5vkD8Cl0F?usp=sharing</v>
      </c>
      <c r="AJ131" s="59">
        <f>IFERROR(__xludf.DUMMYFUNCTION("""COMPUTED_VALUE"""),778.0)</f>
        <v>778</v>
      </c>
      <c r="AK131" s="59" t="str">
        <f>IFERROR(__xludf.DUMMYFUNCTION("""COMPUTED_VALUE"""),"La meta Total fue superada, ya que se busca realizar el control  y vigilancia del cumplimiento de l normatividad pesquera y acuicola")</f>
        <v>La meta Total fue superada, ya que se busca realizar el control  y vigilancia del cumplimiento de l normatividad pesquera y acuicola</v>
      </c>
      <c r="AL131" s="59">
        <f>IFERROR(__xludf.DUMMYFUNCTION("""COMPUTED_VALUE"""),44582.0)</f>
        <v>44582</v>
      </c>
      <c r="AM131" s="60"/>
      <c r="AN131" s="61" t="str">
        <f>IFERROR(IF((AO131+1)&lt;2,Alertas!$B$2&amp;TEXT(AO131,"0%")&amp;Alertas!$D$2, IF((AO131+1)=2,Alertas!$B$3,IF((AO131+1)&gt;2,Alertas!$B$4&amp;TEXT(AO131,"0%")&amp;Alertas!$D$4,AO131+1))),"Sin meta para el segundo trimestre")</f>
        <v>La ejecución de la meta registrada se encuentra por encima de la meta programada en la formulación del plan de acción para el segundo trimestre, su porcentaje de cumplimiento es 126%,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31" s="62">
        <f t="shared" si="2"/>
        <v>1.258823529</v>
      </c>
      <c r="AP131" s="61" t="str">
        <f t="shared" si="3"/>
        <v>La ejecución de la meta registrada se encuentra por encima de la meta programada en la formulación del plan de acción para el segundo trimestre, su porcentaje de cumplimiento es 126%,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31" s="63"/>
      <c r="AR131" s="64"/>
      <c r="AS131" s="65"/>
      <c r="AT131" s="65"/>
      <c r="AU131" s="66"/>
      <c r="AV131" s="67"/>
      <c r="AW131" s="68"/>
      <c r="AX131" s="63"/>
      <c r="AY131" s="64"/>
      <c r="AZ131" s="69"/>
      <c r="BA131" s="65"/>
      <c r="BB131" s="70"/>
      <c r="BC131" s="71"/>
      <c r="BD131" s="72"/>
      <c r="BE131" s="73"/>
      <c r="BF131" s="64"/>
      <c r="BG131" s="69"/>
      <c r="BH131" s="65"/>
      <c r="BI131" s="66"/>
      <c r="BJ131" s="71"/>
      <c r="BK131" s="72"/>
      <c r="BL131" s="74"/>
      <c r="BN131" s="5" t="str">
        <f t="shared" si="23"/>
        <v>1</v>
      </c>
      <c r="BP131" s="5"/>
    </row>
    <row r="132" ht="37.5" customHeight="1">
      <c r="A132" s="45"/>
      <c r="B132" s="46">
        <f>IFERROR(__xludf.DUMMYFUNCTION("""COMPUTED_VALUE"""),130.0)</f>
        <v>130</v>
      </c>
      <c r="C132" s="47" t="str">
        <f>IFERROR(__xludf.DUMMYFUNCTION("""COMPUTED_VALUE"""),"Gestión de la información y generación del conocimiento")</f>
        <v>Gestión de la información y generación del conocimiento</v>
      </c>
      <c r="D132" s="48" t="str">
        <f>IFERROR(__xludf.DUMMYFUNCTION("""COMPUTED_VALUE"""),"Regional Cali")</f>
        <v>Regional Cali</v>
      </c>
      <c r="E132"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132" s="49">
        <f>IFERROR(__xludf.DUMMYFUNCTION("""COMPUTED_VALUE"""),2.019011000277E12)</f>
        <v>2019011000277</v>
      </c>
      <c r="G132" s="50" t="str">
        <f>IFERROR(__xludf.DUMMYFUNCTION("""COMPUTED_VALUE"""),"Investigación")</f>
        <v>Investigación</v>
      </c>
      <c r="H132" s="48" t="str">
        <f>IFERROR(__xludf.DUMMYFUNCTION("""COMPUTED_VALUE"""),"Incrementar el conocimiento científico y técnico del estado de los recursos pesqueros y de la actividad pesquera")</f>
        <v>Incrementar el conocimiento científico y técnico del estado de los recursos pesqueros y de la actividad pesquera</v>
      </c>
      <c r="I132" s="48" t="str">
        <f>IFERROR(__xludf.DUMMYFUNCTION("""COMPUTED_VALUE"""),"Documentos de investigación")</f>
        <v>Documentos de investigación</v>
      </c>
      <c r="J132" s="48" t="str">
        <f>IFERROR(__xludf.DUMMYFUNCTION("""COMPUTED_VALUE"""),"Documentos de investigación")</f>
        <v>Documentos de investigación</v>
      </c>
      <c r="K132" s="51" t="str">
        <f>IFERROR(__xludf.DUMMYFUNCTION("""COMPUTED_VALUE"""),"Gestión del área")</f>
        <v>Gestión del área</v>
      </c>
      <c r="L132" s="51" t="str">
        <f>IFERROR(__xludf.DUMMYFUNCTION("""COMPUTED_VALUE"""),"Eficacia")</f>
        <v>Eficacia</v>
      </c>
      <c r="M132" s="51" t="str">
        <f>IFERROR(__xludf.DUMMYFUNCTION("""COMPUTED_VALUE"""),"Número")</f>
        <v>Número</v>
      </c>
      <c r="N132" s="52" t="str">
        <f>IFERROR(__xludf.DUMMYFUNCTION("""COMPUTED_VALUE"""),"Reportes de monitoreo que aportan a documentos de investigación")</f>
        <v>Reportes de monitoreo que aportan a documentos de investigación</v>
      </c>
      <c r="O132" s="53"/>
      <c r="P132" s="54">
        <f>IFERROR(__xludf.DUMMYFUNCTION("""COMPUTED_VALUE"""),36.0)</f>
        <v>36</v>
      </c>
      <c r="Q132" s="55" t="str">
        <f>IFERROR(__xludf.DUMMYFUNCTION("""COMPUTED_VALUE"""),"Realizar Realizar salidas de campo  para la recopilación de información biológico pesquera del camarón blanco (L. penaeus spp) en caladeros de pesca
")</f>
        <v>Realizar Realizar salidas de campo  para la recopilación de información biológico pesquera del camarón blanco (L. penaeus spp) en caladeros de pesca
</v>
      </c>
      <c r="R132" s="14" t="str">
        <f>IFERROR(__xludf.DUMMYFUNCTION("""COMPUTED_VALUE"""),"Trimestral")</f>
        <v>Trimestral</v>
      </c>
      <c r="S132" s="54">
        <f>IFERROR(__xludf.DUMMYFUNCTION("""COMPUTED_VALUE"""),4.0)</f>
        <v>4</v>
      </c>
      <c r="T132" s="54">
        <f>IFERROR(__xludf.DUMMYFUNCTION("""COMPUTED_VALUE"""),8.0)</f>
        <v>8</v>
      </c>
      <c r="U132" s="54">
        <f>IFERROR(__xludf.DUMMYFUNCTION("""COMPUTED_VALUE"""),12.0)</f>
        <v>12</v>
      </c>
      <c r="V132" s="54">
        <f>IFERROR(__xludf.DUMMYFUNCTION("""COMPUTED_VALUE"""),12.0)</f>
        <v>12</v>
      </c>
      <c r="W132" s="56" t="str">
        <f>IFERROR(__xludf.DUMMYFUNCTION("""COMPUTED_VALUE"""),"Regional Cali")</f>
        <v>Regional Cali</v>
      </c>
      <c r="X132" s="57" t="str">
        <f>IFERROR(__xludf.DUMMYFUNCTION("""COMPUTED_VALUE"""),"Sandra Amgulo")</f>
        <v>Sandra Amgulo</v>
      </c>
      <c r="Y132" s="47" t="str">
        <f>IFERROR(__xludf.DUMMYFUNCTION("""COMPUTED_VALUE"""),"Director Regional")</f>
        <v>Director Regional</v>
      </c>
      <c r="Z132" s="57" t="str">
        <f>IFERROR(__xludf.DUMMYFUNCTION("""COMPUTED_VALUE"""),"sandra.angulo@aunap.gov.co")</f>
        <v>sandra.angulo@aunap.gov.co</v>
      </c>
      <c r="AA132" s="47" t="str">
        <f>IFERROR(__xludf.DUMMYFUNCTION("""COMPUTED_VALUE"""),"Humanos, fisicos, financieros y tecnologicos")</f>
        <v>Humanos, fisicos, financieros y tecnologicos</v>
      </c>
      <c r="AB132" s="47" t="str">
        <f>IFERROR(__xludf.DUMMYFUNCTION("""COMPUTED_VALUE"""),"No asociado")</f>
        <v>No asociado</v>
      </c>
      <c r="AC132"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32" s="47" t="str">
        <f>IFERROR(__xludf.DUMMYFUNCTION("""COMPUTED_VALUE"""),"Gestión del conocimiento")</f>
        <v>Gestión del conocimiento</v>
      </c>
      <c r="AE132" s="47" t="str">
        <f>IFERROR(__xludf.DUMMYFUNCTION("""COMPUTED_VALUE"""),"Gestión del Conocimiento y la Innovación")</f>
        <v>Gestión del Conocimiento y la Innovación</v>
      </c>
      <c r="AF132" s="47" t="str">
        <f>IFERROR(__xludf.DUMMYFUNCTION("""COMPUTED_VALUE"""),"12. Producción y consumo responsable")</f>
        <v>12. Producción y consumo responsable</v>
      </c>
      <c r="AG132" s="58">
        <f>IFERROR(__xludf.DUMMYFUNCTION("""COMPUTED_VALUE"""),4.0)</f>
        <v>4</v>
      </c>
      <c r="AH132" s="59" t="str">
        <f>IFERROR(__xludf.DUMMYFUNCTION("""COMPUTED_VALUE"""),"No se dio cumplimiento al 100% de ejcución de esta meta ")</f>
        <v>No se dio cumplimiento al 100% de ejcución de esta meta </v>
      </c>
      <c r="AI132" s="77" t="str">
        <f>IFERROR(__xludf.DUMMYFUNCTION("""COMPUTED_VALUE"""),"https://drive.google.com/file/d/16gJbXyM9jLD3s4lq58wn16mSMvuGBEP0/view?usp=sharing")</f>
        <v>https://drive.google.com/file/d/16gJbXyM9jLD3s4lq58wn16mSMvuGBEP0/view?usp=sharing</v>
      </c>
      <c r="AJ132" s="59">
        <f>IFERROR(__xludf.DUMMYFUNCTION("""COMPUTED_VALUE"""),28.0)</f>
        <v>28</v>
      </c>
      <c r="AK132" s="59" t="str">
        <f>IFERROR(__xludf.DUMMYFUNCTION("""COMPUTED_VALUE"""),"No se dio cumplimiento al 100% de ejcución de esta meta ")</f>
        <v>No se dio cumplimiento al 100% de ejcución de esta meta </v>
      </c>
      <c r="AL132" s="59">
        <f>IFERROR(__xludf.DUMMYFUNCTION("""COMPUTED_VALUE"""),44582.0)</f>
        <v>44582</v>
      </c>
      <c r="AM132" s="60"/>
      <c r="AN132" s="61" t="str">
        <f>IFERROR(IF((AO132+1)&lt;2,Alertas!$B$2&amp;TEXT(AO132,"0%")&amp;Alertas!$D$2, IF((AO132+1)=2,Alertas!$B$3,IF((AO132+1)&gt;2,Alertas!$B$4&amp;TEXT(AO132,"0%")&amp;Alertas!$D$4,AO132+1))),"Sin meta para el segundo trimestre")</f>
        <v>La ejecución de la meta registrada se encuentra por debajo de la meta programada en la formulación del plan de acción para el segundo trimestre, su porcentaje de cumplimiento es 50%, lo cual indica un incumplimiento que puede ser entendido por los entes de control como falencias en el proceso de planeación y gestión de la dependencia. se recomienda realizar acciones para garantizar el cumplimiento de la meta durante lo que resta de vigencia</v>
      </c>
      <c r="AO132" s="62">
        <f t="shared" si="2"/>
        <v>0.5</v>
      </c>
      <c r="AP132" s="61" t="str">
        <f t="shared" si="3"/>
        <v>La ejecución de la meta registrada se encuentra por debajo de la meta programada en la formulación del plan de acción para el segundo trimestre, su porcentaje de cumplimiento es 50%, lo cual indica un incumplimiento que puede ser entendido por los entes de control como falencias en el proceso de planeación y gestión de la dependencia. se recomienda realizar acciones para garantizar el cumplimiento de la meta durante lo que resta de vigencia.</v>
      </c>
      <c r="AQ132" s="63"/>
      <c r="AR132" s="64"/>
      <c r="AS132" s="65"/>
      <c r="AT132" s="65"/>
      <c r="AU132" s="66"/>
      <c r="AV132" s="67"/>
      <c r="AW132" s="68"/>
      <c r="AX132" s="63"/>
      <c r="AY132" s="64"/>
      <c r="AZ132" s="69"/>
      <c r="BA132" s="65"/>
      <c r="BB132" s="70"/>
      <c r="BC132" s="71"/>
      <c r="BD132" s="72"/>
      <c r="BE132" s="73"/>
      <c r="BF132" s="64"/>
      <c r="BG132" s="69"/>
      <c r="BH132" s="65"/>
      <c r="BI132" s="66"/>
      <c r="BJ132" s="71"/>
      <c r="BK132" s="72"/>
      <c r="BL132" s="74"/>
      <c r="BN132" s="5" t="str">
        <f t="shared" si="23"/>
        <v>-1</v>
      </c>
      <c r="BP132" s="5"/>
    </row>
    <row r="133" ht="37.5" customHeight="1">
      <c r="A133" s="45"/>
      <c r="B133" s="46">
        <f>IFERROR(__xludf.DUMMYFUNCTION("""COMPUTED_VALUE"""),131.0)</f>
        <v>131</v>
      </c>
      <c r="C133" s="47" t="str">
        <f>IFERROR(__xludf.DUMMYFUNCTION("""COMPUTED_VALUE"""),"Gestión de la información y generación del conocimiento")</f>
        <v>Gestión de la información y generación del conocimiento</v>
      </c>
      <c r="D133" s="48" t="str">
        <f>IFERROR(__xludf.DUMMYFUNCTION("""COMPUTED_VALUE"""),"Regional Cali")</f>
        <v>Regional Cali</v>
      </c>
      <c r="E133"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133" s="49">
        <f>IFERROR(__xludf.DUMMYFUNCTION("""COMPUTED_VALUE"""),2.019011000277E12)</f>
        <v>2019011000277</v>
      </c>
      <c r="G133" s="50" t="str">
        <f>IFERROR(__xludf.DUMMYFUNCTION("""COMPUTED_VALUE"""),"Investigación")</f>
        <v>Investigación</v>
      </c>
      <c r="H133" s="48" t="str">
        <f>IFERROR(__xludf.DUMMYFUNCTION("""COMPUTED_VALUE"""),"Incrementar el conocimiento científico y técnico del estado de los recursos pesqueros y de la actividad pesquera")</f>
        <v>Incrementar el conocimiento científico y técnico del estado de los recursos pesqueros y de la actividad pesquera</v>
      </c>
      <c r="I133" s="48" t="str">
        <f>IFERROR(__xludf.DUMMYFUNCTION("""COMPUTED_VALUE"""),"Documentos de investigación")</f>
        <v>Documentos de investigación</v>
      </c>
      <c r="J133" s="48" t="str">
        <f>IFERROR(__xludf.DUMMYFUNCTION("""COMPUTED_VALUE"""),"Documentos de investigación")</f>
        <v>Documentos de investigación</v>
      </c>
      <c r="K133" s="51" t="str">
        <f>IFERROR(__xludf.DUMMYFUNCTION("""COMPUTED_VALUE"""),"Gestión del área")</f>
        <v>Gestión del área</v>
      </c>
      <c r="L133" s="51" t="str">
        <f>IFERROR(__xludf.DUMMYFUNCTION("""COMPUTED_VALUE"""),"Eficacia")</f>
        <v>Eficacia</v>
      </c>
      <c r="M133" s="51" t="str">
        <f>IFERROR(__xludf.DUMMYFUNCTION("""COMPUTED_VALUE"""),"Número")</f>
        <v>Número</v>
      </c>
      <c r="N133" s="52" t="str">
        <f>IFERROR(__xludf.DUMMYFUNCTION("""COMPUTED_VALUE"""),"Reportes de monitoreo que aportan a documentos de investigación")</f>
        <v>Reportes de monitoreo que aportan a documentos de investigación</v>
      </c>
      <c r="O133" s="53"/>
      <c r="P133" s="54">
        <f>IFERROR(__xludf.DUMMYFUNCTION("""COMPUTED_VALUE"""),70.0)</f>
        <v>70</v>
      </c>
      <c r="Q133" s="55" t="str">
        <f>IFERROR(__xludf.DUMMYFUNCTION("""COMPUTED_VALUE"""),"Realizar visitas a plantas de proceso  para la recopilación de información  de Talla y Peso  del recurso Camarón blanco (L. penaeus spp )proveniente de  la pesca artesanal
")</f>
        <v>Realizar visitas a plantas de proceso  para la recopilación de información  de Talla y Peso  del recurso Camarón blanco (L. penaeus spp )proveniente de  la pesca artesanal
</v>
      </c>
      <c r="R133" s="14" t="str">
        <f>IFERROR(__xludf.DUMMYFUNCTION("""COMPUTED_VALUE"""),"Trimestral")</f>
        <v>Trimestral</v>
      </c>
      <c r="S133" s="54">
        <f>IFERROR(__xludf.DUMMYFUNCTION("""COMPUTED_VALUE"""),7.0)</f>
        <v>7</v>
      </c>
      <c r="T133" s="54">
        <f>IFERROR(__xludf.DUMMYFUNCTION("""COMPUTED_VALUE"""),17.0)</f>
        <v>17</v>
      </c>
      <c r="U133" s="54">
        <f>IFERROR(__xludf.DUMMYFUNCTION("""COMPUTED_VALUE"""),26.0)</f>
        <v>26</v>
      </c>
      <c r="V133" s="54">
        <f>IFERROR(__xludf.DUMMYFUNCTION("""COMPUTED_VALUE"""),20.0)</f>
        <v>20</v>
      </c>
      <c r="W133" s="56" t="str">
        <f>IFERROR(__xludf.DUMMYFUNCTION("""COMPUTED_VALUE"""),"Regional Cali")</f>
        <v>Regional Cali</v>
      </c>
      <c r="X133" s="57" t="str">
        <f>IFERROR(__xludf.DUMMYFUNCTION("""COMPUTED_VALUE"""),"Sandra Amgulo")</f>
        <v>Sandra Amgulo</v>
      </c>
      <c r="Y133" s="47" t="str">
        <f>IFERROR(__xludf.DUMMYFUNCTION("""COMPUTED_VALUE"""),"Director Regional")</f>
        <v>Director Regional</v>
      </c>
      <c r="Z133" s="57" t="str">
        <f>IFERROR(__xludf.DUMMYFUNCTION("""COMPUTED_VALUE"""),"sandra.angulo@aunap.gov.co")</f>
        <v>sandra.angulo@aunap.gov.co</v>
      </c>
      <c r="AA133" s="47" t="str">
        <f>IFERROR(__xludf.DUMMYFUNCTION("""COMPUTED_VALUE"""),"Humanos, fisicos, financieros y tecnologicos")</f>
        <v>Humanos, fisicos, financieros y tecnologicos</v>
      </c>
      <c r="AB133" s="47" t="str">
        <f>IFERROR(__xludf.DUMMYFUNCTION("""COMPUTED_VALUE"""),"No asociado")</f>
        <v>No asociado</v>
      </c>
      <c r="AC133"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33" s="47" t="str">
        <f>IFERROR(__xludf.DUMMYFUNCTION("""COMPUTED_VALUE"""),"Gestión del conocimiento")</f>
        <v>Gestión del conocimiento</v>
      </c>
      <c r="AE133" s="47" t="str">
        <f>IFERROR(__xludf.DUMMYFUNCTION("""COMPUTED_VALUE"""),"Gestión del Conocimiento y la Innovación")</f>
        <v>Gestión del Conocimiento y la Innovación</v>
      </c>
      <c r="AF133" s="47" t="str">
        <f>IFERROR(__xludf.DUMMYFUNCTION("""COMPUTED_VALUE"""),"12. Producción y consumo responsable")</f>
        <v>12. Producción y consumo responsable</v>
      </c>
      <c r="AG133" s="58">
        <f>IFERROR(__xludf.DUMMYFUNCTION("""COMPUTED_VALUE"""),20.0)</f>
        <v>20</v>
      </c>
      <c r="AH133" s="59" t="str">
        <f>IFERROR(__xludf.DUMMYFUNCTION("""COMPUTED_VALUE"""),"Se cumplio la meta establecida en un 100%")</f>
        <v>Se cumplio la meta establecida en un 100%</v>
      </c>
      <c r="AI133" s="77" t="str">
        <f>IFERROR(__xludf.DUMMYFUNCTION("""COMPUTED_VALUE"""),"https://drive.google.com/file/d/1-J04XdmGsBP9_5e4AKsdHKasc0AdenKc/view?usp=sharing")</f>
        <v>https://drive.google.com/file/d/1-J04XdmGsBP9_5e4AKsdHKasc0AdenKc/view?usp=sharing</v>
      </c>
      <c r="AJ133" s="59">
        <f>IFERROR(__xludf.DUMMYFUNCTION("""COMPUTED_VALUE"""),76.0)</f>
        <v>76</v>
      </c>
      <c r="AK133" s="59" t="str">
        <f>IFERROR(__xludf.DUMMYFUNCTION("""COMPUTED_VALUE"""),"Se dio cumplimiento al 100% de la meta establecida")</f>
        <v>Se dio cumplimiento al 100% de la meta establecida</v>
      </c>
      <c r="AL133" s="59">
        <f>IFERROR(__xludf.DUMMYFUNCTION("""COMPUTED_VALUE"""),44582.0)</f>
        <v>44582</v>
      </c>
      <c r="AM133" s="60"/>
      <c r="AN133" s="61" t="str">
        <f>IFERROR(IF((AO133+1)&lt;2,Alertas!$B$2&amp;TEXT(AO133,"0%")&amp;Alertas!$D$2, IF((AO133+1)=2,Alertas!$B$3,IF((AO133+1)&gt;2,Alertas!$B$4&amp;TEXT(AO133,"0%")&amp;Alertas!$D$4,AO133+1))),"Sin meta para el segundo trimestre")</f>
        <v>La ejecución de la meta registrada se encuentra por encima de la meta programada en la formulación del plan de acción para el segundo trimestre, su porcentaje de cumplimiento es 118%,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33" s="62">
        <f t="shared" si="2"/>
        <v>1.176470588</v>
      </c>
      <c r="AP133" s="61" t="str">
        <f t="shared" si="3"/>
        <v>La ejecución de la meta registrada se encuentra por encima de la meta programada en la formulación del plan de acción para el segundo trimestre, su porcentaje de cumplimiento es 118%,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33" s="63"/>
      <c r="AR133" s="64"/>
      <c r="AS133" s="65"/>
      <c r="AT133" s="65"/>
      <c r="AU133" s="66"/>
      <c r="AV133" s="67"/>
      <c r="AW133" s="68"/>
      <c r="AX133" s="63"/>
      <c r="AY133" s="64"/>
      <c r="AZ133" s="69"/>
      <c r="BA133" s="65"/>
      <c r="BB133" s="70"/>
      <c r="BC133" s="71"/>
      <c r="BD133" s="72"/>
      <c r="BE133" s="73"/>
      <c r="BF133" s="64"/>
      <c r="BG133" s="69"/>
      <c r="BH133" s="65"/>
      <c r="BI133" s="66"/>
      <c r="BJ133" s="71"/>
      <c r="BK133" s="72"/>
      <c r="BL133" s="74"/>
      <c r="BN133" s="5" t="str">
        <f t="shared" si="23"/>
        <v>1</v>
      </c>
      <c r="BP133" s="5"/>
    </row>
    <row r="134" ht="37.5" customHeight="1">
      <c r="A134" s="45"/>
      <c r="B134" s="46">
        <f>IFERROR(__xludf.DUMMYFUNCTION("""COMPUTED_VALUE"""),132.0)</f>
        <v>132</v>
      </c>
      <c r="C134" s="47" t="str">
        <f>IFERROR(__xludf.DUMMYFUNCTION("""COMPUTED_VALUE"""),"Gestión de la información y generación del conocimiento")</f>
        <v>Gestión de la información y generación del conocimiento</v>
      </c>
      <c r="D134" s="48" t="str">
        <f>IFERROR(__xludf.DUMMYFUNCTION("""COMPUTED_VALUE"""),"Regional Cali")</f>
        <v>Regional Cali</v>
      </c>
      <c r="E134" s="48" t="str">
        <f>IFERROR(__xludf.DUMMYFUNCTION("""COMPUTED_VALUE"""),"Desarrollo de actividades de investigación para la generación de conocimiento científico, técnico, social y económico de la pesca y la acuicultura a nivel nacional")</f>
        <v>Desarrollo de actividades de investigación para la generación de conocimiento científico, técnico, social y económico de la pesca y la acuicultura a nivel nacional</v>
      </c>
      <c r="F134" s="49">
        <f>IFERROR(__xludf.DUMMYFUNCTION("""COMPUTED_VALUE"""),2.019011000277E12)</f>
        <v>2019011000277</v>
      </c>
      <c r="G134" s="50" t="str">
        <f>IFERROR(__xludf.DUMMYFUNCTION("""COMPUTED_VALUE"""),"Investigación")</f>
        <v>Investigación</v>
      </c>
      <c r="H134" s="48" t="str">
        <f>IFERROR(__xludf.DUMMYFUNCTION("""COMPUTED_VALUE"""),"Incrementar el conocimiento científico y técnico del estado de los recursos pesqueros y de la actividad pesquera")</f>
        <v>Incrementar el conocimiento científico y técnico del estado de los recursos pesqueros y de la actividad pesquera</v>
      </c>
      <c r="I134" s="48" t="str">
        <f>IFERROR(__xludf.DUMMYFUNCTION("""COMPUTED_VALUE"""),"Documentos de investigación")</f>
        <v>Documentos de investigación</v>
      </c>
      <c r="J134" s="48" t="str">
        <f>IFERROR(__xludf.DUMMYFUNCTION("""COMPUTED_VALUE"""),"Documentos de investigación")</f>
        <v>Documentos de investigación</v>
      </c>
      <c r="K134" s="51" t="str">
        <f>IFERROR(__xludf.DUMMYFUNCTION("""COMPUTED_VALUE"""),"Gestión del área")</f>
        <v>Gestión del área</v>
      </c>
      <c r="L134" s="51" t="str">
        <f>IFERROR(__xludf.DUMMYFUNCTION("""COMPUTED_VALUE"""),"Eficacia")</f>
        <v>Eficacia</v>
      </c>
      <c r="M134" s="51" t="str">
        <f>IFERROR(__xludf.DUMMYFUNCTION("""COMPUTED_VALUE"""),"Número")</f>
        <v>Número</v>
      </c>
      <c r="N134" s="52" t="str">
        <f>IFERROR(__xludf.DUMMYFUNCTION("""COMPUTED_VALUE"""),"Reportes de monitoreo que aportan a documentos de investigación")</f>
        <v>Reportes de monitoreo que aportan a documentos de investigación</v>
      </c>
      <c r="O134" s="53"/>
      <c r="P134" s="54">
        <f>IFERROR(__xludf.DUMMYFUNCTION("""COMPUTED_VALUE"""),19.0)</f>
        <v>19</v>
      </c>
      <c r="Q134" s="55" t="str">
        <f>IFERROR(__xludf.DUMMYFUNCTION("""COMPUTED_VALUE"""),"Realizar salidas de campo  para la recopilación de información biológica pesquera.sel recurso piangua (anadara)
")</f>
        <v>Realizar salidas de campo  para la recopilación de información biológica pesquera.sel recurso piangua (anadara)
</v>
      </c>
      <c r="R134" s="14" t="str">
        <f>IFERROR(__xludf.DUMMYFUNCTION("""COMPUTED_VALUE"""),"Trimestral")</f>
        <v>Trimestral</v>
      </c>
      <c r="S134" s="54">
        <f>IFERROR(__xludf.DUMMYFUNCTION("""COMPUTED_VALUE"""),2.0)</f>
        <v>2</v>
      </c>
      <c r="T134" s="54">
        <f>IFERROR(__xludf.DUMMYFUNCTION("""COMPUTED_VALUE"""),5.0)</f>
        <v>5</v>
      </c>
      <c r="U134" s="54">
        <f>IFERROR(__xludf.DUMMYFUNCTION("""COMPUTED_VALUE"""),6.0)</f>
        <v>6</v>
      </c>
      <c r="V134" s="54">
        <f>IFERROR(__xludf.DUMMYFUNCTION("""COMPUTED_VALUE"""),6.0)</f>
        <v>6</v>
      </c>
      <c r="W134" s="56" t="str">
        <f>IFERROR(__xludf.DUMMYFUNCTION("""COMPUTED_VALUE"""),"Regional Cali")</f>
        <v>Regional Cali</v>
      </c>
      <c r="X134" s="57" t="str">
        <f>IFERROR(__xludf.DUMMYFUNCTION("""COMPUTED_VALUE"""),"Sandra Amgulo")</f>
        <v>Sandra Amgulo</v>
      </c>
      <c r="Y134" s="47" t="str">
        <f>IFERROR(__xludf.DUMMYFUNCTION("""COMPUTED_VALUE"""),"Director Regional")</f>
        <v>Director Regional</v>
      </c>
      <c r="Z134" s="57" t="str">
        <f>IFERROR(__xludf.DUMMYFUNCTION("""COMPUTED_VALUE"""),"sandra.angulo@aunap.gov.co")</f>
        <v>sandra.angulo@aunap.gov.co</v>
      </c>
      <c r="AA134" s="47" t="str">
        <f>IFERROR(__xludf.DUMMYFUNCTION("""COMPUTED_VALUE"""),"Humanos, fisicos, financieros y tecnologicos")</f>
        <v>Humanos, fisicos, financieros y tecnologicos</v>
      </c>
      <c r="AB134" s="47" t="str">
        <f>IFERROR(__xludf.DUMMYFUNCTION("""COMPUTED_VALUE"""),"No asociado")</f>
        <v>No asociado</v>
      </c>
      <c r="AC134"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34" s="47" t="str">
        <f>IFERROR(__xludf.DUMMYFUNCTION("""COMPUTED_VALUE"""),"Gestión del conocimiento")</f>
        <v>Gestión del conocimiento</v>
      </c>
      <c r="AE134" s="47" t="str">
        <f>IFERROR(__xludf.DUMMYFUNCTION("""COMPUTED_VALUE"""),"Gestión del Conocimiento y la Innovación")</f>
        <v>Gestión del Conocimiento y la Innovación</v>
      </c>
      <c r="AF134" s="47" t="str">
        <f>IFERROR(__xludf.DUMMYFUNCTION("""COMPUTED_VALUE"""),"12. Producción y consumo responsable")</f>
        <v>12. Producción y consumo responsable</v>
      </c>
      <c r="AG134" s="58">
        <f>IFERROR(__xludf.DUMMYFUNCTION("""COMPUTED_VALUE"""),6.0)</f>
        <v>6</v>
      </c>
      <c r="AH134" s="59" t="str">
        <f>IFERROR(__xludf.DUMMYFUNCTION("""COMPUTED_VALUE"""),"Se cumplio la meta establecida en un 100%")</f>
        <v>Se cumplio la meta establecida en un 100%</v>
      </c>
      <c r="AI134" s="77" t="str">
        <f>IFERROR(__xludf.DUMMYFUNCTION("""COMPUTED_VALUE"""),"https://drive.google.com/file/d/1-J04XdmGsBP9_5e4AKsdHKasc0AdenKc/view?usp=sharing")</f>
        <v>https://drive.google.com/file/d/1-J04XdmGsBP9_5e4AKsdHKasc0AdenKc/view?usp=sharing</v>
      </c>
      <c r="AJ134" s="59">
        <f>IFERROR(__xludf.DUMMYFUNCTION("""COMPUTED_VALUE"""),19.0)</f>
        <v>19</v>
      </c>
      <c r="AK134" s="59" t="str">
        <f>IFERROR(__xludf.DUMMYFUNCTION("""COMPUTED_VALUE"""),"Se dio cumplimiento al 100% de la meta establecida")</f>
        <v>Se dio cumplimiento al 100% de la meta establecida</v>
      </c>
      <c r="AL134" s="59">
        <f>IFERROR(__xludf.DUMMYFUNCTION("""COMPUTED_VALUE"""),44582.0)</f>
        <v>44582</v>
      </c>
      <c r="AM134" s="60"/>
      <c r="AN134" s="61" t="str">
        <f>IFERROR(IF((AO134+1)&lt;2,Alertas!$B$2&amp;TEXT(AO134,"0%")&amp;Alertas!$D$2, IF((AO134+1)=2,Alertas!$B$3,IF((AO134+1)&gt;2,Alertas!$B$4&amp;TEXT(AO134,"0%")&amp;Alertas!$D$4,AO134+1))),"Sin meta para el segundo trimestre")</f>
        <v>La ejecución de la meta registrada se encuentra por encima de la meta programada en la formulación del plan de acción para el segundo trimestre, su porcentaje de cumplimiento es 120%,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34" s="62">
        <f t="shared" si="2"/>
        <v>1.2</v>
      </c>
      <c r="AP134" s="61" t="str">
        <f t="shared" si="3"/>
        <v>La ejecución de la meta registrada se encuentra por encima de la meta programada en la formulación del plan de acción para el segundo trimestre, su porcentaje de cumplimiento es 120%,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34" s="63"/>
      <c r="AR134" s="64"/>
      <c r="AS134" s="65"/>
      <c r="AT134" s="65"/>
      <c r="AU134" s="66"/>
      <c r="AV134" s="67"/>
      <c r="AW134" s="68"/>
      <c r="AX134" s="63"/>
      <c r="AY134" s="64"/>
      <c r="AZ134" s="69"/>
      <c r="BA134" s="65"/>
      <c r="BB134" s="70"/>
      <c r="BC134" s="71"/>
      <c r="BD134" s="72"/>
      <c r="BE134" s="73"/>
      <c r="BF134" s="64"/>
      <c r="BG134" s="69"/>
      <c r="BH134" s="65"/>
      <c r="BI134" s="66"/>
      <c r="BJ134" s="71"/>
      <c r="BK134" s="72"/>
      <c r="BL134" s="74"/>
      <c r="BN134" s="5" t="str">
        <f t="shared" si="23"/>
        <v>1</v>
      </c>
      <c r="BP134" s="5"/>
    </row>
    <row r="135" ht="37.5" customHeight="1">
      <c r="A135" s="45"/>
      <c r="B135" s="46">
        <f>IFERROR(__xludf.DUMMYFUNCTION("""COMPUTED_VALUE"""),133.0)</f>
        <v>133</v>
      </c>
      <c r="C135" s="47" t="str">
        <f>IFERROR(__xludf.DUMMYFUNCTION("""COMPUTED_VALUE"""),"Gestión de la inspección y vigilancia")</f>
        <v>Gestión de la inspección y vigilancia</v>
      </c>
      <c r="D135" s="48" t="str">
        <f>IFERROR(__xludf.DUMMYFUNCTION("""COMPUTED_VALUE"""),"Regional Magangué")</f>
        <v>Regional Magangué</v>
      </c>
      <c r="E135"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35" s="49">
        <f>IFERROR(__xludf.DUMMYFUNCTION("""COMPUTED_VALUE"""),2.019011000276E12)</f>
        <v>2019011000276</v>
      </c>
      <c r="G135" s="50" t="str">
        <f>IFERROR(__xludf.DUMMYFUNCTION("""COMPUTED_VALUE"""),"Inspección")</f>
        <v>Inspección</v>
      </c>
      <c r="H135" s="48" t="str">
        <f>IFERROR(__xludf.DUMMYFUNCTION("""COMPUTED_VALUE"""),"Fortalecer los mecanismos de seguimiento y control de la actividad pesquera y de la acuicultura.")</f>
        <v>Fortalecer los mecanismos de seguimiento y control de la actividad pesquera y de la acuicultura.</v>
      </c>
      <c r="I135" s="48" t="str">
        <f>IFERROR(__xludf.DUMMYFUNCTION("""COMPUTED_VALUE"""),"Servicio de inspección, vigilancia y control de la pesca y la acuicultura")</f>
        <v>Servicio de inspección, vigilancia y control de la pesca y la acuicultura</v>
      </c>
      <c r="J135" s="48" t="str">
        <f>IFERROR(__xludf.DUMMYFUNCTION("""COMPUTED_VALUE"""),"Realizar los operativos de inspección, vigilancia y control.")</f>
        <v>Realizar los operativos de inspección, vigilancia y control.</v>
      </c>
      <c r="K135" s="51" t="str">
        <f>IFERROR(__xludf.DUMMYFUNCTION("""COMPUTED_VALUE"""),"Producto")</f>
        <v>Producto</v>
      </c>
      <c r="L135" s="51" t="str">
        <f>IFERROR(__xludf.DUMMYFUNCTION("""COMPUTED_VALUE"""),"Eficacia")</f>
        <v>Eficacia</v>
      </c>
      <c r="M135" s="51" t="str">
        <f>IFERROR(__xludf.DUMMYFUNCTION("""COMPUTED_VALUE"""),"Número")</f>
        <v>Número</v>
      </c>
      <c r="N135" s="52" t="str">
        <f>IFERROR(__xludf.DUMMYFUNCTION("""COMPUTED_VALUE"""),"Operativos de inspección, vigilancia y control realizados")</f>
        <v>Operativos de inspección, vigilancia y control realizados</v>
      </c>
      <c r="O135" s="53">
        <f>IFERROR(__xludf.DUMMYFUNCTION("""COMPUTED_VALUE"""),157.0)</f>
        <v>157</v>
      </c>
      <c r="P135" s="54">
        <f>IFERROR(__xludf.DUMMYFUNCTION("""COMPUTED_VALUE"""),240.0)</f>
        <v>240</v>
      </c>
      <c r="Q135" s="55" t="str">
        <f>IFERROR(__xludf.DUMMYFUNCTION("""COMPUTED_VALUE"""),"Realizar operativos de control")</f>
        <v>Realizar operativos de control</v>
      </c>
      <c r="R135" s="14" t="str">
        <f>IFERROR(__xludf.DUMMYFUNCTION("""COMPUTED_VALUE"""),"Trimestral")</f>
        <v>Trimestral</v>
      </c>
      <c r="S135" s="54">
        <f>IFERROR(__xludf.DUMMYFUNCTION("""COMPUTED_VALUE"""),40.0)</f>
        <v>40</v>
      </c>
      <c r="T135" s="54">
        <f>IFERROR(__xludf.DUMMYFUNCTION("""COMPUTED_VALUE"""),70.0)</f>
        <v>70</v>
      </c>
      <c r="U135" s="54">
        <f>IFERROR(__xludf.DUMMYFUNCTION("""COMPUTED_VALUE"""),70.0)</f>
        <v>70</v>
      </c>
      <c r="V135" s="54">
        <f>IFERROR(__xludf.DUMMYFUNCTION("""COMPUTED_VALUE"""),60.0)</f>
        <v>60</v>
      </c>
      <c r="W135" s="56" t="str">
        <f>IFERROR(__xludf.DUMMYFUNCTION("""COMPUTED_VALUE"""),"Regional Magangue")</f>
        <v>Regional Magangue</v>
      </c>
      <c r="X135" s="57" t="str">
        <f>IFERROR(__xludf.DUMMYFUNCTION("""COMPUTED_VALUE"""),"Javier Ovalle")</f>
        <v>Javier Ovalle</v>
      </c>
      <c r="Y135" s="47" t="str">
        <f>IFERROR(__xludf.DUMMYFUNCTION("""COMPUTED_VALUE"""),"Director regional Magangue")</f>
        <v>Director regional Magangue</v>
      </c>
      <c r="Z135" s="57" t="str">
        <f>IFERROR(__xludf.DUMMYFUNCTION("""COMPUTED_VALUE"""),"javier.Ovalle@aunap.gov.co")</f>
        <v>javier.Ovalle@aunap.gov.co</v>
      </c>
      <c r="AA135" s="47" t="str">
        <f>IFERROR(__xludf.DUMMYFUNCTION("""COMPUTED_VALUE"""),"Humanos, Físicos, Financieros, Tecnológicos")</f>
        <v>Humanos, Físicos, Financieros, Tecnológicos</v>
      </c>
      <c r="AB135" s="47" t="str">
        <f>IFERROR(__xludf.DUMMYFUNCTION("""COMPUTED_VALUE"""),"Plan Anticorrupción y de Atención al Ciudadano - PAAC")</f>
        <v>Plan Anticorrupción y de Atención al Ciudadano - PAAC</v>
      </c>
      <c r="AC135"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35" s="47" t="str">
        <f>IFERROR(__xludf.DUMMYFUNCTION("""COMPUTED_VALUE"""),"Direccionamiento Estratégico")</f>
        <v>Direccionamiento Estratégico</v>
      </c>
      <c r="AE135" s="47" t="str">
        <f>IFERROR(__xludf.DUMMYFUNCTION("""COMPUTED_VALUE"""),"Planeación Institucional")</f>
        <v>Planeación Institucional</v>
      </c>
      <c r="AF135" s="47" t="str">
        <f>IFERROR(__xludf.DUMMYFUNCTION("""COMPUTED_VALUE"""),"8. Trabajo decente y crecimiento económico")</f>
        <v>8. Trabajo decente y crecimiento económico</v>
      </c>
      <c r="AG135" s="58">
        <f>IFERROR(__xludf.DUMMYFUNCTION("""COMPUTED_VALUE"""),78.0)</f>
        <v>78</v>
      </c>
      <c r="AH135" s="59" t="str">
        <f>IFERROR(__xludf.DUMMYFUNCTION("""COMPUTED_VALUE"""),"En el trimestre se realizo un total de 78 Operativos distribuidos asi:  OCTUBRE  34 Operativos Decomisos 3 embarcaciones20 y comerciantes 11.  Mes de NOVIEMBRE 38 OPERATIVOS ASI: a embarcaciones 18 y a Comerciantes 20.  Mes de DICIEMBRE  6 Operativos a Co"&amp;"merciantes 4 y a embarcaciones 2.    En este trimestre hicimos mas de lo programado por la demanda en el  año  de 2021")</f>
        <v>En el trimestre se realizo un total de 78 Operativos distribuidos asi:  OCTUBRE  34 Operativos Decomisos 3 embarcaciones20 y comerciantes 11.  Mes de NOVIEMBRE 38 OPERATIVOS ASI: a embarcaciones 18 y a Comerciantes 20.  Mes de DICIEMBRE  6 Operativos a Comerciantes 4 y a embarcaciones 2.    En este trimestre hicimos mas de lo programado por la demanda en el  año  de 2021</v>
      </c>
      <c r="AI135" s="77" t="str">
        <f>IFERROR(__xludf.DUMMYFUNCTION("""COMPUTED_VALUE"""),"https://drive.google.com/drive/folders/1ZE4JC4fzH88rL4y8tRiYs7wix7malqCP?usp=sharing")</f>
        <v>https://drive.google.com/drive/folders/1ZE4JC4fzH88rL4y8tRiYs7wix7malqCP?usp=sharing</v>
      </c>
      <c r="AJ135" s="59">
        <f>IFERROR(__xludf.DUMMYFUNCTION("""COMPUTED_VALUE"""),262.0)</f>
        <v>262</v>
      </c>
      <c r="AK135" s="59" t="str">
        <f>IFERROR(__xludf.DUMMYFUNCTION("""COMPUTED_VALUE"""),"En el año se hizo 22 operativos de mas por las demandas en las solicitudes y apoyo de la Armada")</f>
        <v>En el año se hizo 22 operativos de mas por las demandas en las solicitudes y apoyo de la Armada</v>
      </c>
      <c r="AL135" s="59">
        <f>IFERROR(__xludf.DUMMYFUNCTION("""COMPUTED_VALUE"""),44582.0)</f>
        <v>44582</v>
      </c>
      <c r="AM135" s="60"/>
      <c r="AN135" s="61" t="str">
        <f>IFERROR(IF((AO135+1)&lt;2,Alertas!$B$2&amp;TEXT(AO135,"0%")&amp;Alertas!$D$2, IF((AO135+1)=2,Alertas!$B$3,IF((AO135+1)&gt;2,Alertas!$B$4&amp;TEXT(AO135,"0%")&amp;Alertas!$D$4,AO135+1))),"Sin meta para el segundo trimestre")</f>
        <v>La ejecución de la meta registrada se encuentra por encima de la meta programada en la formulación del plan de acción para el segundo trimestre, su porcentaje de cumplimiento es 111%,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35" s="62">
        <f t="shared" si="2"/>
        <v>1.114285714</v>
      </c>
      <c r="AP135" s="61" t="str">
        <f t="shared" si="3"/>
        <v>La ejecución de la meta registrada se encuentra por encima de la meta programada en la formulación del plan de acción para el segundo trimestre, su porcentaje de cumplimiento es 111%,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35" s="63"/>
      <c r="AR135" s="64"/>
      <c r="AS135" s="65"/>
      <c r="AT135" s="65"/>
      <c r="AU135" s="66"/>
      <c r="AV135" s="67"/>
      <c r="AW135" s="68"/>
      <c r="AX135" s="63"/>
      <c r="AY135" s="64"/>
      <c r="AZ135" s="69"/>
      <c r="BA135" s="65"/>
      <c r="BB135" s="70"/>
      <c r="BC135" s="71"/>
      <c r="BD135" s="72"/>
      <c r="BE135" s="73"/>
      <c r="BF135" s="64"/>
      <c r="BG135" s="69"/>
      <c r="BH135" s="65"/>
      <c r="BI135" s="66"/>
      <c r="BJ135" s="71"/>
      <c r="BK135" s="72"/>
      <c r="BL135" s="74"/>
      <c r="BN135" s="5" t="str">
        <f t="shared" si="23"/>
        <v>1</v>
      </c>
      <c r="BP135" s="5"/>
    </row>
    <row r="136" ht="37.5" customHeight="1">
      <c r="A136" s="45"/>
      <c r="B136" s="46">
        <f>IFERROR(__xludf.DUMMYFUNCTION("""COMPUTED_VALUE"""),134.0)</f>
        <v>134</v>
      </c>
      <c r="C136" s="47" t="str">
        <f>IFERROR(__xludf.DUMMYFUNCTION("""COMPUTED_VALUE"""),"Gestión de la administración y fomento")</f>
        <v>Gestión de la administración y fomento</v>
      </c>
      <c r="D136" s="48" t="str">
        <f>IFERROR(__xludf.DUMMYFUNCTION("""COMPUTED_VALUE"""),"Regional Magangué")</f>
        <v>Regional Magangué</v>
      </c>
      <c r="E136" s="48" t="str">
        <f>IFERROR(__xludf.DUMMYFUNCTION("""COMPUTED_VALUE"""),"Fortalecimiento de la sostenibilidad del sector pesquero y de la acuicultura en el territorio nacional")</f>
        <v>Fortalecimiento de la sostenibilidad del sector pesquero y de la acuicultura en el territorio nacional</v>
      </c>
      <c r="F136" s="49">
        <f>IFERROR(__xludf.DUMMYFUNCTION("""COMPUTED_VALUE"""),2.01901100028E12)</f>
        <v>2019011000280</v>
      </c>
      <c r="G136" s="50" t="str">
        <f>IFERROR(__xludf.DUMMYFUNCTION("""COMPUTED_VALUE"""),"Sostenibilidad")</f>
        <v>Sostenibilidad</v>
      </c>
      <c r="H136" s="48" t="str">
        <f>IFERROR(__xludf.DUMMYFUNCTION("""COMPUTED_VALUE"""),"Aumentar el conocimiento de la normatividad pesquera y de la acuicultura por parte de la comunidad.")</f>
        <v>Aumentar el conocimiento de la normatividad pesquera y de la acuicultura por parte de la comunidad.</v>
      </c>
      <c r="I136" s="48" t="str">
        <f>IFERROR(__xludf.DUMMYFUNCTION("""COMPUTED_VALUE"""),"Servicio de divulgación y socialización")</f>
        <v>Servicio de divulgación y socialización</v>
      </c>
      <c r="J136" s="48" t="str">
        <f>IFERROR(__xludf.DUMMYFUNCTION("""COMPUTED_VALUE"""),"Implementar las estrategias de socialización y Divulgación a la comunidad")</f>
        <v>Implementar las estrategias de socialización y Divulgación a la comunidad</v>
      </c>
      <c r="K136" s="51" t="str">
        <f>IFERROR(__xludf.DUMMYFUNCTION("""COMPUTED_VALUE"""),"Gestión del área")</f>
        <v>Gestión del área</v>
      </c>
      <c r="L136" s="51" t="str">
        <f>IFERROR(__xludf.DUMMYFUNCTION("""COMPUTED_VALUE"""),"Eficacia")</f>
        <v>Eficacia</v>
      </c>
      <c r="M136" s="51" t="str">
        <f>IFERROR(__xludf.DUMMYFUNCTION("""COMPUTED_VALUE"""),"Número")</f>
        <v>Número</v>
      </c>
      <c r="N136" s="52" t="str">
        <f>IFERROR(__xludf.DUMMYFUNCTION("""COMPUTED_VALUE"""),"Número de eventos realizados/Número de eventos programados")</f>
        <v>Número de eventos realizados/Número de eventos programados</v>
      </c>
      <c r="O136" s="53"/>
      <c r="P136" s="54">
        <f>IFERROR(__xludf.DUMMYFUNCTION("""COMPUTED_VALUE"""),60.0)</f>
        <v>60</v>
      </c>
      <c r="Q136" s="55" t="str">
        <f>IFERROR(__xludf.DUMMYFUNCTION("""COMPUTED_VALUE"""),"Numero de eventos de divulgacion y socializacion nivel nacional en pro de disminuir las malas practicas,en el ejercicio del control y vigilancia preventiva de la actividad pesquera y acuicula")</f>
        <v>Numero de eventos de divulgacion y socializacion nivel nacional en pro de disminuir las malas practicas,en el ejercicio del control y vigilancia preventiva de la actividad pesquera y acuicula</v>
      </c>
      <c r="R136" s="14" t="str">
        <f>IFERROR(__xludf.DUMMYFUNCTION("""COMPUTED_VALUE"""),"trimestral")</f>
        <v>trimestral</v>
      </c>
      <c r="S136" s="54">
        <f>IFERROR(__xludf.DUMMYFUNCTION("""COMPUTED_VALUE"""),10.0)</f>
        <v>10</v>
      </c>
      <c r="T136" s="54">
        <f>IFERROR(__xludf.DUMMYFUNCTION("""COMPUTED_VALUE"""),20.0)</f>
        <v>20</v>
      </c>
      <c r="U136" s="54">
        <f>IFERROR(__xludf.DUMMYFUNCTION("""COMPUTED_VALUE"""),20.0)</f>
        <v>20</v>
      </c>
      <c r="V136" s="54">
        <f>IFERROR(__xludf.DUMMYFUNCTION("""COMPUTED_VALUE"""),10.0)</f>
        <v>10</v>
      </c>
      <c r="W136" s="56" t="str">
        <f>IFERROR(__xludf.DUMMYFUNCTION("""COMPUTED_VALUE"""),"Regional Magangue")</f>
        <v>Regional Magangue</v>
      </c>
      <c r="X136" s="57" t="str">
        <f>IFERROR(__xludf.DUMMYFUNCTION("""COMPUTED_VALUE"""),"Javier Ovalle")</f>
        <v>Javier Ovalle</v>
      </c>
      <c r="Y136" s="47" t="str">
        <f>IFERROR(__xludf.DUMMYFUNCTION("""COMPUTED_VALUE"""),"Director regional Magangue")</f>
        <v>Director regional Magangue</v>
      </c>
      <c r="Z136" s="57" t="str">
        <f>IFERROR(__xludf.DUMMYFUNCTION("""COMPUTED_VALUE"""),"javier.Ovalle@aunap.gov.co")</f>
        <v>javier.Ovalle@aunap.gov.co</v>
      </c>
      <c r="AA136" s="47" t="str">
        <f>IFERROR(__xludf.DUMMYFUNCTION("""COMPUTED_VALUE"""),"Humanos, Físicos, Financieros, Tecnológicos")</f>
        <v>Humanos, Físicos, Financieros, Tecnológicos</v>
      </c>
      <c r="AB136" s="47" t="str">
        <f>IFERROR(__xludf.DUMMYFUNCTION("""COMPUTED_VALUE"""),"Plan Anticorrupción y de Atención al Ciudadano - PAAC")</f>
        <v>Plan Anticorrupción y de Atención al Ciudadano - PAAC</v>
      </c>
      <c r="AC136" s="47" t="str">
        <f>IFERROR(__xludf.DUMMYFUNCTION("""COMPUTED_VALUE"""),"Llegar con actividades de pesca y acuicultura a todas las regiones")</f>
        <v>Llegar con actividades de pesca y acuicultura a todas las regiones</v>
      </c>
      <c r="AD136" s="47" t="str">
        <f>IFERROR(__xludf.DUMMYFUNCTION("""COMPUTED_VALUE"""),"Gestión con valores para resultados")</f>
        <v>Gestión con valores para resultados</v>
      </c>
      <c r="AE136" s="47" t="str">
        <f>IFERROR(__xludf.DUMMYFUNCTION("""COMPUTED_VALUE"""),"Fortalecimiento Organizacional y Simplificación de Procesos")</f>
        <v>Fortalecimiento Organizacional y Simplificación de Procesos</v>
      </c>
      <c r="AF136" s="47" t="str">
        <f>IFERROR(__xludf.DUMMYFUNCTION("""COMPUTED_VALUE"""),"12. Producción y consumo responsable")</f>
        <v>12. Producción y consumo responsable</v>
      </c>
      <c r="AG136" s="58">
        <f>IFERROR(__xludf.DUMMYFUNCTION("""COMPUTED_VALUE"""),7.0)</f>
        <v>7</v>
      </c>
      <c r="AH136" s="59" t="str">
        <f>IFERROR(__xludf.DUMMYFUNCTION("""COMPUTED_VALUE"""),"Durante el cuarto  trimestre se hizo un total de 7 eventos de divulgación y socialización a los pescadores en la zona distribuidos así: Mes de OCTUBRE un total de 5 y en el Mes de NOVIEMBRE 2, nos hemos pasamos debido a que se divulgó la Veda del Bagre Ra"&amp;"yado")</f>
        <v>Durante el cuarto  trimestre se hizo un total de 7 eventos de divulgación y socialización a los pescadores en la zona distribuidos así: Mes de OCTUBRE un total de 5 y en el Mes de NOVIEMBRE 2, nos hemos pasamos debido a que se divulgó la Veda del Bagre Rayado</v>
      </c>
      <c r="AI136" s="77" t="str">
        <f>IFERROR(__xludf.DUMMYFUNCTION("""COMPUTED_VALUE"""),"https://drive.google.com/drive/folders/1j7s9am9Aa76K6BtTu_p-qoIxzY_0B6i7?usp=sharing")</f>
        <v>https://drive.google.com/drive/folders/1j7s9am9Aa76K6BtTu_p-qoIxzY_0B6i7?usp=sharing</v>
      </c>
      <c r="AJ136" s="59">
        <f>IFERROR(__xludf.DUMMYFUNCTION("""COMPUTED_VALUE"""),78.0)</f>
        <v>78</v>
      </c>
      <c r="AK136" s="59" t="str">
        <f>IFERROR(__xludf.DUMMYFUNCTION("""COMPUTED_VALUE"""),"Durante el año se hizo un total de 78 eventos de divulgación a las asociaciones y pescadores en General , tambien huvo bastante solicitudes a las que se tuvo que atender y por eso nos pasamos de la meta programada del año")</f>
        <v>Durante el año se hizo un total de 78 eventos de divulgación a las asociaciones y pescadores en General , tambien huvo bastante solicitudes a las que se tuvo que atender y por eso nos pasamos de la meta programada del año</v>
      </c>
      <c r="AL136" s="59">
        <f>IFERROR(__xludf.DUMMYFUNCTION("""COMPUTED_VALUE"""),44582.0)</f>
        <v>44582</v>
      </c>
      <c r="AM136" s="60"/>
      <c r="AN136" s="61" t="str">
        <f>IFERROR(IF((AO136+1)&lt;2,Alertas!$B$2&amp;TEXT(AO136,"0%")&amp;Alertas!$D$2, IF((AO136+1)=2,Alertas!$B$3,IF((AO136+1)&gt;2,Alertas!$B$4&amp;TEXT(AO136,"0%")&amp;Alertas!$D$4,AO136+1))),"Sin meta para el segundo trimestre")</f>
        <v>La ejecución de la meta registrada se encuentra por debajo de la meta programada en la formulación del plan de acción para el segundo trimestre, su porcentaje de cumplimiento es 35%, lo cual indica un incumplimiento que puede ser entendido por los entes de control como falencias en el proceso de planeación y gestión de la dependencia. se recomienda realizar acciones para garantizar el cumplimiento de la meta durante lo que resta de vigencia</v>
      </c>
      <c r="AO136" s="62">
        <f t="shared" si="2"/>
        <v>0.35</v>
      </c>
      <c r="AP136" s="61" t="str">
        <f t="shared" si="3"/>
        <v>La ejecución de la meta registrada se encuentra por debajo de la meta programada en la formulación del plan de acción para el segundo trimestre, su porcentaje de cumplimiento es 35%, lo cual indica un incumplimiento que puede ser entendido por los entes de control como falencias en el proceso de planeación y gestión de la dependencia. se recomienda realizar acciones para garantizar el cumplimiento de la meta durante lo que resta de vigencia.</v>
      </c>
      <c r="AQ136" s="63"/>
      <c r="AR136" s="64"/>
      <c r="AS136" s="65"/>
      <c r="AT136" s="65"/>
      <c r="AU136" s="66"/>
      <c r="AV136" s="67"/>
      <c r="AW136" s="68"/>
      <c r="AX136" s="63"/>
      <c r="AY136" s="64"/>
      <c r="AZ136" s="69"/>
      <c r="BA136" s="65"/>
      <c r="BB136" s="70"/>
      <c r="BC136" s="71"/>
      <c r="BD136" s="72"/>
      <c r="BE136" s="73"/>
      <c r="BF136" s="64"/>
      <c r="BG136" s="69"/>
      <c r="BH136" s="65"/>
      <c r="BI136" s="66"/>
      <c r="BJ136" s="71"/>
      <c r="BK136" s="72"/>
      <c r="BL136" s="74"/>
      <c r="BN136" s="5" t="str">
        <f t="shared" si="23"/>
        <v>-1</v>
      </c>
      <c r="BP136" s="5"/>
    </row>
    <row r="137" ht="37.5" customHeight="1">
      <c r="A137" s="45"/>
      <c r="B137" s="46">
        <f>IFERROR(__xludf.DUMMYFUNCTION("""COMPUTED_VALUE"""),135.0)</f>
        <v>135</v>
      </c>
      <c r="C137" s="47" t="str">
        <f>IFERROR(__xludf.DUMMYFUNCTION("""COMPUTED_VALUE"""),"Gestión de la administración y fomento")</f>
        <v>Gestión de la administración y fomento</v>
      </c>
      <c r="D137" s="48" t="str">
        <f>IFERROR(__xludf.DUMMYFUNCTION("""COMPUTED_VALUE"""),"Regional Magangué")</f>
        <v>Regional Magangué</v>
      </c>
      <c r="E137" s="48" t="str">
        <f>IFERROR(__xludf.DUMMYFUNCTION("""COMPUTED_VALUE"""),"Fortalecimiento de la sostenibilidad del sector pesquero y de la acuicultura en el territorio nacional")</f>
        <v>Fortalecimiento de la sostenibilidad del sector pesquero y de la acuicultura en el territorio nacional</v>
      </c>
      <c r="F137" s="49">
        <f>IFERROR(__xludf.DUMMYFUNCTION("""COMPUTED_VALUE"""),2.01901100028E12)</f>
        <v>2019011000280</v>
      </c>
      <c r="G137" s="50" t="str">
        <f>IFERROR(__xludf.DUMMYFUNCTION("""COMPUTED_VALUE"""),"Sostenibilidad")</f>
        <v>Sostenibilidad</v>
      </c>
      <c r="H137" s="48" t="str">
        <f>IFERROR(__xludf.DUMMYFUNCTION("""COMPUTED_VALUE"""),"Mejorar la explotación de los recursos pesqueros y de la acuicultura.")</f>
        <v>Mejorar la explotación de los recursos pesqueros y de la acuicultura.</v>
      </c>
      <c r="I137" s="48" t="str">
        <f>IFERROR(__xludf.DUMMYFUNCTION("""COMPUTED_VALUE"""),"Servicios de administración de los recurso pesqueros y de la acuicultura")</f>
        <v>Servicios de administración de los recurso pesqueros y de la acuicultura</v>
      </c>
      <c r="J137" s="48" t="str">
        <f>IFERROR(__xludf.DUMMYFUNCTION("""COMPUTED_VALUE"""),"Regular el manejo y el ejercicio de la actividad pesquera y de la acuicultura.")</f>
        <v>Regular el manejo y el ejercicio de la actividad pesquera y de la acuicultura.</v>
      </c>
      <c r="K137" s="51" t="str">
        <f>IFERROR(__xludf.DUMMYFUNCTION("""COMPUTED_VALUE"""),"Gestión del área")</f>
        <v>Gestión del área</v>
      </c>
      <c r="L137" s="51" t="str">
        <f>IFERROR(__xludf.DUMMYFUNCTION("""COMPUTED_VALUE"""),"Eficacia")</f>
        <v>Eficacia</v>
      </c>
      <c r="M137" s="51" t="str">
        <f>IFERROR(__xludf.DUMMYFUNCTION("""COMPUTED_VALUE"""),"Número")</f>
        <v>Número</v>
      </c>
      <c r="N137" s="52" t="str">
        <f>IFERROR(__xludf.DUMMYFUNCTION("""COMPUTED_VALUE"""),"Número de pescadores artesanales formalizados/Número de pescadores artesanales programados para formalizar")</f>
        <v>Número de pescadores artesanales formalizados/Número de pescadores artesanales programados para formalizar</v>
      </c>
      <c r="O137" s="53"/>
      <c r="P137" s="54">
        <f>IFERROR(__xludf.DUMMYFUNCTION("""COMPUTED_VALUE"""),3000.0)</f>
        <v>3000</v>
      </c>
      <c r="Q137" s="55" t="str">
        <f>IFERROR(__xludf.DUMMYFUNCTION("""COMPUTED_VALUE"""),"Numero de pescadores formalizados")</f>
        <v>Numero de pescadores formalizados</v>
      </c>
      <c r="R137" s="14" t="str">
        <f>IFERROR(__xludf.DUMMYFUNCTION("""COMPUTED_VALUE"""),"Trimestral")</f>
        <v>Trimestral</v>
      </c>
      <c r="S137" s="54">
        <f>IFERROR(__xludf.DUMMYFUNCTION("""COMPUTED_VALUE"""),400.0)</f>
        <v>400</v>
      </c>
      <c r="T137" s="54">
        <f>IFERROR(__xludf.DUMMYFUNCTION("""COMPUTED_VALUE"""),800.0)</f>
        <v>800</v>
      </c>
      <c r="U137" s="54">
        <f>IFERROR(__xludf.DUMMYFUNCTION("""COMPUTED_VALUE"""),1000.0)</f>
        <v>1000</v>
      </c>
      <c r="V137" s="54">
        <f>IFERROR(__xludf.DUMMYFUNCTION("""COMPUTED_VALUE"""),800.0)</f>
        <v>800</v>
      </c>
      <c r="W137" s="56" t="str">
        <f>IFERROR(__xludf.DUMMYFUNCTION("""COMPUTED_VALUE"""),"Regional Magangue")</f>
        <v>Regional Magangue</v>
      </c>
      <c r="X137" s="57" t="str">
        <f>IFERROR(__xludf.DUMMYFUNCTION("""COMPUTED_VALUE"""),"Javier Ovalle")</f>
        <v>Javier Ovalle</v>
      </c>
      <c r="Y137" s="47" t="str">
        <f>IFERROR(__xludf.DUMMYFUNCTION("""COMPUTED_VALUE"""),"Director regional Magangue")</f>
        <v>Director regional Magangue</v>
      </c>
      <c r="Z137" s="57" t="str">
        <f>IFERROR(__xludf.DUMMYFUNCTION("""COMPUTED_VALUE"""),"javier.Ovalle@aunap.gov.co")</f>
        <v>javier.Ovalle@aunap.gov.co</v>
      </c>
      <c r="AA137" s="47" t="str">
        <f>IFERROR(__xludf.DUMMYFUNCTION("""COMPUTED_VALUE"""),"Humanos, Físicos, Financieros, Tecnológicos")</f>
        <v>Humanos, Físicos, Financieros, Tecnológicos</v>
      </c>
      <c r="AB137" s="47" t="str">
        <f>IFERROR(__xludf.DUMMYFUNCTION("""COMPUTED_VALUE"""),"No asociado")</f>
        <v>No asociado</v>
      </c>
      <c r="AC137" s="47" t="str">
        <f>IFERROR(__xludf.DUMMYFUNCTION("""COMPUTED_VALUE"""),"Propiciar la formalización de la pesca y la acuicultura")</f>
        <v>Propiciar la formalización de la pesca y la acuicultura</v>
      </c>
      <c r="AD137" s="47" t="str">
        <f>IFERROR(__xludf.DUMMYFUNCTION("""COMPUTED_VALUE"""),"Gestión con valores para resultados")</f>
        <v>Gestión con valores para resultados</v>
      </c>
      <c r="AE137" s="47" t="str">
        <f>IFERROR(__xludf.DUMMYFUNCTION("""COMPUTED_VALUE"""),"Fortalecimiento Organizacional y Simplificación de Procesos")</f>
        <v>Fortalecimiento Organizacional y Simplificación de Procesos</v>
      </c>
      <c r="AF137" s="47" t="str">
        <f>IFERROR(__xludf.DUMMYFUNCTION("""COMPUTED_VALUE"""),"12. Producción y consumo responsable")</f>
        <v>12. Producción y consumo responsable</v>
      </c>
      <c r="AG137" s="58">
        <f>IFERROR(__xludf.DUMMYFUNCTION("""COMPUTED_VALUE"""),496.0)</f>
        <v>496</v>
      </c>
      <c r="AH137" s="59" t="str">
        <f>IFERROR(__xludf.DUMMYFUNCTION("""COMPUTED_VALUE"""),"En el Cuarto trimestre de Octubre a Diciembre se formalizo un total de 496 pescadores, distribuidos asi: Mes de Octubre un total de 360 carnet en los municipios de Magangue, Mompox y Tiquisio; Mes de NOVIEMBRE un total de 42 pescadores formalizados en mun"&amp;"icipios Mompox, Pinillos , Tiquisio, Majagual , Sucre Sucre y Guaranda y en el Mes de DICIEMBREun total de 94 pescadores formalizados en el municipio de Montecristo")</f>
        <v>En el Cuarto trimestre de Octubre a Diciembre se formalizo un total de 496 pescadores, distribuidos asi: Mes de Octubre un total de 360 carnet en los municipios de Magangue, Mompox y Tiquisio; Mes de NOVIEMBRE un total de 42 pescadores formalizados en municipios Mompox, Pinillos , Tiquisio, Majagual , Sucre Sucre y Guaranda y en el Mes de DICIEMBREun total de 94 pescadores formalizados en el municipio de Montecristo</v>
      </c>
      <c r="AI137" s="77" t="str">
        <f>IFERROR(__xludf.DUMMYFUNCTION("""COMPUTED_VALUE"""),"https://docs.google.com/spreadsheets/d/1Ts2LWmi9eTJ5g1HOK1jhYxYZ_KadeEHP/edit?usp=sharing&amp;ouid=105831338524648060683&amp;rtpof=true&amp;sd=true")</f>
        <v>https://docs.google.com/spreadsheets/d/1Ts2LWmi9eTJ5g1HOK1jhYxYZ_KadeEHP/edit?usp=sharing&amp;ouid=105831338524648060683&amp;rtpof=true&amp;sd=true</v>
      </c>
      <c r="AJ137" s="59">
        <f>IFERROR(__xludf.DUMMYFUNCTION("""COMPUTED_VALUE"""),3074.0)</f>
        <v>3074</v>
      </c>
      <c r="AK137" s="59" t="str">
        <f>IFERROR(__xludf.DUMMYFUNCTION("""COMPUTED_VALUE"""),"Cada año se actualizan los carnet en la Regional, a parte de  otras solicitudes de nuevas asociaciones de pescadores en la zona que solicitan los carnet, es asi que por esto nos pasamos en la meta anual del 2021")</f>
        <v>Cada año se actualizan los carnet en la Regional, a parte de  otras solicitudes de nuevas asociaciones de pescadores en la zona que solicitan los carnet, es asi que por esto nos pasamos en la meta anual del 2021</v>
      </c>
      <c r="AL137" s="59">
        <f>IFERROR(__xludf.DUMMYFUNCTION("""COMPUTED_VALUE"""),44582.0)</f>
        <v>44582</v>
      </c>
      <c r="AM137" s="60"/>
      <c r="AN137" s="61" t="str">
        <f>IFERROR(IF((AO137+1)&lt;2,Alertas!$B$2&amp;TEXT(AO137,"0%")&amp;Alertas!$D$2, IF((AO137+1)=2,Alertas!$B$3,IF((AO137+1)&gt;2,Alertas!$B$4&amp;TEXT(AO137,"0%")&amp;Alertas!$D$4,AO137+1))),"Sin meta para el segundo trimestre")</f>
        <v>La ejecución de la meta registrada se encuentra por debajo de la meta programada en la formulación del plan de acción para el segundo trimestre, su porcentaje de cumplimiento es 62%, lo cual indica un incumplimiento que puede ser entendido por los entes de control como falencias en el proceso de planeación y gestión de la dependencia. se recomienda realizar acciones para garantizar el cumplimiento de la meta durante lo que resta de vigencia</v>
      </c>
      <c r="AO137" s="62">
        <f t="shared" si="2"/>
        <v>0.62</v>
      </c>
      <c r="AP137" s="61" t="str">
        <f t="shared" si="3"/>
        <v>La ejecución de la meta registrada se encuentra por debajo de la meta programada en la formulación del plan de acción para el segundo trimestre, su porcentaje de cumplimiento es 62%, lo cual indica un incumplimiento que puede ser entendido por los entes de control como falencias en el proceso de planeación y gestión de la dependencia. se recomienda realizar acciones para garantizar el cumplimiento de la meta durante lo que resta de vigencia.</v>
      </c>
      <c r="AQ137" s="63"/>
      <c r="AR137" s="64"/>
      <c r="AS137" s="65"/>
      <c r="AT137" s="65"/>
      <c r="AU137" s="66"/>
      <c r="AV137" s="67"/>
      <c r="AW137" s="68"/>
      <c r="AX137" s="63"/>
      <c r="AY137" s="64"/>
      <c r="AZ137" s="69"/>
      <c r="BA137" s="65"/>
      <c r="BB137" s="70"/>
      <c r="BC137" s="71"/>
      <c r="BD137" s="72"/>
      <c r="BE137" s="73"/>
      <c r="BF137" s="64"/>
      <c r="BG137" s="69"/>
      <c r="BH137" s="65"/>
      <c r="BI137" s="66"/>
      <c r="BJ137" s="71"/>
      <c r="BK137" s="72"/>
      <c r="BL137" s="74"/>
      <c r="BN137" s="5" t="str">
        <f t="shared" si="23"/>
        <v>-1</v>
      </c>
      <c r="BP137" s="5"/>
    </row>
    <row r="138" ht="37.5" customHeight="1">
      <c r="A138" s="45"/>
      <c r="B138" s="46">
        <f>IFERROR(__xludf.DUMMYFUNCTION("""COMPUTED_VALUE"""),136.0)</f>
        <v>136</v>
      </c>
      <c r="C138" s="47" t="str">
        <f>IFERROR(__xludf.DUMMYFUNCTION("""COMPUTED_VALUE"""),"Gestión de la administración y fomento")</f>
        <v>Gestión de la administración y fomento</v>
      </c>
      <c r="D138" s="48" t="str">
        <f>IFERROR(__xludf.DUMMYFUNCTION("""COMPUTED_VALUE"""),"Regional Magangué")</f>
        <v>Regional Magangué</v>
      </c>
      <c r="E138" s="48" t="str">
        <f>IFERROR(__xludf.DUMMYFUNCTION("""COMPUTED_VALUE"""),"Fortalecimiento de la sostenibilidad del sector pesquero y de la acuicultura en el territorio nacional")</f>
        <v>Fortalecimiento de la sostenibilidad del sector pesquero y de la acuicultura en el territorio nacional</v>
      </c>
      <c r="F138" s="49">
        <f>IFERROR(__xludf.DUMMYFUNCTION("""COMPUTED_VALUE"""),2.01901100028E12)</f>
        <v>2019011000280</v>
      </c>
      <c r="G138" s="50" t="str">
        <f>IFERROR(__xludf.DUMMYFUNCTION("""COMPUTED_VALUE"""),"Sostenibilidad")</f>
        <v>Sostenibilidad</v>
      </c>
      <c r="H138" s="48" t="str">
        <f>IFERROR(__xludf.DUMMYFUNCTION("""COMPUTED_VALUE"""),"Mejorar las prácticas de pesca y de acuicultura.")</f>
        <v>Mejorar las prácticas de pesca y de acuicultura.</v>
      </c>
      <c r="I138" s="48" t="str">
        <f>IFERROR(__xludf.DUMMYFUNCTION("""COMPUTED_VALUE"""),"Servicios de apoyo al fomento de la pesca y la acuicultura")</f>
        <v>Servicios de apoyo al fomento de la pesca y la acuicultura</v>
      </c>
      <c r="J138" s="48" t="str">
        <f>IFERROR(__xludf.DUMMYFUNCTION("""COMPUTED_VALUE"""),"Generar acciones de fomento para la pesca, la acuicultura y sus actividades conexas.")</f>
        <v>Generar acciones de fomento para la pesca, la acuicultura y sus actividades conexas.</v>
      </c>
      <c r="K138" s="51" t="str">
        <f>IFERROR(__xludf.DUMMYFUNCTION("""COMPUTED_VALUE"""),"Gestión del área")</f>
        <v>Gestión del área</v>
      </c>
      <c r="L138" s="51" t="str">
        <f>IFERROR(__xludf.DUMMYFUNCTION("""COMPUTED_VALUE"""),"Eficacia")</f>
        <v>Eficacia</v>
      </c>
      <c r="M138" s="51" t="str">
        <f>IFERROR(__xludf.DUMMYFUNCTION("""COMPUTED_VALUE"""),"Número")</f>
        <v>Número</v>
      </c>
      <c r="N138" s="52" t="str">
        <f>IFERROR(__xludf.DUMMYFUNCTION("""COMPUTED_VALUE"""),"Organizaciones atendidas")</f>
        <v>Organizaciones atendidas</v>
      </c>
      <c r="O138" s="53"/>
      <c r="P138" s="54">
        <f>IFERROR(__xludf.DUMMYFUNCTION("""COMPUTED_VALUE"""),125.0)</f>
        <v>125</v>
      </c>
      <c r="Q138" s="55" t="str">
        <f>IFERROR(__xludf.DUMMYFUNCTION("""COMPUTED_VALUE"""),"Capacitacion a los grupos de interes en asociatividad y normatividad para el ejercicio de la acuicultura, pesca y actividades conexas")</f>
        <v>Capacitacion a los grupos de interes en asociatividad y normatividad para el ejercicio de la acuicultura, pesca y actividades conexas</v>
      </c>
      <c r="R138" s="14" t="str">
        <f>IFERROR(__xludf.DUMMYFUNCTION("""COMPUTED_VALUE"""),"Trimestral")</f>
        <v>Trimestral</v>
      </c>
      <c r="S138" s="54">
        <f>IFERROR(__xludf.DUMMYFUNCTION("""COMPUTED_VALUE"""),5.0)</f>
        <v>5</v>
      </c>
      <c r="T138" s="54">
        <f>IFERROR(__xludf.DUMMYFUNCTION("""COMPUTED_VALUE"""),40.0)</f>
        <v>40</v>
      </c>
      <c r="U138" s="54">
        <f>IFERROR(__xludf.DUMMYFUNCTION("""COMPUTED_VALUE"""),50.0)</f>
        <v>50</v>
      </c>
      <c r="V138" s="54">
        <f>IFERROR(__xludf.DUMMYFUNCTION("""COMPUTED_VALUE"""),30.0)</f>
        <v>30</v>
      </c>
      <c r="W138" s="56" t="str">
        <f>IFERROR(__xludf.DUMMYFUNCTION("""COMPUTED_VALUE"""),"Dirección Técnica de Administración y Fomento")</f>
        <v>Dirección Técnica de Administración y Fomento</v>
      </c>
      <c r="X138" s="57" t="str">
        <f>IFERROR(__xludf.DUMMYFUNCTION("""COMPUTED_VALUE"""),"John Jairo Restrepo")</f>
        <v>John Jairo Restrepo</v>
      </c>
      <c r="Y138" s="47" t="str">
        <f>IFERROR(__xludf.DUMMYFUNCTION("""COMPUTED_VALUE"""),"Director tecnico de Administracion y Fomento")</f>
        <v>Director tecnico de Administracion y Fomento</v>
      </c>
      <c r="Z138" s="57" t="str">
        <f>IFERROR(__xludf.DUMMYFUNCTION("""COMPUTED_VALUE"""),"jhon.restrepo@aunap.gov.co")</f>
        <v>jhon.restrepo@aunap.gov.co</v>
      </c>
      <c r="AA138" s="47" t="str">
        <f>IFERROR(__xludf.DUMMYFUNCTION("""COMPUTED_VALUE"""),"Humanos, Físicos, Financieros, Tecnológicos")</f>
        <v>Humanos, Físicos, Financieros, Tecnológicos</v>
      </c>
      <c r="AB138" s="47" t="str">
        <f>IFERROR(__xludf.DUMMYFUNCTION("""COMPUTED_VALUE"""),"No asociado")</f>
        <v>No asociado</v>
      </c>
      <c r="AC138" s="47" t="str">
        <f>IFERROR(__xludf.DUMMYFUNCTION("""COMPUTED_VALUE"""),"Propiciar la formalización de la pesca y la acuicultura")</f>
        <v>Propiciar la formalización de la pesca y la acuicultura</v>
      </c>
      <c r="AD138" s="47" t="str">
        <f>IFERROR(__xludf.DUMMYFUNCTION("""COMPUTED_VALUE"""),"Direccionamiento Estratégico")</f>
        <v>Direccionamiento Estratégico</v>
      </c>
      <c r="AE138" s="47" t="str">
        <f>IFERROR(__xludf.DUMMYFUNCTION("""COMPUTED_VALUE"""),"Fortalecimiento Organizacional y Simplificación de Procesos")</f>
        <v>Fortalecimiento Organizacional y Simplificación de Procesos</v>
      </c>
      <c r="AF138" s="47" t="str">
        <f>IFERROR(__xludf.DUMMYFUNCTION("""COMPUTED_VALUE"""),"8. Trabajo decente y crecimiento económico")</f>
        <v>8. Trabajo decente y crecimiento económico</v>
      </c>
      <c r="AG138" s="58">
        <f>IFERROR(__xludf.DUMMYFUNCTION("""COMPUTED_VALUE"""),39.0)</f>
        <v>39</v>
      </c>
      <c r="AH138" s="59" t="str">
        <f>IFERROR(__xludf.DUMMYFUNCTION("""COMPUTED_VALUE"""),"Durante el trimestre se hizo un total de 39 capacitaciones a grupos de interes en Asociatividad  y normatividad para el ejercicio de la Acuicultura , Pesca y Actividades Conexas a las Asociaciones  de la zona distribuidos así: Mes de OCTUBRE un total de 1"&amp;"4 charlas a las Asociaciones  PROSPERAR, AVETURPLA, ASOPESMON, ASOC. DE PESCADORES Y AGRICULTORES DE LOS CAÑITOS, ASOC. MANO DE DIOS, ASORECAMJA, ASOAPESPISMAG, ASPAPINTO, ,AGROSAPE, ASAPATAV, ASOAPROES, ASOPECAMPA, ASOMUPROCAUCA, ASOC. DE PESCADORES ARTE"&amp;"SANALES LA GOLOSINA, APUYATI, ASOAGROPEDESCOL, ASOPERIN, AGROLOMA.   Mes de NOVIEMBRE 14 charlas  a las asociaciones : ASOAGROSENFUCER AGROYABOL, ASPROPINTO, ASORECAMJA, ASOPESCA, ASAPEVEMA, ASOC. AGROPECUARIA LOS CAÑITOS , ASOVIMUA, ASOPESANBUEN, ASOPIST"&amp;"RAN, ASOC. EL LUCERO.   Mes de DICIEMBRE 10 charlas  a las  asociaciones ASOCUIVA, CABILDO MONTEGRANDE,  UNIPES, ASOCOLMAS, AMPAPUL, ASOCEBERINO, ASOPAPROVIC, ASOPESAN, ASOAGRIPESVICAN, AGRIPEC, ASIPROBAL ASOCAMCA, ASOJEGUA, LEBAMAR, ASOCAMPESINA, PASO CA"&amp;"RATE, ASOCAMPODEG
")</f>
        <v>Durante el trimestre se hizo un total de 39 capacitaciones a grupos de interes en Asociatividad  y normatividad para el ejercicio de la Acuicultura , Pesca y Actividades Conexas a las Asociaciones  de la zona distribuidos así: Mes de OCTUBRE un total de 14 charlas a las Asociaciones  PROSPERAR, AVETURPLA, ASOPESMON, ASOC. DE PESCADORES Y AGRICULTORES DE LOS CAÑITOS, ASOC. MANO DE DIOS, ASORECAMJA, ASOAPESPISMAG, ASPAPINTO, ,AGROSAPE, ASAPATAV, ASOAPROES, ASOPECAMPA, ASOMUPROCAUCA, ASOC. DE PESCADORES ARTESANALES LA GOLOSINA, APUYATI, ASOAGROPEDESCOL, ASOPERIN, AGROLOMA.   Mes de NOVIEMBRE 14 charlas  a las asociaciones : ASOAGROSENFUCER AGROYABOL, ASPROPINTO, ASORECAMJA, ASOPESCA, ASAPEVEMA, ASOC. AGROPECUARIA LOS CAÑITOS , ASOVIMUA, ASOPESANBUEN, ASOPISTRAN, ASOC. EL LUCERO.   Mes de DICIEMBRE 10 charlas  a las  asociaciones ASOCUIVA, CABILDO MONTEGRANDE,  UNIPES, ASOCOLMAS, AMPAPUL, ASOCEBERINO, ASOPAPROVIC, ASOPESAN, ASOAGRIPESVICAN, AGRIPEC, ASIPROBAL ASOCAMCA, ASOJEGUA, LEBAMAR, ASOCAMPESINA, PASO CARATE, ASOCAMPODEG
</v>
      </c>
      <c r="AI138" s="77" t="str">
        <f>IFERROR(__xludf.DUMMYFUNCTION("""COMPUTED_VALUE"""),"https://drive.google.com/drive/folders/1j7s9am9Aa76K6BtTu_p-qoIxzY_0B6i7?usp=sharing")</f>
        <v>https://drive.google.com/drive/folders/1j7s9am9Aa76K6BtTu_p-qoIxzY_0B6i7?usp=sharing</v>
      </c>
      <c r="AJ138" s="59">
        <f>IFERROR(__xludf.DUMMYFUNCTION("""COMPUTED_VALUE"""),151.0)</f>
        <v>151</v>
      </c>
      <c r="AK138" s="59" t="str">
        <f>IFERROR(__xludf.DUMMYFUNCTION("""COMPUTED_VALUE"""),"En el año se hizo un total de 151 capacitaciones a los grupos de interes en Asociatividad  y normatividad para el ejercicio de la Acuicultura , Pesca y Actividades Conexas a las Asociaciones  de la zona  a 52 asociaciones y pescadores en General , tambien"&amp;" huvo bastante solicitudes a las que se tuvo que atender y por eso nos pasamos de la meta programada del año")</f>
        <v>En el año se hizo un total de 151 capacitaciones a los grupos de interes en Asociatividad  y normatividad para el ejercicio de la Acuicultura , Pesca y Actividades Conexas a las Asociaciones  de la zona  a 52 asociaciones y pescadores en General , tambien huvo bastante solicitudes a las que se tuvo que atender y por eso nos pasamos de la meta programada del año</v>
      </c>
      <c r="AL138" s="59">
        <f>IFERROR(__xludf.DUMMYFUNCTION("""COMPUTED_VALUE"""),44582.0)</f>
        <v>44582</v>
      </c>
      <c r="AM138" s="60"/>
      <c r="AN138" s="61" t="str">
        <f>IFERROR(IF((AO138+1)&lt;2,Alertas!$B$2&amp;TEXT(AO138,"0%")&amp;Alertas!$D$2, IF((AO138+1)=2,Alertas!$B$3,IF((AO138+1)&gt;2,Alertas!$B$4&amp;TEXT(AO138,"0%")&amp;Alertas!$D$4,AO138+1))),"Sin meta para el segundo trimestre")</f>
        <v>La ejecución de la meta registrada se encuentra por debajo de la meta programada en la formulación del plan de acción para el segundo trimestre, su porcentaje de cumplimiento es 98%, lo cual indica un incumplimiento que puede ser entendido por los entes de control como falencias en el proceso de planeación y gestión de la dependencia. se recomienda realizar acciones para garantizar el cumplimiento de la meta durante lo que resta de vigencia</v>
      </c>
      <c r="AO138" s="62">
        <f t="shared" si="2"/>
        <v>0.975</v>
      </c>
      <c r="AP138" s="61" t="str">
        <f t="shared" si="3"/>
        <v>La ejecución de la meta registrada se encuentra por debajo de la meta programada en la formulación del plan de acción para el segundo trimestre, su porcentaje de cumplimiento es 98%, lo cual indica un incumplimiento que puede ser entendido por los entes de control como falencias en el proceso de planeación y gestión de la dependencia. se recomienda realizar acciones para garantizar el cumplimiento de la meta durante lo que resta de vigencia.</v>
      </c>
      <c r="AQ138" s="63"/>
      <c r="AR138" s="64"/>
      <c r="AS138" s="65"/>
      <c r="AT138" s="65"/>
      <c r="AU138" s="66"/>
      <c r="AV138" s="67"/>
      <c r="AW138" s="68"/>
      <c r="AX138" s="63"/>
      <c r="AY138" s="64"/>
      <c r="AZ138" s="69"/>
      <c r="BA138" s="65"/>
      <c r="BB138" s="70"/>
      <c r="BC138" s="71"/>
      <c r="BD138" s="72"/>
      <c r="BE138" s="73"/>
      <c r="BF138" s="64"/>
      <c r="BG138" s="69"/>
      <c r="BH138" s="65"/>
      <c r="BI138" s="66"/>
      <c r="BJ138" s="71"/>
      <c r="BK138" s="72"/>
      <c r="BL138" s="74"/>
      <c r="BN138" s="5" t="str">
        <f t="shared" si="23"/>
        <v>-1</v>
      </c>
      <c r="BP138" s="5"/>
    </row>
    <row r="139" ht="37.5" customHeight="1">
      <c r="A139" s="45"/>
      <c r="B139" s="46">
        <f>IFERROR(__xludf.DUMMYFUNCTION("""COMPUTED_VALUE"""),137.0)</f>
        <v>137</v>
      </c>
      <c r="C139" s="47" t="str">
        <f>IFERROR(__xludf.DUMMYFUNCTION("""COMPUTED_VALUE"""),"Gestión de la administración y fomento")</f>
        <v>Gestión de la administración y fomento</v>
      </c>
      <c r="D139" s="48" t="str">
        <f>IFERROR(__xludf.DUMMYFUNCTION("""COMPUTED_VALUE"""),"Regional Magangué")</f>
        <v>Regional Magangué</v>
      </c>
      <c r="E139" s="48" t="str">
        <f>IFERROR(__xludf.DUMMYFUNCTION("""COMPUTED_VALUE"""),"Fortalecimiento de la sostenibilidad del sector pesquero y de la acuicultura en el territorio nacional")</f>
        <v>Fortalecimiento de la sostenibilidad del sector pesquero y de la acuicultura en el territorio nacional</v>
      </c>
      <c r="F139" s="49">
        <f>IFERROR(__xludf.DUMMYFUNCTION("""COMPUTED_VALUE"""),2.01901100028E12)</f>
        <v>2019011000280</v>
      </c>
      <c r="G139" s="50" t="str">
        <f>IFERROR(__xludf.DUMMYFUNCTION("""COMPUTED_VALUE"""),"Sostenibilidad")</f>
        <v>Sostenibilidad</v>
      </c>
      <c r="H139" s="48" t="str">
        <f>IFERROR(__xludf.DUMMYFUNCTION("""COMPUTED_VALUE"""),"Mejorar la explotación de los recursos pesqueros y de la acuicultura.")</f>
        <v>Mejorar la explotación de los recursos pesqueros y de la acuicultura.</v>
      </c>
      <c r="I139" s="48" t="str">
        <f>IFERROR(__xludf.DUMMYFUNCTION("""COMPUTED_VALUE"""),"Servicios de administración de los recurso pesqueros y de la acuicultura")</f>
        <v>Servicios de administración de los recurso pesqueros y de la acuicultura</v>
      </c>
      <c r="J139" s="48" t="str">
        <f>IFERROR(__xludf.DUMMYFUNCTION("""COMPUTED_VALUE"""),"Regular el manejo y el ejercicio de la actividad pesquera y de la acuicultura.")</f>
        <v>Regular el manejo y el ejercicio de la actividad pesquera y de la acuicultura.</v>
      </c>
      <c r="K139" s="51" t="str">
        <f>IFERROR(__xludf.DUMMYFUNCTION("""COMPUTED_VALUE"""),"Gestión del área")</f>
        <v>Gestión del área</v>
      </c>
      <c r="L139" s="51" t="str">
        <f>IFERROR(__xludf.DUMMYFUNCTION("""COMPUTED_VALUE"""),"Eficacia")</f>
        <v>Eficacia</v>
      </c>
      <c r="M139" s="51" t="str">
        <f>IFERROR(__xludf.DUMMYFUNCTION("""COMPUTED_VALUE"""),"Número")</f>
        <v>Número</v>
      </c>
      <c r="N139" s="52" t="str">
        <f>IFERROR(__xludf.DUMMYFUNCTION("""COMPUTED_VALUE"""),"Tramites Atendidos")</f>
        <v>Tramites Atendidos</v>
      </c>
      <c r="O139" s="53"/>
      <c r="P139" s="54">
        <f>IFERROR(__xludf.DUMMYFUNCTION("""COMPUTED_VALUE"""),30.0)</f>
        <v>30</v>
      </c>
      <c r="Q139" s="55" t="str">
        <f>IFERROR(__xludf.DUMMYFUNCTION("""COMPUTED_VALUE"""),"Regular el manejo y el ejercicio de la actividad pesquera y de la acuicultura")</f>
        <v>Regular el manejo y el ejercicio de la actividad pesquera y de la acuicultura</v>
      </c>
      <c r="R139" s="14" t="str">
        <f>IFERROR(__xludf.DUMMYFUNCTION("""COMPUTED_VALUE"""),"Trimestral")</f>
        <v>Trimestral</v>
      </c>
      <c r="S139" s="54">
        <f>IFERROR(__xludf.DUMMYFUNCTION("""COMPUTED_VALUE"""),5.0)</f>
        <v>5</v>
      </c>
      <c r="T139" s="54">
        <f>IFERROR(__xludf.DUMMYFUNCTION("""COMPUTED_VALUE"""),10.0)</f>
        <v>10</v>
      </c>
      <c r="U139" s="54">
        <f>IFERROR(__xludf.DUMMYFUNCTION("""COMPUTED_VALUE"""),10.0)</f>
        <v>10</v>
      </c>
      <c r="V139" s="54">
        <f>IFERROR(__xludf.DUMMYFUNCTION("""COMPUTED_VALUE"""),5.0)</f>
        <v>5</v>
      </c>
      <c r="W139" s="56" t="str">
        <f>IFERROR(__xludf.DUMMYFUNCTION("""COMPUTED_VALUE"""),"Regional Magangue")</f>
        <v>Regional Magangue</v>
      </c>
      <c r="X139" s="57" t="str">
        <f>IFERROR(__xludf.DUMMYFUNCTION("""COMPUTED_VALUE"""),"Javier Ovalle")</f>
        <v>Javier Ovalle</v>
      </c>
      <c r="Y139" s="47" t="str">
        <f>IFERROR(__xludf.DUMMYFUNCTION("""COMPUTED_VALUE"""),"Director regional Magangue")</f>
        <v>Director regional Magangue</v>
      </c>
      <c r="Z139" s="57" t="str">
        <f>IFERROR(__xludf.DUMMYFUNCTION("""COMPUTED_VALUE"""),"javier.Ovalle@aunap.gov.co")</f>
        <v>javier.Ovalle@aunap.gov.co</v>
      </c>
      <c r="AA139" s="47" t="str">
        <f>IFERROR(__xludf.DUMMYFUNCTION("""COMPUTED_VALUE"""),"Humanos, Físicos, Financieros, Tecnológicos")</f>
        <v>Humanos, Físicos, Financieros, Tecnológicos</v>
      </c>
      <c r="AB139" s="47" t="str">
        <f>IFERROR(__xludf.DUMMYFUNCTION("""COMPUTED_VALUE"""),"No asociado")</f>
        <v>No asociado</v>
      </c>
      <c r="AC139"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39" s="47" t="str">
        <f>IFERROR(__xludf.DUMMYFUNCTION("""COMPUTED_VALUE"""),"Gestión con valores para resultados")</f>
        <v>Gestión con valores para resultados</v>
      </c>
      <c r="AE139" s="47" t="str">
        <f>IFERROR(__xludf.DUMMYFUNCTION("""COMPUTED_VALUE"""),"Fortalecimiento Organizacional y Simplificación de Procesos")</f>
        <v>Fortalecimiento Organizacional y Simplificación de Procesos</v>
      </c>
      <c r="AF139" s="47" t="str">
        <f>IFERROR(__xludf.DUMMYFUNCTION("""COMPUTED_VALUE"""),"12. Producción y consumo responsable")</f>
        <v>12. Producción y consumo responsable</v>
      </c>
      <c r="AG139" s="58">
        <f>IFERROR(__xludf.DUMMYFUNCTION("""COMPUTED_VALUE"""),9.0)</f>
        <v>9</v>
      </c>
      <c r="AH139" s="59" t="str">
        <f>IFERROR(__xludf.DUMMYFUNCTION("""COMPUTED_VALUE"""),"Los trámites a permisos se dan acorde a las demandas o solicitudes presentadas en la Regional la cual fue un Total de 9 trámites de Permisos: 5 a pequeños Comerciantes, 3 de pesca Artesanal 1 de Cultivo, a estos se les hace los diferentes conceptos técnic"&amp;"os e inspecciones Oculares dependiendo el permiso")</f>
        <v>Los trámites a permisos se dan acorde a las demandas o solicitudes presentadas en la Regional la cual fue un Total de 9 trámites de Permisos: 5 a pequeños Comerciantes, 3 de pesca Artesanal 1 de Cultivo, a estos se les hace los diferentes conceptos técnicos e inspecciones Oculares dependiendo el permiso</v>
      </c>
      <c r="AI139" s="77" t="str">
        <f>IFERROR(__xludf.DUMMYFUNCTION("""COMPUTED_VALUE"""),"https://drive.google.com/drive/folders/15LCZM5AdVv1oTBszMKpnhsVJ5dyIRpDw?usp=sharing")</f>
        <v>https://drive.google.com/drive/folders/15LCZM5AdVv1oTBszMKpnhsVJ5dyIRpDw?usp=sharing</v>
      </c>
      <c r="AJ139" s="59">
        <f>IFERROR(__xludf.DUMMYFUNCTION("""COMPUTED_VALUE"""),55.0)</f>
        <v>55</v>
      </c>
      <c r="AK139" s="59" t="str">
        <f>IFERROR(__xludf.DUMMYFUNCTION("""COMPUTED_VALUE"""),"Los trámites a permisos se dan acorde a las demandas o solicitudes presentadas en la Regional , es por esto que nos pasamos de la meta anual en año 2021")</f>
        <v>Los trámites a permisos se dan acorde a las demandas o solicitudes presentadas en la Regional , es por esto que nos pasamos de la meta anual en año 2021</v>
      </c>
      <c r="AL139" s="59">
        <f>IFERROR(__xludf.DUMMYFUNCTION("""COMPUTED_VALUE"""),44582.0)</f>
        <v>44582</v>
      </c>
      <c r="AM139" s="60"/>
      <c r="AN139" s="61" t="str">
        <f>IFERROR(IF((AO139+1)&lt;2,Alertas!$B$2&amp;TEXT(AO139,"0%")&amp;Alertas!$D$2, IF((AO139+1)=2,Alertas!$B$3,IF((AO139+1)&gt;2,Alertas!$B$4&amp;TEXT(AO139,"0%")&amp;Alertas!$D$4,AO139+1))),"Sin meta para el segundo trimestre")</f>
        <v>La ejecución de la meta registrada se encuentra por debajo de la meta programada en la formulación del plan de acción para el segundo trimestre, su porcentaje de cumplimiento es 90%, lo cual indica un incumplimiento que puede ser entendido por los entes de control como falencias en el proceso de planeación y gestión de la dependencia. se recomienda realizar acciones para garantizar el cumplimiento de la meta durante lo que resta de vigencia</v>
      </c>
      <c r="AO139" s="62">
        <f t="shared" si="2"/>
        <v>0.9</v>
      </c>
      <c r="AP139" s="61" t="str">
        <f t="shared" si="3"/>
        <v>La ejecución de la meta registrada se encuentra por debajo de la meta programada en la formulación del plan de acción para el segundo trimestre, su porcentaje de cumplimiento es 90%, lo cual indica un incumplimiento que puede ser entendido por los entes de control como falencias en el proceso de planeación y gestión de la dependencia. se recomienda realizar acciones para garantizar el cumplimiento de la meta durante lo que resta de vigencia.</v>
      </c>
      <c r="AQ139" s="63"/>
      <c r="AR139" s="64"/>
      <c r="AS139" s="65"/>
      <c r="AT139" s="65"/>
      <c r="AU139" s="66"/>
      <c r="AV139" s="67"/>
      <c r="AW139" s="68"/>
      <c r="AX139" s="63"/>
      <c r="AY139" s="64"/>
      <c r="AZ139" s="69"/>
      <c r="BA139" s="65"/>
      <c r="BB139" s="70"/>
      <c r="BC139" s="71"/>
      <c r="BD139" s="72"/>
      <c r="BE139" s="73"/>
      <c r="BF139" s="64"/>
      <c r="BG139" s="69"/>
      <c r="BH139" s="65"/>
      <c r="BI139" s="66"/>
      <c r="BJ139" s="71"/>
      <c r="BK139" s="72"/>
      <c r="BL139" s="74"/>
      <c r="BN139" s="5" t="str">
        <f t="shared" si="23"/>
        <v>-1</v>
      </c>
      <c r="BP139" s="5"/>
    </row>
    <row r="140" ht="37.5" customHeight="1">
      <c r="A140" s="45"/>
      <c r="B140" s="46">
        <f>IFERROR(__xludf.DUMMYFUNCTION("""COMPUTED_VALUE"""),138.0)</f>
        <v>138</v>
      </c>
      <c r="C140" s="47" t="str">
        <f>IFERROR(__xludf.DUMMYFUNCTION("""COMPUTED_VALUE"""),"Gestión de la administración y fomento")</f>
        <v>Gestión de la administración y fomento</v>
      </c>
      <c r="D140" s="48" t="str">
        <f>IFERROR(__xludf.DUMMYFUNCTION("""COMPUTED_VALUE"""),"Regional Magangué")</f>
        <v>Regional Magangué</v>
      </c>
      <c r="E140" s="48" t="str">
        <f>IFERROR(__xludf.DUMMYFUNCTION("""COMPUTED_VALUE"""),"Fortalecimiento de la sostenibilidad del sector pesquero y de la acuicultura en el territorio nacional")</f>
        <v>Fortalecimiento de la sostenibilidad del sector pesquero y de la acuicultura en el territorio nacional</v>
      </c>
      <c r="F140" s="49">
        <f>IFERROR(__xludf.DUMMYFUNCTION("""COMPUTED_VALUE"""),2.01901100028E12)</f>
        <v>2019011000280</v>
      </c>
      <c r="G140" s="50" t="str">
        <f>IFERROR(__xludf.DUMMYFUNCTION("""COMPUTED_VALUE"""),"Sostenibilidad")</f>
        <v>Sostenibilidad</v>
      </c>
      <c r="H140" s="48" t="str">
        <f>IFERROR(__xludf.DUMMYFUNCTION("""COMPUTED_VALUE"""),"Mejorar la explotación de los recursos pesqueros y de la acuicultura.")</f>
        <v>Mejorar la explotación de los recursos pesqueros y de la acuicultura.</v>
      </c>
      <c r="I140" s="48" t="str">
        <f>IFERROR(__xludf.DUMMYFUNCTION("""COMPUTED_VALUE"""),"Servicios de administración de los recurso pesqueros y de la acuicultura")</f>
        <v>Servicios de administración de los recurso pesqueros y de la acuicultura</v>
      </c>
      <c r="J140" s="48" t="str">
        <f>IFERROR(__xludf.DUMMYFUNCTION("""COMPUTED_VALUE"""),"Realizar acciones de divulgación y formalización de la actividad pesquera y de la acuicultura.")</f>
        <v>Realizar acciones de divulgación y formalización de la actividad pesquera y de la acuicultura.</v>
      </c>
      <c r="K140" s="51" t="str">
        <f>IFERROR(__xludf.DUMMYFUNCTION("""COMPUTED_VALUE"""),"Gestión")</f>
        <v>Gestión</v>
      </c>
      <c r="L140" s="51" t="str">
        <f>IFERROR(__xludf.DUMMYFUNCTION("""COMPUTED_VALUE"""),"Efectividad")</f>
        <v>Efectividad</v>
      </c>
      <c r="M140" s="51" t="str">
        <f>IFERROR(__xludf.DUMMYFUNCTION("""COMPUTED_VALUE"""),"Número")</f>
        <v>Número</v>
      </c>
      <c r="N140" s="52" t="str">
        <f>IFERROR(__xludf.DUMMYFUNCTION("""COMPUTED_VALUE"""),"Número de personas capacitadas / número de personas programadas")</f>
        <v>Número de personas capacitadas / número de personas programadas</v>
      </c>
      <c r="O140" s="53">
        <f>IFERROR(__xludf.DUMMYFUNCTION("""COMPUTED_VALUE"""),15.0)</f>
        <v>15</v>
      </c>
      <c r="P140" s="54">
        <f>IFERROR(__xludf.DUMMYFUNCTION("""COMPUTED_VALUE"""),3000.0)</f>
        <v>3000</v>
      </c>
      <c r="Q140" s="55" t="str">
        <f>IFERROR(__xludf.DUMMYFUNCTION("""COMPUTED_VALUE"""),"Numero de personas Capacitadas en Pesca y Acuícultura")</f>
        <v>Numero de personas Capacitadas en Pesca y Acuícultura</v>
      </c>
      <c r="R140" s="14" t="str">
        <f>IFERROR(__xludf.DUMMYFUNCTION("""COMPUTED_VALUE"""),"Trimestral")</f>
        <v>Trimestral</v>
      </c>
      <c r="S140" s="54">
        <f>IFERROR(__xludf.DUMMYFUNCTION("""COMPUTED_VALUE"""),350.0)</f>
        <v>350</v>
      </c>
      <c r="T140" s="54">
        <f>IFERROR(__xludf.DUMMYFUNCTION("""COMPUTED_VALUE"""),1000.0)</f>
        <v>1000</v>
      </c>
      <c r="U140" s="54">
        <f>IFERROR(__xludf.DUMMYFUNCTION("""COMPUTED_VALUE"""),1000.0)</f>
        <v>1000</v>
      </c>
      <c r="V140" s="54">
        <f>IFERROR(__xludf.DUMMYFUNCTION("""COMPUTED_VALUE"""),650.0)</f>
        <v>650</v>
      </c>
      <c r="W140" s="56" t="str">
        <f>IFERROR(__xludf.DUMMYFUNCTION("""COMPUTED_VALUE"""),"Dirección Técnica de Administración y Fomento")</f>
        <v>Dirección Técnica de Administración y Fomento</v>
      </c>
      <c r="X140" s="57" t="str">
        <f>IFERROR(__xludf.DUMMYFUNCTION("""COMPUTED_VALUE"""),"John Jairo Restrepo")</f>
        <v>John Jairo Restrepo</v>
      </c>
      <c r="Y140" s="47" t="str">
        <f>IFERROR(__xludf.DUMMYFUNCTION("""COMPUTED_VALUE"""),"Director tecnico de Administracion y Fomento")</f>
        <v>Director tecnico de Administracion y Fomento</v>
      </c>
      <c r="Z140" s="57" t="str">
        <f>IFERROR(__xludf.DUMMYFUNCTION("""COMPUTED_VALUE"""),"jhon.restrepo@aunap.gov.co")</f>
        <v>jhon.restrepo@aunap.gov.co</v>
      </c>
      <c r="AA140" s="47" t="str">
        <f>IFERROR(__xludf.DUMMYFUNCTION("""COMPUTED_VALUE"""),"Humanos, Físicos, Financieros, Tecnológicos")</f>
        <v>Humanos, Físicos, Financieros, Tecnológicos</v>
      </c>
      <c r="AB140" s="47" t="str">
        <f>IFERROR(__xludf.DUMMYFUNCTION("""COMPUTED_VALUE"""),"No asociado")</f>
        <v>No asociado</v>
      </c>
      <c r="AC140" s="47" t="str">
        <f>IFERROR(__xludf.DUMMYFUNCTION("""COMPUTED_VALUE"""),"Llegar con actividades de pesca y acuicultura a todas las regiones")</f>
        <v>Llegar con actividades de pesca y acuicultura a todas las regiones</v>
      </c>
      <c r="AD140" s="47" t="str">
        <f>IFERROR(__xludf.DUMMYFUNCTION("""COMPUTED_VALUE"""),"Gestión con valores para resultados")</f>
        <v>Gestión con valores para resultados</v>
      </c>
      <c r="AE140" s="47" t="str">
        <f>IFERROR(__xludf.DUMMYFUNCTION("""COMPUTED_VALUE"""),"Fortalecimiento Organizacional y Simplificación de Procesos")</f>
        <v>Fortalecimiento Organizacional y Simplificación de Procesos</v>
      </c>
      <c r="AF140" s="47" t="str">
        <f>IFERROR(__xludf.DUMMYFUNCTION("""COMPUTED_VALUE"""),"12. Producción y consumo responsable")</f>
        <v>12. Producción y consumo responsable</v>
      </c>
      <c r="AG140" s="58">
        <f>IFERROR(__xludf.DUMMYFUNCTION("""COMPUTED_VALUE"""),644.0)</f>
        <v>644</v>
      </c>
      <c r="AH140" s="59" t="str">
        <f>IFERROR(__xludf.DUMMYFUNCTION("""COMPUTED_VALUE"""),"Durante el Cuarto trimestre se logro capacitar a 644 personas en Pesca y Acuicultura, en MES DE OCTUBRE se capacito a 263 personas de la zona; MES DE NOVIEMBRE 254 personas y mes de DICIEMBRE 127 .")</f>
        <v>Durante el Cuarto trimestre se logro capacitar a 644 personas en Pesca y Acuicultura, en MES DE OCTUBRE se capacito a 263 personas de la zona; MES DE NOVIEMBRE 254 personas y mes de DICIEMBRE 127 .</v>
      </c>
      <c r="AI140" s="77" t="str">
        <f>IFERROR(__xludf.DUMMYFUNCTION("""COMPUTED_VALUE"""),"https://docs.google.com/spreadsheets/d/1p4E8WNp_cbqPeqiHcYP7aiWFzlRju7Gf/edit?usp=sharing&amp;ouid=105831338524648060683&amp;rtpof=true&amp;sd=true")</f>
        <v>https://docs.google.com/spreadsheets/d/1p4E8WNp_cbqPeqiHcYP7aiWFzlRju7Gf/edit?usp=sharing&amp;ouid=105831338524648060683&amp;rtpof=true&amp;sd=true</v>
      </c>
      <c r="AJ140" s="59">
        <f>IFERROR(__xludf.DUMMYFUNCTION("""COMPUTED_VALUE"""),3179.0)</f>
        <v>3179</v>
      </c>
      <c r="AK140" s="59" t="str">
        <f>IFERROR(__xludf.DUMMYFUNCTION("""COMPUTED_VALUE"""),"Se cumplio con la meta anual, nos pasamos debido a que se presentan muchas demandas de capacitaciones en la Regional y hay que surtirlas")</f>
        <v>Se cumplio con la meta anual, nos pasamos debido a que se presentan muchas demandas de capacitaciones en la Regional y hay que surtirlas</v>
      </c>
      <c r="AL140" s="59">
        <f>IFERROR(__xludf.DUMMYFUNCTION("""COMPUTED_VALUE"""),44582.0)</f>
        <v>44582</v>
      </c>
      <c r="AM140" s="60"/>
      <c r="AN140" s="61" t="str">
        <f>IFERROR(IF((AO140+1)&lt;2,Alertas!$B$2&amp;TEXT(AO140,"0%")&amp;Alertas!$D$2, IF((AO140+1)=2,Alertas!$B$3,IF((AO140+1)&gt;2,Alertas!$B$4&amp;TEXT(AO140,"0%")&amp;Alertas!$D$4,AO140+1))),"Sin meta para el segundo trimestre")</f>
        <v>La ejecución de la meta registrada se encuentra por debajo de la meta programada en la formulación del plan de acción para el segundo trimestre, su porcentaje de cumplimiento es 64%, lo cual indica un incumplimiento que puede ser entendido por los entes de control como falencias en el proceso de planeación y gestión de la dependencia. se recomienda realizar acciones para garantizar el cumplimiento de la meta durante lo que resta de vigencia</v>
      </c>
      <c r="AO140" s="62">
        <f t="shared" si="2"/>
        <v>0.644</v>
      </c>
      <c r="AP140" s="61" t="str">
        <f t="shared" si="3"/>
        <v>La ejecución de la meta registrada se encuentra por debajo de la meta programada en la formulación del plan de acción para el segundo trimestre, su porcentaje de cumplimiento es 64%, lo cual indica un incumplimiento que puede ser entendido por los entes de control como falencias en el proceso de planeación y gestión de la dependencia. se recomienda realizar acciones para garantizar el cumplimiento de la meta durante lo que resta de vigencia.</v>
      </c>
      <c r="AQ140" s="63"/>
      <c r="AR140" s="64"/>
      <c r="AS140" s="65"/>
      <c r="AT140" s="65"/>
      <c r="AU140" s="66"/>
      <c r="AV140" s="67"/>
      <c r="AW140" s="68"/>
      <c r="AX140" s="63"/>
      <c r="AY140" s="64"/>
      <c r="AZ140" s="69"/>
      <c r="BA140" s="65"/>
      <c r="BB140" s="70"/>
      <c r="BC140" s="71"/>
      <c r="BD140" s="72"/>
      <c r="BE140" s="73"/>
      <c r="BF140" s="64"/>
      <c r="BG140" s="69"/>
      <c r="BH140" s="65"/>
      <c r="BI140" s="66"/>
      <c r="BJ140" s="71"/>
      <c r="BK140" s="72"/>
      <c r="BL140" s="74"/>
      <c r="BN140" s="5" t="str">
        <f t="shared" si="23"/>
        <v>-1</v>
      </c>
      <c r="BP140" s="5"/>
    </row>
    <row r="141" ht="37.5" customHeight="1">
      <c r="A141" s="45"/>
      <c r="B141" s="46">
        <f>IFERROR(__xludf.DUMMYFUNCTION("""COMPUTED_VALUE"""),139.0)</f>
        <v>139</v>
      </c>
      <c r="C141" s="47" t="str">
        <f>IFERROR(__xludf.DUMMYFUNCTION("""COMPUTED_VALUE"""),"Gestión de la inspección y vigilancia")</f>
        <v>Gestión de la inspección y vigilancia</v>
      </c>
      <c r="D141" s="48" t="str">
        <f>IFERROR(__xludf.DUMMYFUNCTION("""COMPUTED_VALUE"""),"Regional Medellín")</f>
        <v>Regional Medellín</v>
      </c>
      <c r="E141"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41" s="49">
        <f>IFERROR(__xludf.DUMMYFUNCTION("""COMPUTED_VALUE"""),2.019011000276E12)</f>
        <v>2019011000276</v>
      </c>
      <c r="G141" s="50" t="str">
        <f>IFERROR(__xludf.DUMMYFUNCTION("""COMPUTED_VALUE"""),"Inspección")</f>
        <v>Inspección</v>
      </c>
      <c r="H141" s="48" t="str">
        <f>IFERROR(__xludf.DUMMYFUNCTION("""COMPUTED_VALUE"""),"Aumentar el conocimiento de la normatividad pesquera y de la acuicultura por parte de la comunidad.")</f>
        <v>Aumentar el conocimiento de la normatividad pesquera y de la acuicultura por parte de la comunidad.</v>
      </c>
      <c r="I141" s="48" t="str">
        <f>IFERROR(__xludf.DUMMYFUNCTION("""COMPUTED_VALUE"""),"Servicio de divulgación y socialización")</f>
        <v>Servicio de divulgación y socialización</v>
      </c>
      <c r="J141" s="48" t="str">
        <f>IFERROR(__xludf.DUMMYFUNCTION("""COMPUTED_VALUE"""),"Implementar las estrategias de socialización y Divulgación a la comunidad")</f>
        <v>Implementar las estrategias de socialización y Divulgación a la comunidad</v>
      </c>
      <c r="K141" s="51" t="str">
        <f>IFERROR(__xludf.DUMMYFUNCTION("""COMPUTED_VALUE"""),"Gestión")</f>
        <v>Gestión</v>
      </c>
      <c r="L141" s="51" t="str">
        <f>IFERROR(__xludf.DUMMYFUNCTION("""COMPUTED_VALUE"""),"Efectividad")</f>
        <v>Efectividad</v>
      </c>
      <c r="M141" s="51" t="str">
        <f>IFERROR(__xludf.DUMMYFUNCTION("""COMPUTED_VALUE"""),"Número")</f>
        <v>Número</v>
      </c>
      <c r="N141" s="52" t="str">
        <f>IFERROR(__xludf.DUMMYFUNCTION("""COMPUTED_VALUE"""),"Operativos de control a la actividad pesquera realizados")</f>
        <v>Operativos de control a la actividad pesquera realizados</v>
      </c>
      <c r="O141" s="53">
        <f>IFERROR(__xludf.DUMMYFUNCTION("""COMPUTED_VALUE"""),3582.0)</f>
        <v>3582</v>
      </c>
      <c r="P141" s="54">
        <f>IFERROR(__xludf.DUMMYFUNCTION("""COMPUTED_VALUE"""),30.0)</f>
        <v>30</v>
      </c>
      <c r="Q141" s="55" t="str">
        <f>IFERROR(__xludf.DUMMYFUNCTION("""COMPUTED_VALUE"""),"Realizar eventos de divulgación y socialización apoyados en pro de disminuir las malas prácticas , en el ejercicio del control y vigilancia preventiva de la actividad pesquera y acuícola.")</f>
        <v>Realizar eventos de divulgación y socialización apoyados en pro de disminuir las malas prácticas , en el ejercicio del control y vigilancia preventiva de la actividad pesquera y acuícola.</v>
      </c>
      <c r="R141" s="14" t="str">
        <f>IFERROR(__xludf.DUMMYFUNCTION("""COMPUTED_VALUE"""),"Trimestral")</f>
        <v>Trimestral</v>
      </c>
      <c r="S141" s="54">
        <f>IFERROR(__xludf.DUMMYFUNCTION("""COMPUTED_VALUE"""),6.0)</f>
        <v>6</v>
      </c>
      <c r="T141" s="54">
        <f>IFERROR(__xludf.DUMMYFUNCTION("""COMPUTED_VALUE"""),2.0)</f>
        <v>2</v>
      </c>
      <c r="U141" s="54">
        <f>IFERROR(__xludf.DUMMYFUNCTION("""COMPUTED_VALUE"""),11.0)</f>
        <v>11</v>
      </c>
      <c r="V141" s="54">
        <f>IFERROR(__xludf.DUMMYFUNCTION("""COMPUTED_VALUE"""),11.0)</f>
        <v>11</v>
      </c>
      <c r="W141" s="56" t="str">
        <f>IFERROR(__xludf.DUMMYFUNCTION("""COMPUTED_VALUE"""),"Regional Medellin")</f>
        <v>Regional Medellin</v>
      </c>
      <c r="X141" s="57" t="str">
        <f>IFERROR(__xludf.DUMMYFUNCTION("""COMPUTED_VALUE"""),"CARLOS MARIO ZAPATA MORALES")</f>
        <v>CARLOS MARIO ZAPATA MORALES</v>
      </c>
      <c r="Y141" s="47" t="str">
        <f>IFERROR(__xludf.DUMMYFUNCTION("""COMPUTED_VALUE"""),"DIRECTOR REGIONAL MEDILLIN")</f>
        <v>DIRECTOR REGIONAL MEDILLIN</v>
      </c>
      <c r="Z141" s="57" t="str">
        <f>IFERROR(__xludf.DUMMYFUNCTION("""COMPUTED_VALUE"""),"CARLOS.ZAPATA@AUNAP.GOV.CO")</f>
        <v>CARLOS.ZAPATA@AUNAP.GOV.CO</v>
      </c>
      <c r="AA141" s="47" t="str">
        <f>IFERROR(__xludf.DUMMYFUNCTION("""COMPUTED_VALUE"""),"Humano, físico, financiero, tecnológico")</f>
        <v>Humano, físico, financiero, tecnológico</v>
      </c>
      <c r="AB141" s="47" t="str">
        <f>IFERROR(__xludf.DUMMYFUNCTION("""COMPUTED_VALUE"""),"No asociado")</f>
        <v>No asociado</v>
      </c>
      <c r="AC141"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41" s="47" t="str">
        <f>IFERROR(__xludf.DUMMYFUNCTION("""COMPUTED_VALUE"""),"Gestión con valores para resultados")</f>
        <v>Gestión con valores para resultados</v>
      </c>
      <c r="AE141" s="47" t="str">
        <f>IFERROR(__xludf.DUMMYFUNCTION("""COMPUTED_VALUE"""),"Fortalecimiento Organizacional y Simplificación de Procesos")</f>
        <v>Fortalecimiento Organizacional y Simplificación de Procesos</v>
      </c>
      <c r="AF141" s="47" t="str">
        <f>IFERROR(__xludf.DUMMYFUNCTION("""COMPUTED_VALUE"""),"12. Producción y consumo responsable")</f>
        <v>12. Producción y consumo responsable</v>
      </c>
      <c r="AG141" s="58">
        <f>IFERROR(__xludf.DUMMYFUNCTION("""COMPUTED_VALUE"""),11.0)</f>
        <v>11</v>
      </c>
      <c r="AH141" s="59" t="str">
        <f>IFERROR(__xludf.DUMMYFUNCTION("""COMPUTED_VALUE"""),"ACTIVIDADES ENFOCADAS A  DIVULGACION VEDA DE CAMARON Y  NORMATIVIDAD")</f>
        <v>ACTIVIDADES ENFOCADAS A  DIVULGACION VEDA DE CAMARON Y  NORMATIVIDAD</v>
      </c>
      <c r="AI141" s="77" t="str">
        <f>IFERROR(__xludf.DUMMYFUNCTION("""COMPUTED_VALUE"""),"EVENTOS DIVULGACION")</f>
        <v>EVENTOS DIVULGACION</v>
      </c>
      <c r="AJ141" s="59">
        <f>IFERROR(__xludf.DUMMYFUNCTION("""COMPUTED_VALUE"""),30.0)</f>
        <v>30</v>
      </c>
      <c r="AK141" s="59" t="str">
        <f>IFERROR(__xludf.DUMMYFUNCTION("""COMPUTED_VALUE"""),"SE CUMPLE LA META DE DIVULGACION PREVENTIVA DE MEDIDAS REGULATORIA HACIA LA PESCA")</f>
        <v>SE CUMPLE LA META DE DIVULGACION PREVENTIVA DE MEDIDAS REGULATORIA HACIA LA PESCA</v>
      </c>
      <c r="AL141" s="59">
        <f>IFERROR(__xludf.DUMMYFUNCTION("""COMPUTED_VALUE"""),44582.0)</f>
        <v>44582</v>
      </c>
      <c r="AM141" s="60"/>
      <c r="AN141" s="61" t="str">
        <f>IFERROR(IF((AO141+1)&lt;2,Alertas!$B$2&amp;TEXT(AO141,"0%")&amp;Alertas!$D$2, IF((AO141+1)=2,Alertas!$B$3,IF((AO141+1)&gt;2,Alertas!$B$4&amp;TEXT(AO141,"0%")&amp;Alertas!$D$4,AO141+1))),"Sin meta para el segundo trimestre")</f>
        <v>La ejecución de la meta registrada se encuentra por encima de la meta programada en la formulación del plan de acción para el segundo trimestre, su porcentaje de cumplimiento es 550%,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41" s="62">
        <f t="shared" si="2"/>
        <v>5.5</v>
      </c>
      <c r="AP141" s="61" t="str">
        <f t="shared" si="3"/>
        <v>La ejecución de la meta registrada se encuentra por encima de la meta programada en la formulación del plan de acción para el segundo trimestre, su porcentaje de cumplimiento es 550%,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41" s="63"/>
      <c r="AR141" s="64"/>
      <c r="AS141" s="65"/>
      <c r="AT141" s="65"/>
      <c r="AU141" s="66"/>
      <c r="AV141" s="67"/>
      <c r="AW141" s="68"/>
      <c r="AX141" s="63"/>
      <c r="AY141" s="64"/>
      <c r="AZ141" s="69"/>
      <c r="BA141" s="65"/>
      <c r="BB141" s="70"/>
      <c r="BC141" s="71"/>
      <c r="BD141" s="72"/>
      <c r="BE141" s="73"/>
      <c r="BF141" s="64"/>
      <c r="BG141" s="69"/>
      <c r="BH141" s="65"/>
      <c r="BI141" s="66"/>
      <c r="BJ141" s="71"/>
      <c r="BK141" s="72"/>
      <c r="BL141" s="74"/>
      <c r="BN141" s="5" t="str">
        <f t="shared" si="23"/>
        <v>1</v>
      </c>
      <c r="BP141" s="5"/>
    </row>
    <row r="142" ht="37.5" customHeight="1">
      <c r="A142" s="45"/>
      <c r="B142" s="46">
        <f>IFERROR(__xludf.DUMMYFUNCTION("""COMPUTED_VALUE"""),140.0)</f>
        <v>140</v>
      </c>
      <c r="C142" s="47" t="str">
        <f>IFERROR(__xludf.DUMMYFUNCTION("""COMPUTED_VALUE"""),"Gestión de la administración y fomento")</f>
        <v>Gestión de la administración y fomento</v>
      </c>
      <c r="D142" s="48" t="str">
        <f>IFERROR(__xludf.DUMMYFUNCTION("""COMPUTED_VALUE"""),"Regional Medellín")</f>
        <v>Regional Medellín</v>
      </c>
      <c r="E142" s="48" t="str">
        <f>IFERROR(__xludf.DUMMYFUNCTION("""COMPUTED_VALUE"""),"Fortalecimiento de la sostenibilidad del sector pesquero y de la acuicultura en el territorio nacional")</f>
        <v>Fortalecimiento de la sostenibilidad del sector pesquero y de la acuicultura en el territorio nacional</v>
      </c>
      <c r="F142" s="49">
        <f>IFERROR(__xludf.DUMMYFUNCTION("""COMPUTED_VALUE"""),2.01901100028E12)</f>
        <v>2019011000280</v>
      </c>
      <c r="G142" s="50" t="str">
        <f>IFERROR(__xludf.DUMMYFUNCTION("""COMPUTED_VALUE"""),"Sostenibilidad")</f>
        <v>Sostenibilidad</v>
      </c>
      <c r="H142" s="48" t="str">
        <f>IFERROR(__xludf.DUMMYFUNCTION("""COMPUTED_VALUE"""),"Mejorar la explotación de los recursos pesqueros y de la acuicultura.")</f>
        <v>Mejorar la explotación de los recursos pesqueros y de la acuicultura.</v>
      </c>
      <c r="I142" s="48" t="str">
        <f>IFERROR(__xludf.DUMMYFUNCTION("""COMPUTED_VALUE"""),"Servicios de administración de los recurso pesqueros y de la acuicultura")</f>
        <v>Servicios de administración de los recurso pesqueros y de la acuicultura</v>
      </c>
      <c r="J142" s="48" t="str">
        <f>IFERROR(__xludf.DUMMYFUNCTION("""COMPUTED_VALUE"""),"Regular el manejo y el ejercicio de la actividad pesquera y de la acuicultura.")</f>
        <v>Regular el manejo y el ejercicio de la actividad pesquera y de la acuicultura.</v>
      </c>
      <c r="K142" s="51" t="str">
        <f>IFERROR(__xludf.DUMMYFUNCTION("""COMPUTED_VALUE"""),"Producto")</f>
        <v>Producto</v>
      </c>
      <c r="L142" s="51" t="str">
        <f>IFERROR(__xludf.DUMMYFUNCTION("""COMPUTED_VALUE"""),"Eficacia")</f>
        <v>Eficacia</v>
      </c>
      <c r="M142" s="51" t="str">
        <f>IFERROR(__xludf.DUMMYFUNCTION("""COMPUTED_VALUE"""),"Número")</f>
        <v>Número</v>
      </c>
      <c r="N142" s="52" t="str">
        <f>IFERROR(__xludf.DUMMYFUNCTION("""COMPUTED_VALUE"""),"Trámites atendidos")</f>
        <v>Trámites atendidos</v>
      </c>
      <c r="O142" s="53">
        <f>IFERROR(__xludf.DUMMYFUNCTION("""COMPUTED_VALUE"""),-7140.0)</f>
        <v>-7140</v>
      </c>
      <c r="P142" s="54">
        <f>IFERROR(__xludf.DUMMYFUNCTION("""COMPUTED_VALUE"""),300.0)</f>
        <v>300</v>
      </c>
      <c r="Q142" s="55" t="str">
        <f>IFERROR(__xludf.DUMMYFUNCTION("""COMPUTED_VALUE"""),"Atender trámites")</f>
        <v>Atender trámites</v>
      </c>
      <c r="R142" s="14" t="str">
        <f>IFERROR(__xludf.DUMMYFUNCTION("""COMPUTED_VALUE"""),"Trimestral")</f>
        <v>Trimestral</v>
      </c>
      <c r="S142" s="54">
        <f>IFERROR(__xludf.DUMMYFUNCTION("""COMPUTED_VALUE"""),50.0)</f>
        <v>50</v>
      </c>
      <c r="T142" s="54">
        <f>IFERROR(__xludf.DUMMYFUNCTION("""COMPUTED_VALUE"""),60.0)</f>
        <v>60</v>
      </c>
      <c r="U142" s="54">
        <f>IFERROR(__xludf.DUMMYFUNCTION("""COMPUTED_VALUE"""),90.0)</f>
        <v>90</v>
      </c>
      <c r="V142" s="54">
        <f>IFERROR(__xludf.DUMMYFUNCTION("""COMPUTED_VALUE"""),100.0)</f>
        <v>100</v>
      </c>
      <c r="W142" s="56" t="str">
        <f>IFERROR(__xludf.DUMMYFUNCTION("""COMPUTED_VALUE"""),"Regional Medellin")</f>
        <v>Regional Medellin</v>
      </c>
      <c r="X142" s="57" t="str">
        <f>IFERROR(__xludf.DUMMYFUNCTION("""COMPUTED_VALUE"""),"CARLOS MARIO ZAPATA MORALES")</f>
        <v>CARLOS MARIO ZAPATA MORALES</v>
      </c>
      <c r="Y142" s="47" t="str">
        <f>IFERROR(__xludf.DUMMYFUNCTION("""COMPUTED_VALUE"""),"DIRECTOR REGIONAL MEDILLIN")</f>
        <v>DIRECTOR REGIONAL MEDILLIN</v>
      </c>
      <c r="Z142" s="57" t="str">
        <f>IFERROR(__xludf.DUMMYFUNCTION("""COMPUTED_VALUE"""),"CARLOS.ZAPATA@AUNAP.GOV.CO")</f>
        <v>CARLOS.ZAPATA@AUNAP.GOV.CO</v>
      </c>
      <c r="AA142" s="47" t="str">
        <f>IFERROR(__xludf.DUMMYFUNCTION("""COMPUTED_VALUE"""),"Humano, físico, financiero, tecnológico")</f>
        <v>Humano, físico, financiero, tecnológico</v>
      </c>
      <c r="AB142" s="47" t="str">
        <f>IFERROR(__xludf.DUMMYFUNCTION("""COMPUTED_VALUE"""),"No asociado")</f>
        <v>No asociado</v>
      </c>
      <c r="AC142"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42" s="47" t="str">
        <f>IFERROR(__xludf.DUMMYFUNCTION("""COMPUTED_VALUE"""),"Gestión con valores para resultados")</f>
        <v>Gestión con valores para resultados</v>
      </c>
      <c r="AE142" s="47" t="str">
        <f>IFERROR(__xludf.DUMMYFUNCTION("""COMPUTED_VALUE"""),"Fortalecimiento Organizacional y Simplificación de Procesos")</f>
        <v>Fortalecimiento Organizacional y Simplificación de Procesos</v>
      </c>
      <c r="AF142" s="47" t="str">
        <f>IFERROR(__xludf.DUMMYFUNCTION("""COMPUTED_VALUE"""),"12. Producción y consumo responsable")</f>
        <v>12. Producción y consumo responsable</v>
      </c>
      <c r="AG142" s="58">
        <f>IFERROR(__xludf.DUMMYFUNCTION("""COMPUTED_VALUE"""),101.0)</f>
        <v>101</v>
      </c>
      <c r="AH142" s="59" t="str">
        <f>IFERROR(__xludf.DUMMYFUNCTION("""COMPUTED_VALUE"""),"TRAMITES REALIZADOS POR DEMANANDA DE LOS USUARIOS.SE CUMPLIO LA META")</f>
        <v>TRAMITES REALIZADOS POR DEMANANDA DE LOS USUARIOS.SE CUMPLIO LA META</v>
      </c>
      <c r="AI142" s="77" t="str">
        <f>IFERROR(__xludf.DUMMYFUNCTION("""COMPUTED_VALUE"""),"TRAMITES IV TRIESTRE REG MEDELLIN")</f>
        <v>TRAMITES IV TRIESTRE REG MEDELLIN</v>
      </c>
      <c r="AJ142" s="59">
        <f>IFERROR(__xludf.DUMMYFUNCTION("""COMPUTED_VALUE"""),324.0)</f>
        <v>324</v>
      </c>
      <c r="AK142" s="59" t="str">
        <f>IFERROR(__xludf.DUMMYFUNCTION("""COMPUTED_VALUE"""),"EL ANALISIS DE LOS PERMISOS DE LA REGIONAL MEDELLIN INDICAN UNA APROXIMACION A ESTE VALOR DE USUARIOS QUE ANUALMENTE RENUEVAN EL PERMISO ")</f>
        <v>EL ANALISIS DE LOS PERMISOS DE LA REGIONAL MEDELLIN INDICAN UNA APROXIMACION A ESTE VALOR DE USUARIOS QUE ANUALMENTE RENUEVAN EL PERMISO </v>
      </c>
      <c r="AL142" s="59">
        <f>IFERROR(__xludf.DUMMYFUNCTION("""COMPUTED_VALUE"""),44582.0)</f>
        <v>44582</v>
      </c>
      <c r="AM142" s="60"/>
      <c r="AN142" s="61" t="str">
        <f>IFERROR(IF((AO142+1)&lt;2,Alertas!$B$2&amp;TEXT(AO142,"0%")&amp;Alertas!$D$2, IF((AO142+1)=2,Alertas!$B$3,IF((AO142+1)&gt;2,Alertas!$B$4&amp;TEXT(AO142,"0%")&amp;Alertas!$D$4,AO142+1))),"Sin meta para el segundo trimestre")</f>
        <v>La ejecución de la meta registrada se encuentra por encima de la meta programada en la formulación del plan de acción para el segundo trimestre, su porcentaje de cumplimiento es 168%,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42" s="62">
        <f t="shared" si="2"/>
        <v>1.683333333</v>
      </c>
      <c r="AP142" s="61" t="str">
        <f t="shared" si="3"/>
        <v>La ejecución de la meta registrada se encuentra por encima de la meta programada en la formulación del plan de acción para el segundo trimestre, su porcentaje de cumplimiento es 168%,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42" s="63"/>
      <c r="AR142" s="64"/>
      <c r="AS142" s="65"/>
      <c r="AT142" s="65"/>
      <c r="AU142" s="66"/>
      <c r="AV142" s="67"/>
      <c r="AW142" s="68"/>
      <c r="AX142" s="63"/>
      <c r="AY142" s="64"/>
      <c r="AZ142" s="69"/>
      <c r="BA142" s="65"/>
      <c r="BB142" s="70"/>
      <c r="BC142" s="71"/>
      <c r="BD142" s="72"/>
      <c r="BE142" s="73"/>
      <c r="BF142" s="64"/>
      <c r="BG142" s="69"/>
      <c r="BH142" s="65"/>
      <c r="BI142" s="66"/>
      <c r="BJ142" s="71"/>
      <c r="BK142" s="72"/>
      <c r="BL142" s="74"/>
      <c r="BN142" s="5" t="str">
        <f t="shared" si="23"/>
        <v>1</v>
      </c>
      <c r="BP142" s="5"/>
    </row>
    <row r="143" ht="37.5" customHeight="1">
      <c r="A143" s="45"/>
      <c r="B143" s="46">
        <f>IFERROR(__xludf.DUMMYFUNCTION("""COMPUTED_VALUE"""),141.0)</f>
        <v>141</v>
      </c>
      <c r="C143" s="47" t="str">
        <f>IFERROR(__xludf.DUMMYFUNCTION("""COMPUTED_VALUE"""),"Gestión de la administración y fomento")</f>
        <v>Gestión de la administración y fomento</v>
      </c>
      <c r="D143" s="48" t="str">
        <f>IFERROR(__xludf.DUMMYFUNCTION("""COMPUTED_VALUE"""),"Regional Medellín")</f>
        <v>Regional Medellín</v>
      </c>
      <c r="E143" s="48" t="str">
        <f>IFERROR(__xludf.DUMMYFUNCTION("""COMPUTED_VALUE"""),"Fortalecimiento de la sostenibilidad del sector pesquero y de la acuicultura en el territorio nacional")</f>
        <v>Fortalecimiento de la sostenibilidad del sector pesquero y de la acuicultura en el territorio nacional</v>
      </c>
      <c r="F143" s="49">
        <f>IFERROR(__xludf.DUMMYFUNCTION("""COMPUTED_VALUE"""),2.01901100028E12)</f>
        <v>2019011000280</v>
      </c>
      <c r="G143" s="50" t="str">
        <f>IFERROR(__xludf.DUMMYFUNCTION("""COMPUTED_VALUE"""),"Sostenibilidad")</f>
        <v>Sostenibilidad</v>
      </c>
      <c r="H143" s="48" t="str">
        <f>IFERROR(__xludf.DUMMYFUNCTION("""COMPUTED_VALUE"""),"Mejorar las prácticas de pesca y de acuicultura.")</f>
        <v>Mejorar las prácticas de pesca y de acuicultura.</v>
      </c>
      <c r="I143" s="48" t="str">
        <f>IFERROR(__xludf.DUMMYFUNCTION("""COMPUTED_VALUE"""),"Servicios de apoyo al fomento de la pesca y la acuicultura")</f>
        <v>Servicios de apoyo al fomento de la pesca y la acuicultura</v>
      </c>
      <c r="J143" s="48" t="str">
        <f>IFERROR(__xludf.DUMMYFUNCTION("""COMPUTED_VALUE"""),"Generar acciones de fomento para la pesca, la acuicultura y sus actividades conexas.")</f>
        <v>Generar acciones de fomento para la pesca, la acuicultura y sus actividades conexas.</v>
      </c>
      <c r="K143" s="51" t="str">
        <f>IFERROR(__xludf.DUMMYFUNCTION("""COMPUTED_VALUE"""),"Gestión del área")</f>
        <v>Gestión del área</v>
      </c>
      <c r="L143" s="51" t="str">
        <f>IFERROR(__xludf.DUMMYFUNCTION("""COMPUTED_VALUE"""),"Eficacia")</f>
        <v>Eficacia</v>
      </c>
      <c r="M143" s="51" t="str">
        <f>IFERROR(__xludf.DUMMYFUNCTION("""COMPUTED_VALUE"""),"Número")</f>
        <v>Número</v>
      </c>
      <c r="N143" s="52" t="str">
        <f>IFERROR(__xludf.DUMMYFUNCTION("""COMPUTED_VALUE"""),"Número de asociaciones capacitadas/número de capacitacio a asociaciones programadas.")</f>
        <v>Número de asociaciones capacitadas/número de capacitacio a asociaciones programadas.</v>
      </c>
      <c r="O143" s="53"/>
      <c r="P143" s="54">
        <f>IFERROR(__xludf.DUMMYFUNCTION("""COMPUTED_VALUE"""),20.0)</f>
        <v>20</v>
      </c>
      <c r="Q143" s="55" t="str">
        <f>IFERROR(__xludf.DUMMYFUNCTION("""COMPUTED_VALUE"""),"Capacitadar asociaciones en temas de pesca y acuicultura")</f>
        <v>Capacitadar asociaciones en temas de pesca y acuicultura</v>
      </c>
      <c r="R143" s="14" t="str">
        <f>IFERROR(__xludf.DUMMYFUNCTION("""COMPUTED_VALUE"""),"Trimestral")</f>
        <v>Trimestral</v>
      </c>
      <c r="S143" s="54">
        <f>IFERROR(__xludf.DUMMYFUNCTION("""COMPUTED_VALUE"""),3.0)</f>
        <v>3</v>
      </c>
      <c r="T143" s="54">
        <f>IFERROR(__xludf.DUMMYFUNCTION("""COMPUTED_VALUE"""),2.0)</f>
        <v>2</v>
      </c>
      <c r="U143" s="54">
        <f>IFERROR(__xludf.DUMMYFUNCTION("""COMPUTED_VALUE"""),7.0)</f>
        <v>7</v>
      </c>
      <c r="V143" s="54">
        <f>IFERROR(__xludf.DUMMYFUNCTION("""COMPUTED_VALUE"""),8.0)</f>
        <v>8</v>
      </c>
      <c r="W143" s="56" t="str">
        <f>IFERROR(__xludf.DUMMYFUNCTION("""COMPUTED_VALUE"""),"Regional Medellin")</f>
        <v>Regional Medellin</v>
      </c>
      <c r="X143" s="57" t="str">
        <f>IFERROR(__xludf.DUMMYFUNCTION("""COMPUTED_VALUE"""),"CARLOS MARIO ZAPATA MORALES")</f>
        <v>CARLOS MARIO ZAPATA MORALES</v>
      </c>
      <c r="Y143" s="47" t="str">
        <f>IFERROR(__xludf.DUMMYFUNCTION("""COMPUTED_VALUE"""),"DIRECTOR REGIONAL MEDILLIN")</f>
        <v>DIRECTOR REGIONAL MEDILLIN</v>
      </c>
      <c r="Z143" s="57" t="str">
        <f>IFERROR(__xludf.DUMMYFUNCTION("""COMPUTED_VALUE"""),"CARLOS.ZAPATA@AUNAP.GOV.CO")</f>
        <v>CARLOS.ZAPATA@AUNAP.GOV.CO</v>
      </c>
      <c r="AA143" s="47" t="str">
        <f>IFERROR(__xludf.DUMMYFUNCTION("""COMPUTED_VALUE"""),"Humano, físico, financiero, tecnológico")</f>
        <v>Humano, físico, financiero, tecnológico</v>
      </c>
      <c r="AB143" s="47" t="str">
        <f>IFERROR(__xludf.DUMMYFUNCTION("""COMPUTED_VALUE"""),"No asociado")</f>
        <v>No asociado</v>
      </c>
      <c r="AC143"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43" s="47" t="str">
        <f>IFERROR(__xludf.DUMMYFUNCTION("""COMPUTED_VALUE"""),"Gestión con valores para resultados")</f>
        <v>Gestión con valores para resultados</v>
      </c>
      <c r="AE143" s="47" t="str">
        <f>IFERROR(__xludf.DUMMYFUNCTION("""COMPUTED_VALUE"""),"Fortalecimiento Organizacional y Simplificación de Procesos")</f>
        <v>Fortalecimiento Organizacional y Simplificación de Procesos</v>
      </c>
      <c r="AF143" s="47" t="str">
        <f>IFERROR(__xludf.DUMMYFUNCTION("""COMPUTED_VALUE"""),"12. Producción y consumo responsable")</f>
        <v>12. Producción y consumo responsable</v>
      </c>
      <c r="AG143" s="58">
        <f>IFERROR(__xludf.DUMMYFUNCTION("""COMPUTED_VALUE"""),9.0)</f>
        <v>9</v>
      </c>
      <c r="AH143" s="59" t="str">
        <f>IFERROR(__xludf.DUMMYFUNCTION("""COMPUTED_VALUE"""),"CAPACITACIONES A ORGANIZACIONES DE URABA, BAJO CAUCA, BAHIA SOLANO Y BAJO BAUDO")</f>
        <v>CAPACITACIONES A ORGANIZACIONES DE URABA, BAJO CAUCA, BAHIA SOLANO Y BAJO BAUDO</v>
      </c>
      <c r="AI143" s="77" t="str">
        <f>IFERROR(__xludf.DUMMYFUNCTION("""COMPUTED_VALUE"""),"CAPACITACIONES A ASOCIACIONES EN TEMAS DE PESCA Y ACUICULTURA")</f>
        <v>CAPACITACIONES A ASOCIACIONES EN TEMAS DE PESCA Y ACUICULTURA</v>
      </c>
      <c r="AJ143" s="59">
        <f>IFERROR(__xludf.DUMMYFUNCTION("""COMPUTED_VALUE"""),22.0)</f>
        <v>22</v>
      </c>
      <c r="AK143" s="59" t="str">
        <f>IFERROR(__xludf.DUMMYFUNCTION("""COMPUTED_VALUE"""),"CAPACITACION A ORGANIZACIONES DEL BAJO CAUCA, URABA, CHOCO Y EL EJE CAFETERO, SE ATENDIO EL INDICADOR  PROGRAMADO")</f>
        <v>CAPACITACION A ORGANIZACIONES DEL BAJO CAUCA, URABA, CHOCO Y EL EJE CAFETERO, SE ATENDIO EL INDICADOR  PROGRAMADO</v>
      </c>
      <c r="AL143" s="59">
        <f>IFERROR(__xludf.DUMMYFUNCTION("""COMPUTED_VALUE"""),44582.0)</f>
        <v>44582</v>
      </c>
      <c r="AM143" s="60"/>
      <c r="AN143" s="61" t="str">
        <f>IFERROR(IF((AO143+1)&lt;2,Alertas!$B$2&amp;TEXT(AO143,"0%")&amp;Alertas!$D$2, IF((AO143+1)=2,Alertas!$B$3,IF((AO143+1)&gt;2,Alertas!$B$4&amp;TEXT(AO143,"0%")&amp;Alertas!$D$4,AO143+1))),"Sin meta para el segundo trimestre")</f>
        <v>La ejecución de la meta registrada se encuentra por encima de la meta programada en la formulación del plan de acción para el segundo trimestre, su porcentaje de cumplimiento es 450%,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43" s="62">
        <f t="shared" si="2"/>
        <v>4.5</v>
      </c>
      <c r="AP143" s="61" t="str">
        <f t="shared" si="3"/>
        <v>La ejecución de la meta registrada se encuentra por encima de la meta programada en la formulación del plan de acción para el segundo trimestre, su porcentaje de cumplimiento es 450%,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43" s="63"/>
      <c r="AR143" s="64"/>
      <c r="AS143" s="65"/>
      <c r="AT143" s="65"/>
      <c r="AU143" s="66"/>
      <c r="AV143" s="67"/>
      <c r="AW143" s="68"/>
      <c r="AX143" s="63"/>
      <c r="AY143" s="64"/>
      <c r="AZ143" s="69"/>
      <c r="BA143" s="65"/>
      <c r="BB143" s="70"/>
      <c r="BC143" s="71"/>
      <c r="BD143" s="72"/>
      <c r="BE143" s="73"/>
      <c r="BF143" s="64"/>
      <c r="BG143" s="69"/>
      <c r="BH143" s="65"/>
      <c r="BI143" s="66"/>
      <c r="BJ143" s="71"/>
      <c r="BK143" s="72"/>
      <c r="BL143" s="74"/>
      <c r="BN143" s="5" t="str">
        <f t="shared" si="23"/>
        <v>1</v>
      </c>
      <c r="BP143" s="5"/>
    </row>
    <row r="144" ht="37.5" customHeight="1">
      <c r="A144" s="45"/>
      <c r="B144" s="46">
        <f>IFERROR(__xludf.DUMMYFUNCTION("""COMPUTED_VALUE"""),142.0)</f>
        <v>142</v>
      </c>
      <c r="C144" s="47" t="str">
        <f>IFERROR(__xludf.DUMMYFUNCTION("""COMPUTED_VALUE"""),"Gestión de la administración y fomento")</f>
        <v>Gestión de la administración y fomento</v>
      </c>
      <c r="D144" s="48" t="str">
        <f>IFERROR(__xludf.DUMMYFUNCTION("""COMPUTED_VALUE"""),"Regional Medellín")</f>
        <v>Regional Medellín</v>
      </c>
      <c r="E144" s="48" t="str">
        <f>IFERROR(__xludf.DUMMYFUNCTION("""COMPUTED_VALUE"""),"Fortalecimiento de la sostenibilidad del sector pesquero y de la acuicultura en el territorio nacional")</f>
        <v>Fortalecimiento de la sostenibilidad del sector pesquero y de la acuicultura en el territorio nacional</v>
      </c>
      <c r="F144" s="49">
        <f>IFERROR(__xludf.DUMMYFUNCTION("""COMPUTED_VALUE"""),2.01901100028E12)</f>
        <v>2019011000280</v>
      </c>
      <c r="G144" s="50" t="str">
        <f>IFERROR(__xludf.DUMMYFUNCTION("""COMPUTED_VALUE"""),"Sostenibilidad")</f>
        <v>Sostenibilidad</v>
      </c>
      <c r="H144" s="48" t="str">
        <f>IFERROR(__xludf.DUMMYFUNCTION("""COMPUTED_VALUE"""),"Mejorar la explotación de los recursos pesqueros y de la acuicultura.")</f>
        <v>Mejorar la explotación de los recursos pesqueros y de la acuicultura.</v>
      </c>
      <c r="I144" s="48" t="str">
        <f>IFERROR(__xludf.DUMMYFUNCTION("""COMPUTED_VALUE"""),"Servicios de administración de los recurso pesqueros y de la acuicultura")</f>
        <v>Servicios de administración de los recurso pesqueros y de la acuicultura</v>
      </c>
      <c r="J144" s="48" t="str">
        <f>IFERROR(__xludf.DUMMYFUNCTION("""COMPUTED_VALUE"""),"Realizar acciones de divulgación y formalización de la actividad pesquera y de la acuicultura.")</f>
        <v>Realizar acciones de divulgación y formalización de la actividad pesquera y de la acuicultura.</v>
      </c>
      <c r="K144" s="51" t="str">
        <f>IFERROR(__xludf.DUMMYFUNCTION("""COMPUTED_VALUE"""),"Gestión del área")</f>
        <v>Gestión del área</v>
      </c>
      <c r="L144" s="51" t="str">
        <f>IFERROR(__xludf.DUMMYFUNCTION("""COMPUTED_VALUE"""),"Eficacia")</f>
        <v>Eficacia</v>
      </c>
      <c r="M144" s="51" t="str">
        <f>IFERROR(__xludf.DUMMYFUNCTION("""COMPUTED_VALUE"""),"Número")</f>
        <v>Número</v>
      </c>
      <c r="N144" s="52" t="str">
        <f>IFERROR(__xludf.DUMMYFUNCTION("""COMPUTED_VALUE"""),"Número de capacitaciones realizadas/número de capacitaciones programadas.")</f>
        <v>Número de capacitaciones realizadas/número de capacitaciones programadas.</v>
      </c>
      <c r="O144" s="53"/>
      <c r="P144" s="54">
        <f>IFERROR(__xludf.DUMMYFUNCTION("""COMPUTED_VALUE"""),66.0)</f>
        <v>66</v>
      </c>
      <c r="Q144" s="55" t="str">
        <f>IFERROR(__xludf.DUMMYFUNCTION("""COMPUTED_VALUE"""),"Capacitar a los grupos de interés en asociatividad y normatividad para el ejercicio de la acuicultura y pesca y actividades conexas")</f>
        <v>Capacitar a los grupos de interés en asociatividad y normatividad para el ejercicio de la acuicultura y pesca y actividades conexas</v>
      </c>
      <c r="R144" s="14" t="str">
        <f>IFERROR(__xludf.DUMMYFUNCTION("""COMPUTED_VALUE"""),"Trimestral")</f>
        <v>Trimestral</v>
      </c>
      <c r="S144" s="54">
        <f>IFERROR(__xludf.DUMMYFUNCTION("""COMPUTED_VALUE"""),12.0)</f>
        <v>12</v>
      </c>
      <c r="T144" s="54">
        <f>IFERROR(__xludf.DUMMYFUNCTION("""COMPUTED_VALUE"""),8.0)</f>
        <v>8</v>
      </c>
      <c r="U144" s="54">
        <f>IFERROR(__xludf.DUMMYFUNCTION("""COMPUTED_VALUE"""),23.0)</f>
        <v>23</v>
      </c>
      <c r="V144" s="54">
        <f>IFERROR(__xludf.DUMMYFUNCTION("""COMPUTED_VALUE"""),23.0)</f>
        <v>23</v>
      </c>
      <c r="W144" s="56" t="str">
        <f>IFERROR(__xludf.DUMMYFUNCTION("""COMPUTED_VALUE"""),"Regional Medellin")</f>
        <v>Regional Medellin</v>
      </c>
      <c r="X144" s="57" t="str">
        <f>IFERROR(__xludf.DUMMYFUNCTION("""COMPUTED_VALUE"""),"CARLOS MARIO ZAPATA MORALES")</f>
        <v>CARLOS MARIO ZAPATA MORALES</v>
      </c>
      <c r="Y144" s="47" t="str">
        <f>IFERROR(__xludf.DUMMYFUNCTION("""COMPUTED_VALUE"""),"DIRECTOR REGIONAL MEDILLIN")</f>
        <v>DIRECTOR REGIONAL MEDILLIN</v>
      </c>
      <c r="Z144" s="57" t="str">
        <f>IFERROR(__xludf.DUMMYFUNCTION("""COMPUTED_VALUE"""),"CARLOS.ZAPATA@AUNAP.GOV.CO")</f>
        <v>CARLOS.ZAPATA@AUNAP.GOV.CO</v>
      </c>
      <c r="AA144" s="47" t="str">
        <f>IFERROR(__xludf.DUMMYFUNCTION("""COMPUTED_VALUE"""),"Humano, físico, financiero, tecnológico")</f>
        <v>Humano, físico, financiero, tecnológico</v>
      </c>
      <c r="AB144" s="47" t="str">
        <f>IFERROR(__xludf.DUMMYFUNCTION("""COMPUTED_VALUE"""),"No asociado")</f>
        <v>No asociado</v>
      </c>
      <c r="AC144"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44" s="47" t="str">
        <f>IFERROR(__xludf.DUMMYFUNCTION("""COMPUTED_VALUE"""),"Gestión con valores para resultados")</f>
        <v>Gestión con valores para resultados</v>
      </c>
      <c r="AE144" s="47" t="str">
        <f>IFERROR(__xludf.DUMMYFUNCTION("""COMPUTED_VALUE"""),"Fortalecimiento Organizacional y Simplificación de Procesos")</f>
        <v>Fortalecimiento Organizacional y Simplificación de Procesos</v>
      </c>
      <c r="AF144" s="47" t="str">
        <f>IFERROR(__xludf.DUMMYFUNCTION("""COMPUTED_VALUE"""),"12. Producción y consumo responsable")</f>
        <v>12. Producción y consumo responsable</v>
      </c>
      <c r="AG144" s="58">
        <f>IFERROR(__xludf.DUMMYFUNCTION("""COMPUTED_VALUE"""),23.0)</f>
        <v>23</v>
      </c>
      <c r="AH144" s="59" t="str">
        <f>IFERROR(__xludf.DUMMYFUNCTION("""COMPUTED_VALUE"""),"CUMPLIMIENTO DE LA META CON ENFASIS EN URABA, LITORAL PACIFICO CHOCOANO")</f>
        <v>CUMPLIMIENTO DE LA META CON ENFASIS EN URABA, LITORAL PACIFICO CHOCOANO</v>
      </c>
      <c r="AI144" s="77" t="str">
        <f>IFERROR(__xludf.DUMMYFUNCTION("""COMPUTED_VALUE"""),"CAPACITAR A GRUPOS DE INTERES")</f>
        <v>CAPACITAR A GRUPOS DE INTERES</v>
      </c>
      <c r="AJ144" s="59">
        <f>IFERROR(__xludf.DUMMYFUNCTION("""COMPUTED_VALUE"""),72.0)</f>
        <v>72</v>
      </c>
      <c r="AK144" s="59" t="str">
        <f>IFERROR(__xludf.DUMMYFUNCTION("""COMPUTED_VALUE"""),"META CUMPLIDA POR MAYOR AISTENCIA DE USUARIOS,. SE APROXIMA EN LO PROGRAMADO")</f>
        <v>META CUMPLIDA POR MAYOR AISTENCIA DE USUARIOS,. SE APROXIMA EN LO PROGRAMADO</v>
      </c>
      <c r="AL144" s="59"/>
      <c r="AM144" s="60"/>
      <c r="AN144" s="61" t="str">
        <f>IFERROR(IF((AO144+1)&lt;2,Alertas!$B$2&amp;TEXT(AO144,"0%")&amp;Alertas!$D$2, IF((AO144+1)=2,Alertas!$B$3,IF((AO144+1)&gt;2,Alertas!$B$4&amp;TEXT(AO144,"0%")&amp;Alertas!$D$4,AO144+1))),"Sin meta para el segundo trimestre")</f>
        <v>La ejecución de la meta registrada se encuentra por encima de la meta programada en la formulación del plan de acción para el segundo trimestre, su porcentaje de cumplimiento es 288%,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44" s="62">
        <f t="shared" si="2"/>
        <v>2.875</v>
      </c>
      <c r="AP144" s="61" t="str">
        <f t="shared" si="3"/>
        <v>No reporto evidencia.
La ejecución de la meta registrada se encuentra por encima de la meta programada en la formulación del plan de acción para el segundo trimestre, su porcentaje de cumplimiento es 288%,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44" s="63"/>
      <c r="AR144" s="64"/>
      <c r="AS144" s="65"/>
      <c r="AT144" s="65"/>
      <c r="AU144" s="66"/>
      <c r="AV144" s="67"/>
      <c r="AW144" s="68"/>
      <c r="AX144" s="63"/>
      <c r="AY144" s="64"/>
      <c r="AZ144" s="69"/>
      <c r="BA144" s="65"/>
      <c r="BB144" s="70"/>
      <c r="BC144" s="71"/>
      <c r="BD144" s="72"/>
      <c r="BE144" s="73"/>
      <c r="BF144" s="64"/>
      <c r="BG144" s="69"/>
      <c r="BH144" s="65"/>
      <c r="BI144" s="66"/>
      <c r="BJ144" s="71"/>
      <c r="BK144" s="72"/>
      <c r="BL144" s="74"/>
      <c r="BN144" s="5" t="str">
        <f t="shared" si="23"/>
        <v>1</v>
      </c>
      <c r="BP144" s="5"/>
    </row>
    <row r="145" ht="37.5" customHeight="1">
      <c r="A145" s="45"/>
      <c r="B145" s="46">
        <f>IFERROR(__xludf.DUMMYFUNCTION("""COMPUTED_VALUE"""),143.0)</f>
        <v>143</v>
      </c>
      <c r="C145" s="47" t="str">
        <f>IFERROR(__xludf.DUMMYFUNCTION("""COMPUTED_VALUE"""),"Gestión de la administración y fomento")</f>
        <v>Gestión de la administración y fomento</v>
      </c>
      <c r="D145" s="48" t="str">
        <f>IFERROR(__xludf.DUMMYFUNCTION("""COMPUTED_VALUE"""),"Regional Medellín")</f>
        <v>Regional Medellín</v>
      </c>
      <c r="E145" s="48" t="str">
        <f>IFERROR(__xludf.DUMMYFUNCTION("""COMPUTED_VALUE"""),"Fortalecimiento de la sostenibilidad del sector pesquero y de la acuicultura en el territorio nacional")</f>
        <v>Fortalecimiento de la sostenibilidad del sector pesquero y de la acuicultura en el territorio nacional</v>
      </c>
      <c r="F145" s="49">
        <f>IFERROR(__xludf.DUMMYFUNCTION("""COMPUTED_VALUE"""),2.01901100028E12)</f>
        <v>2019011000280</v>
      </c>
      <c r="G145" s="50" t="str">
        <f>IFERROR(__xludf.DUMMYFUNCTION("""COMPUTED_VALUE"""),"Sostenibilidad")</f>
        <v>Sostenibilidad</v>
      </c>
      <c r="H145" s="48" t="str">
        <f>IFERROR(__xludf.DUMMYFUNCTION("""COMPUTED_VALUE"""),"Mejorar la explotación de los recursos pesqueros y de la acuicultura.")</f>
        <v>Mejorar la explotación de los recursos pesqueros y de la acuicultura.</v>
      </c>
      <c r="I145" s="48" t="str">
        <f>IFERROR(__xludf.DUMMYFUNCTION("""COMPUTED_VALUE"""),"Servicios de administración de los recurso pesqueros y de la acuicultura")</f>
        <v>Servicios de administración de los recurso pesqueros y de la acuicultura</v>
      </c>
      <c r="J145" s="48" t="str">
        <f>IFERROR(__xludf.DUMMYFUNCTION("""COMPUTED_VALUE"""),"Realizar acciones de divulgación y formalización de la actividad pesquera y de la acuicultura.")</f>
        <v>Realizar acciones de divulgación y formalización de la actividad pesquera y de la acuicultura.</v>
      </c>
      <c r="K145" s="51" t="str">
        <f>IFERROR(__xludf.DUMMYFUNCTION("""COMPUTED_VALUE"""),"Gestión del área")</f>
        <v>Gestión del área</v>
      </c>
      <c r="L145" s="51" t="str">
        <f>IFERROR(__xludf.DUMMYFUNCTION("""COMPUTED_VALUE"""),"Eficacia")</f>
        <v>Eficacia</v>
      </c>
      <c r="M145" s="51" t="str">
        <f>IFERROR(__xludf.DUMMYFUNCTION("""COMPUTED_VALUE"""),"Número")</f>
        <v>Número</v>
      </c>
      <c r="N145" s="52" t="str">
        <f>IFERROR(__xludf.DUMMYFUNCTION("""COMPUTED_VALUE"""),"Número de personas capacitadas/número de personas programadas")</f>
        <v>Número de personas capacitadas/número de personas programadas</v>
      </c>
      <c r="O145" s="53"/>
      <c r="P145" s="54">
        <f>IFERROR(__xludf.DUMMYFUNCTION("""COMPUTED_VALUE"""),500.0)</f>
        <v>500</v>
      </c>
      <c r="Q145" s="55" t="str">
        <f>IFERROR(__xludf.DUMMYFUNCTION("""COMPUTED_VALUE"""),"Capacitar a Personas en normatividad y procedimientos para el ejercicio de la acuicultura")</f>
        <v>Capacitar a Personas en normatividad y procedimientos para el ejercicio de la acuicultura</v>
      </c>
      <c r="R145" s="14" t="str">
        <f>IFERROR(__xludf.DUMMYFUNCTION("""COMPUTED_VALUE"""),"Trimestral")</f>
        <v>Trimestral</v>
      </c>
      <c r="S145" s="54">
        <f>IFERROR(__xludf.DUMMYFUNCTION("""COMPUTED_VALUE"""),100.0)</f>
        <v>100</v>
      </c>
      <c r="T145" s="54">
        <f>IFERROR(__xludf.DUMMYFUNCTION("""COMPUTED_VALUE"""),60.0)</f>
        <v>60</v>
      </c>
      <c r="U145" s="54">
        <f>IFERROR(__xludf.DUMMYFUNCTION("""COMPUTED_VALUE"""),170.0)</f>
        <v>170</v>
      </c>
      <c r="V145" s="54">
        <f>IFERROR(__xludf.DUMMYFUNCTION("""COMPUTED_VALUE"""),170.0)</f>
        <v>170</v>
      </c>
      <c r="W145" s="56" t="str">
        <f>IFERROR(__xludf.DUMMYFUNCTION("""COMPUTED_VALUE"""),"Regional Medellin")</f>
        <v>Regional Medellin</v>
      </c>
      <c r="X145" s="57" t="str">
        <f>IFERROR(__xludf.DUMMYFUNCTION("""COMPUTED_VALUE"""),"CARLOS MARIO ZAPATA MORALES")</f>
        <v>CARLOS MARIO ZAPATA MORALES</v>
      </c>
      <c r="Y145" s="47" t="str">
        <f>IFERROR(__xludf.DUMMYFUNCTION("""COMPUTED_VALUE"""),"DIRECTOR REGIONAL MEDILLIN")</f>
        <v>DIRECTOR REGIONAL MEDILLIN</v>
      </c>
      <c r="Z145" s="57" t="str">
        <f>IFERROR(__xludf.DUMMYFUNCTION("""COMPUTED_VALUE"""),"CARLOS.ZAPATA@AUNAP.GOV.CO")</f>
        <v>CARLOS.ZAPATA@AUNAP.GOV.CO</v>
      </c>
      <c r="AA145" s="47" t="str">
        <f>IFERROR(__xludf.DUMMYFUNCTION("""COMPUTED_VALUE"""),"Humano, físico, financiero, tecnológico")</f>
        <v>Humano, físico, financiero, tecnológico</v>
      </c>
      <c r="AB145" s="47" t="str">
        <f>IFERROR(__xludf.DUMMYFUNCTION("""COMPUTED_VALUE"""),"No asociado")</f>
        <v>No asociado</v>
      </c>
      <c r="AC145"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45" s="47" t="str">
        <f>IFERROR(__xludf.DUMMYFUNCTION("""COMPUTED_VALUE"""),"Gestión con valores para resultados")</f>
        <v>Gestión con valores para resultados</v>
      </c>
      <c r="AE145" s="47" t="str">
        <f>IFERROR(__xludf.DUMMYFUNCTION("""COMPUTED_VALUE"""),"Fortalecimiento Organizacional y Simplificación de Procesos")</f>
        <v>Fortalecimiento Organizacional y Simplificación de Procesos</v>
      </c>
      <c r="AF145" s="47" t="str">
        <f>IFERROR(__xludf.DUMMYFUNCTION("""COMPUTED_VALUE"""),"12. Producción y consumo responsable")</f>
        <v>12. Producción y consumo responsable</v>
      </c>
      <c r="AG145" s="58">
        <f>IFERROR(__xludf.DUMMYFUNCTION("""COMPUTED_VALUE"""),170.0)</f>
        <v>170</v>
      </c>
      <c r="AH145" s="59" t="str">
        <f>IFERROR(__xludf.DUMMYFUNCTION("""COMPUTED_VALUE"""),"ACTIVIDADES CONCENTRADAS EN EL URABA, BAJO CAUCA Y EJE CAFETERO")</f>
        <v>ACTIVIDADES CONCENTRADAS EN EL URABA, BAJO CAUCA Y EJE CAFETERO</v>
      </c>
      <c r="AI145" s="77" t="str">
        <f>IFERROR(__xludf.DUMMYFUNCTION("""COMPUTED_VALUE"""),"CAPACITAR A PERSONAS  PARA EL EJERCICIO")</f>
        <v>CAPACITAR A PERSONAS  PARA EL EJERCICIO</v>
      </c>
      <c r="AJ145" s="59">
        <f>IFERROR(__xludf.DUMMYFUNCTION("""COMPUTED_VALUE"""),597.0)</f>
        <v>597</v>
      </c>
      <c r="AK145" s="59" t="str">
        <f>IFERROR(__xludf.DUMMYFUNCTION("""COMPUTED_VALUE"""),"META CUMPLIDA POR MAYOR AISTENCIA DE USUARIOS,. SE APROXIMA EN LO PROGRAMADO")</f>
        <v>META CUMPLIDA POR MAYOR AISTENCIA DE USUARIOS,. SE APROXIMA EN LO PROGRAMADO</v>
      </c>
      <c r="AL145" s="59"/>
      <c r="AM145" s="60"/>
      <c r="AN145" s="61" t="str">
        <f>IFERROR(IF((AO145+1)&lt;2,Alertas!$B$2&amp;TEXT(AO145,"0%")&amp;Alertas!$D$2, IF((AO145+1)=2,Alertas!$B$3,IF((AO145+1)&gt;2,Alertas!$B$4&amp;TEXT(AO145,"0%")&amp;Alertas!$D$4,AO145+1))),"Sin meta para el segundo trimestre")</f>
        <v>La ejecución de la meta registrada se encuentra por encima de la meta programada en la formulación del plan de acción para el segundo trimestre, su porcentaje de cumplimiento es 283%,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45" s="62">
        <f t="shared" si="2"/>
        <v>2.833333333</v>
      </c>
      <c r="AP145" s="61" t="str">
        <f t="shared" si="3"/>
        <v>No reporto evidencia.
La ejecución de la meta registrada se encuentra por encima de la meta programada en la formulación del plan de acción para el segundo trimestre, su porcentaje de cumplimiento es 283%,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45" s="63"/>
      <c r="AR145" s="64"/>
      <c r="AS145" s="65"/>
      <c r="AT145" s="65"/>
      <c r="AU145" s="66"/>
      <c r="AV145" s="67"/>
      <c r="AW145" s="68"/>
      <c r="AX145" s="63"/>
      <c r="AY145" s="64"/>
      <c r="AZ145" s="69"/>
      <c r="BA145" s="65"/>
      <c r="BB145" s="70"/>
      <c r="BC145" s="71"/>
      <c r="BD145" s="72"/>
      <c r="BE145" s="73"/>
      <c r="BF145" s="64"/>
      <c r="BG145" s="69"/>
      <c r="BH145" s="65"/>
      <c r="BI145" s="66"/>
      <c r="BJ145" s="71"/>
      <c r="BK145" s="72"/>
      <c r="BL145" s="74"/>
      <c r="BN145" s="5" t="str">
        <f t="shared" si="23"/>
        <v>1</v>
      </c>
      <c r="BP145" s="5"/>
    </row>
    <row r="146" ht="37.5" customHeight="1">
      <c r="A146" s="45"/>
      <c r="B146" s="46">
        <f>IFERROR(__xludf.DUMMYFUNCTION("""COMPUTED_VALUE"""),144.0)</f>
        <v>144</v>
      </c>
      <c r="C146" s="47" t="str">
        <f>IFERROR(__xludf.DUMMYFUNCTION("""COMPUTED_VALUE"""),"Gestión de la inspección y vigilancia")</f>
        <v>Gestión de la inspección y vigilancia</v>
      </c>
      <c r="D146" s="48" t="str">
        <f>IFERROR(__xludf.DUMMYFUNCTION("""COMPUTED_VALUE"""),"Regional Medellín")</f>
        <v>Regional Medellín</v>
      </c>
      <c r="E146"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46" s="49">
        <f>IFERROR(__xludf.DUMMYFUNCTION("""COMPUTED_VALUE"""),2.019011000276E12)</f>
        <v>2019011000276</v>
      </c>
      <c r="G146" s="50" t="str">
        <f>IFERROR(__xludf.DUMMYFUNCTION("""COMPUTED_VALUE"""),"Inspección")</f>
        <v>Inspección</v>
      </c>
      <c r="H146" s="48" t="str">
        <f>IFERROR(__xludf.DUMMYFUNCTION("""COMPUTED_VALUE"""),"Aumentar el conocimiento de la normatividad pesquera y de la acuicultura por parte de la comunidad.")</f>
        <v>Aumentar el conocimiento de la normatividad pesquera y de la acuicultura por parte de la comunidad.</v>
      </c>
      <c r="I146" s="48" t="str">
        <f>IFERROR(__xludf.DUMMYFUNCTION("""COMPUTED_VALUE"""),"Servicio de divulgación y socialización")</f>
        <v>Servicio de divulgación y socialización</v>
      </c>
      <c r="J146" s="48" t="str">
        <f>IFERROR(__xludf.DUMMYFUNCTION("""COMPUTED_VALUE"""),"Implementar las estrategias de socialización y Divulgación a la comunidad")</f>
        <v>Implementar las estrategias de socialización y Divulgación a la comunidad</v>
      </c>
      <c r="K146" s="51" t="str">
        <f>IFERROR(__xludf.DUMMYFUNCTION("""COMPUTED_VALUE"""),"Gestión del área")</f>
        <v>Gestión del área</v>
      </c>
      <c r="L146" s="51" t="str">
        <f>IFERROR(__xludf.DUMMYFUNCTION("""COMPUTED_VALUE"""),"Eficacia")</f>
        <v>Eficacia</v>
      </c>
      <c r="M146" s="51" t="str">
        <f>IFERROR(__xludf.DUMMYFUNCTION("""COMPUTED_VALUE"""),"Número")</f>
        <v>Número</v>
      </c>
      <c r="N146" s="52" t="str">
        <f>IFERROR(__xludf.DUMMYFUNCTION("""COMPUTED_VALUE"""),"Número de personas capacitadas en BPM/Número de personas programadas.")</f>
        <v>Número de personas capacitadas en BPM/Número de personas programadas.</v>
      </c>
      <c r="O146" s="53"/>
      <c r="P146" s="54">
        <f>IFERROR(__xludf.DUMMYFUNCTION("""COMPUTED_VALUE"""),500.0)</f>
        <v>500</v>
      </c>
      <c r="Q146" s="55" t="str">
        <f>IFERROR(__xludf.DUMMYFUNCTION("""COMPUTED_VALUE"""),"Capacitar a Personas en buenas practicas pesqueras (BPP) y buenas practicas de manufactura (BPM)")</f>
        <v>Capacitar a Personas en buenas practicas pesqueras (BPP) y buenas practicas de manufactura (BPM)</v>
      </c>
      <c r="R146" s="14" t="str">
        <f>IFERROR(__xludf.DUMMYFUNCTION("""COMPUTED_VALUE"""),"Trimestral")</f>
        <v>Trimestral</v>
      </c>
      <c r="S146" s="54">
        <f>IFERROR(__xludf.DUMMYFUNCTION("""COMPUTED_VALUE"""),100.0)</f>
        <v>100</v>
      </c>
      <c r="T146" s="54">
        <f>IFERROR(__xludf.DUMMYFUNCTION("""COMPUTED_VALUE"""),60.0)</f>
        <v>60</v>
      </c>
      <c r="U146" s="54">
        <f>IFERROR(__xludf.DUMMYFUNCTION("""COMPUTED_VALUE"""),170.0)</f>
        <v>170</v>
      </c>
      <c r="V146" s="54">
        <f>IFERROR(__xludf.DUMMYFUNCTION("""COMPUTED_VALUE"""),170.0)</f>
        <v>170</v>
      </c>
      <c r="W146" s="56" t="str">
        <f>IFERROR(__xludf.DUMMYFUNCTION("""COMPUTED_VALUE"""),"Regional Medellin")</f>
        <v>Regional Medellin</v>
      </c>
      <c r="X146" s="57" t="str">
        <f>IFERROR(__xludf.DUMMYFUNCTION("""COMPUTED_VALUE"""),"CARLOS MARIO ZAPATA MORALES")</f>
        <v>CARLOS MARIO ZAPATA MORALES</v>
      </c>
      <c r="Y146" s="47" t="str">
        <f>IFERROR(__xludf.DUMMYFUNCTION("""COMPUTED_VALUE"""),"DIRECTOR REGIONAL MEDILLIN")</f>
        <v>DIRECTOR REGIONAL MEDILLIN</v>
      </c>
      <c r="Z146" s="57" t="str">
        <f>IFERROR(__xludf.DUMMYFUNCTION("""COMPUTED_VALUE"""),"CARLOS.ZAPATA@AUNAP.GOV.CO")</f>
        <v>CARLOS.ZAPATA@AUNAP.GOV.CO</v>
      </c>
      <c r="AA146" s="47" t="str">
        <f>IFERROR(__xludf.DUMMYFUNCTION("""COMPUTED_VALUE"""),"Humano, físico, financiero, tecnológico")</f>
        <v>Humano, físico, financiero, tecnológico</v>
      </c>
      <c r="AB146" s="47" t="str">
        <f>IFERROR(__xludf.DUMMYFUNCTION("""COMPUTED_VALUE"""),"No asociado")</f>
        <v>No asociado</v>
      </c>
      <c r="AC146"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46" s="47" t="str">
        <f>IFERROR(__xludf.DUMMYFUNCTION("""COMPUTED_VALUE"""),"Gestión con valores para resultados")</f>
        <v>Gestión con valores para resultados</v>
      </c>
      <c r="AE146" s="47" t="str">
        <f>IFERROR(__xludf.DUMMYFUNCTION("""COMPUTED_VALUE"""),"Fortalecimiento Organizacional y Simplificación de Procesos")</f>
        <v>Fortalecimiento Organizacional y Simplificación de Procesos</v>
      </c>
      <c r="AF146" s="47" t="str">
        <f>IFERROR(__xludf.DUMMYFUNCTION("""COMPUTED_VALUE"""),"12. Producción y consumo responsable")</f>
        <v>12. Producción y consumo responsable</v>
      </c>
      <c r="AG146" s="58">
        <f>IFERROR(__xludf.DUMMYFUNCTION("""COMPUTED_VALUE"""),170.0)</f>
        <v>170</v>
      </c>
      <c r="AH146" s="59" t="str">
        <f>IFERROR(__xludf.DUMMYFUNCTION("""COMPUTED_VALUE"""),"CAPACITACIONES EN EL MUNICIPIO DE BAJO BAUDO Y BAHIA SOLANO, ADEMAS DEL URABA Y BAJO CAUCA ANTIOQUEÑO,")</f>
        <v>CAPACITACIONES EN EL MUNICIPIO DE BAJO BAUDO Y BAHIA SOLANO, ADEMAS DEL URABA Y BAJO CAUCA ANTIOQUEÑO,</v>
      </c>
      <c r="AI146" s="77" t="str">
        <f>IFERROR(__xludf.DUMMYFUNCTION("""COMPUTED_VALUE"""),"CAPACITACION EN BPP Y BPM")</f>
        <v>CAPACITACION EN BPP Y BPM</v>
      </c>
      <c r="AJ146" s="59">
        <f>IFERROR(__xludf.DUMMYFUNCTION("""COMPUTED_VALUE"""),525.0)</f>
        <v>525</v>
      </c>
      <c r="AK146" s="59" t="str">
        <f>IFERROR(__xludf.DUMMYFUNCTION("""COMPUTED_VALUE"""),"LA POBLACION OBJETO SE FOCALIZO EN LOS PROCEOSO DE ORDENACION Y BPP EN EL LITORAL PACIFICO CHOCOANO, ADEMAS DEL URABA Y BAJO CAUCA ")</f>
        <v>LA POBLACION OBJETO SE FOCALIZO EN LOS PROCEOSO DE ORDENACION Y BPP EN EL LITORAL PACIFICO CHOCOANO, ADEMAS DEL URABA Y BAJO CAUCA </v>
      </c>
      <c r="AL146" s="59"/>
      <c r="AM146" s="60"/>
      <c r="AN146" s="61" t="str">
        <f>IFERROR(IF((AO146+1)&lt;2,Alertas!$B$2&amp;TEXT(AO146,"0%")&amp;Alertas!$D$2, IF((AO146+1)=2,Alertas!$B$3,IF((AO146+1)&gt;2,Alertas!$B$4&amp;TEXT(AO146,"0%")&amp;Alertas!$D$4,AO146+1))),"Sin meta para el segundo trimestre")</f>
        <v>La ejecución de la meta registrada se encuentra por encima de la meta programada en la formulación del plan de acción para el segundo trimestre, su porcentaje de cumplimiento es 283%,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46" s="62">
        <f t="shared" si="2"/>
        <v>2.833333333</v>
      </c>
      <c r="AP146" s="61" t="str">
        <f t="shared" si="3"/>
        <v>No reporto evidencia.
La ejecución de la meta registrada se encuentra por encima de la meta programada en la formulación del plan de acción para el segundo trimestre, su porcentaje de cumplimiento es 283%,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46" s="63"/>
      <c r="AR146" s="64"/>
      <c r="AS146" s="65"/>
      <c r="AT146" s="65"/>
      <c r="AU146" s="66"/>
      <c r="AV146" s="67"/>
      <c r="AW146" s="68"/>
      <c r="AX146" s="63"/>
      <c r="AY146" s="64"/>
      <c r="AZ146" s="69"/>
      <c r="BA146" s="65"/>
      <c r="BB146" s="70"/>
      <c r="BC146" s="71"/>
      <c r="BD146" s="72"/>
      <c r="BE146" s="73"/>
      <c r="BF146" s="64"/>
      <c r="BG146" s="69"/>
      <c r="BH146" s="65"/>
      <c r="BI146" s="66"/>
      <c r="BJ146" s="71"/>
      <c r="BK146" s="72"/>
      <c r="BL146" s="74"/>
      <c r="BN146" s="5" t="str">
        <f t="shared" si="23"/>
        <v>1</v>
      </c>
      <c r="BP146" s="5"/>
    </row>
    <row r="147" ht="37.5" customHeight="1">
      <c r="A147" s="45"/>
      <c r="B147" s="46">
        <f>IFERROR(__xludf.DUMMYFUNCTION("""COMPUTED_VALUE"""),145.0)</f>
        <v>145</v>
      </c>
      <c r="C147" s="47" t="str">
        <f>IFERROR(__xludf.DUMMYFUNCTION("""COMPUTED_VALUE"""),"Gestión de la inspección y vigilancia")</f>
        <v>Gestión de la inspección y vigilancia</v>
      </c>
      <c r="D147" s="48" t="str">
        <f>IFERROR(__xludf.DUMMYFUNCTION("""COMPUTED_VALUE"""),"Regional Medellín")</f>
        <v>Regional Medellín</v>
      </c>
      <c r="E147"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47" s="49">
        <f>IFERROR(__xludf.DUMMYFUNCTION("""COMPUTED_VALUE"""),2.019011000276E12)</f>
        <v>2019011000276</v>
      </c>
      <c r="G147" s="50" t="str">
        <f>IFERROR(__xludf.DUMMYFUNCTION("""COMPUTED_VALUE"""),"Inspección")</f>
        <v>Inspección</v>
      </c>
      <c r="H147" s="48" t="str">
        <f>IFERROR(__xludf.DUMMYFUNCTION("""COMPUTED_VALUE"""),"Aumentar el conocimiento de la normatividad pesquera y de la acuicultura por parte de la comunidad.")</f>
        <v>Aumentar el conocimiento de la normatividad pesquera y de la acuicultura por parte de la comunidad.</v>
      </c>
      <c r="I147" s="48" t="str">
        <f>IFERROR(__xludf.DUMMYFUNCTION("""COMPUTED_VALUE"""),"Servicio de divulgación y socialización")</f>
        <v>Servicio de divulgación y socialización</v>
      </c>
      <c r="J147" s="48" t="str">
        <f>IFERROR(__xludf.DUMMYFUNCTION("""COMPUTED_VALUE"""),"Implementar las estrategias de socialización y Divulgación a la comunidad")</f>
        <v>Implementar las estrategias de socialización y Divulgación a la comunidad</v>
      </c>
      <c r="K147" s="51" t="str">
        <f>IFERROR(__xludf.DUMMYFUNCTION("""COMPUTED_VALUE"""),"Gestión del área")</f>
        <v>Gestión del área</v>
      </c>
      <c r="L147" s="51" t="str">
        <f>IFERROR(__xludf.DUMMYFUNCTION("""COMPUTED_VALUE"""),"Eficacia")</f>
        <v>Eficacia</v>
      </c>
      <c r="M147" s="51" t="str">
        <f>IFERROR(__xludf.DUMMYFUNCTION("""COMPUTED_VALUE"""),"Número")</f>
        <v>Número</v>
      </c>
      <c r="N147" s="52" t="str">
        <f>IFERROR(__xludf.DUMMYFUNCTION("""COMPUTED_VALUE"""),"Número de capacitaciones realizadas/Número de capacitaciones programadas.")</f>
        <v>Número de capacitaciones realizadas/Número de capacitaciones programadas.</v>
      </c>
      <c r="O147" s="53"/>
      <c r="P147" s="54">
        <f>IFERROR(__xludf.DUMMYFUNCTION("""COMPUTED_VALUE"""),25.0)</f>
        <v>25</v>
      </c>
      <c r="Q147" s="55" t="str">
        <f>IFERROR(__xludf.DUMMYFUNCTION("""COMPUTED_VALUE"""),"Realizar capacitaciones en normatividad y medidas de inspección y vigilancia de la actividad pesquera y acuícola")</f>
        <v>Realizar capacitaciones en normatividad y medidas de inspección y vigilancia de la actividad pesquera y acuícola</v>
      </c>
      <c r="R147" s="14" t="str">
        <f>IFERROR(__xludf.DUMMYFUNCTION("""COMPUTED_VALUE"""),"Trimestral")</f>
        <v>Trimestral</v>
      </c>
      <c r="S147" s="54">
        <f>IFERROR(__xludf.DUMMYFUNCTION("""COMPUTED_VALUE"""),6.0)</f>
        <v>6</v>
      </c>
      <c r="T147" s="54">
        <f>IFERROR(__xludf.DUMMYFUNCTION("""COMPUTED_VALUE"""),5.0)</f>
        <v>5</v>
      </c>
      <c r="U147" s="54">
        <f>IFERROR(__xludf.DUMMYFUNCTION("""COMPUTED_VALUE"""),7.0)</f>
        <v>7</v>
      </c>
      <c r="V147" s="54">
        <f>IFERROR(__xludf.DUMMYFUNCTION("""COMPUTED_VALUE"""),7.0)</f>
        <v>7</v>
      </c>
      <c r="W147" s="56" t="str">
        <f>IFERROR(__xludf.DUMMYFUNCTION("""COMPUTED_VALUE"""),"Regional Medellin")</f>
        <v>Regional Medellin</v>
      </c>
      <c r="X147" s="57" t="str">
        <f>IFERROR(__xludf.DUMMYFUNCTION("""COMPUTED_VALUE"""),"CARLOS MARIO ZAPATA MORALES")</f>
        <v>CARLOS MARIO ZAPATA MORALES</v>
      </c>
      <c r="Y147" s="47" t="str">
        <f>IFERROR(__xludf.DUMMYFUNCTION("""COMPUTED_VALUE"""),"DIRECTOR REGIONAL MEDILLIN")</f>
        <v>DIRECTOR REGIONAL MEDILLIN</v>
      </c>
      <c r="Z147" s="57" t="str">
        <f>IFERROR(__xludf.DUMMYFUNCTION("""COMPUTED_VALUE"""),"CARLOS.ZAPATA@AUNAP.GOV.CO")</f>
        <v>CARLOS.ZAPATA@AUNAP.GOV.CO</v>
      </c>
      <c r="AA147" s="47" t="str">
        <f>IFERROR(__xludf.DUMMYFUNCTION("""COMPUTED_VALUE"""),"Humano, físico, financiero, tecnológico")</f>
        <v>Humano, físico, financiero, tecnológico</v>
      </c>
      <c r="AB147" s="47" t="str">
        <f>IFERROR(__xludf.DUMMYFUNCTION("""COMPUTED_VALUE"""),"No asociado")</f>
        <v>No asociado</v>
      </c>
      <c r="AC147"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47" s="47" t="str">
        <f>IFERROR(__xludf.DUMMYFUNCTION("""COMPUTED_VALUE"""),"Gestión con valores para resultados")</f>
        <v>Gestión con valores para resultados</v>
      </c>
      <c r="AE147" s="47" t="str">
        <f>IFERROR(__xludf.DUMMYFUNCTION("""COMPUTED_VALUE"""),"Fortalecimiento Organizacional y Simplificación de Procesos")</f>
        <v>Fortalecimiento Organizacional y Simplificación de Procesos</v>
      </c>
      <c r="AF147" s="47" t="str">
        <f>IFERROR(__xludf.DUMMYFUNCTION("""COMPUTED_VALUE"""),"12. Producción y consumo responsable")</f>
        <v>12. Producción y consumo responsable</v>
      </c>
      <c r="AG147" s="58">
        <f>IFERROR(__xludf.DUMMYFUNCTION("""COMPUTED_VALUE"""),7.0)</f>
        <v>7</v>
      </c>
      <c r="AH147" s="59" t="str">
        <f>IFERROR(__xludf.DUMMYFUNCTION("""COMPUTED_VALUE"""),"CAPACITACIONES A LAS AUTORIDADES EN EJE CAFETERO, URABA,  MUNICIPIOS DE CHOCO CON GRAN ACTIVIDAD COMERCAIL Y DE PRODUCCION")</f>
        <v>CAPACITACIONES A LAS AUTORIDADES EN EJE CAFETERO, URABA,  MUNICIPIOS DE CHOCO CON GRAN ACTIVIDAD COMERCAIL Y DE PRODUCCION</v>
      </c>
      <c r="AI147" s="77" t="str">
        <f>IFERROR(__xludf.DUMMYFUNCTION("""COMPUTED_VALUE"""),"CAPACITACION EN NORMATIVIDAD PESQUERA")</f>
        <v>CAPACITACION EN NORMATIVIDAD PESQUERA</v>
      </c>
      <c r="AJ147" s="59">
        <f>IFERROR(__xludf.DUMMYFUNCTION("""COMPUTED_VALUE"""),24.0)</f>
        <v>24</v>
      </c>
      <c r="AK147" s="59" t="str">
        <f>IFERROR(__xludf.DUMMYFUNCTION("""COMPUTED_VALUE"""),"CAPACITACIONES ENFOCADAS EN AUTORIDADES  LOCALES, CON MAYOR FRECUENCIA EN SITIOS DE MAYOR PRODUCCION PESQUERA COMO LITORAL PACIFICO. BAJO CAUCA, EJE CAFETERO.")</f>
        <v>CAPACITACIONES ENFOCADAS EN AUTORIDADES  LOCALES, CON MAYOR FRECUENCIA EN SITIOS DE MAYOR PRODUCCION PESQUERA COMO LITORAL PACIFICO. BAJO CAUCA, EJE CAFETERO.</v>
      </c>
      <c r="AL147" s="59"/>
      <c r="AM147" s="60"/>
      <c r="AN147" s="61" t="str">
        <f>IFERROR(IF((AO147+1)&lt;2,Alertas!$B$2&amp;TEXT(AO147,"0%")&amp;Alertas!$D$2, IF((AO147+1)=2,Alertas!$B$3,IF((AO147+1)&gt;2,Alertas!$B$4&amp;TEXT(AO147,"0%")&amp;Alertas!$D$4,AO147+1))),"Sin meta para el segundo trimestre")</f>
        <v>La ejecución de la meta registrada se encuentra por encima de la meta programada en la formulación del plan de acción para el segundo trimestre, su porcentaje de cumplimiento es 140%,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47" s="62">
        <f t="shared" si="2"/>
        <v>1.4</v>
      </c>
      <c r="AP147" s="61" t="str">
        <f t="shared" si="3"/>
        <v>No reporto evidencia.
La ejecución de la meta registrada se encuentra por encima de la meta programada en la formulación del plan de acción para el segundo trimestre, su porcentaje de cumplimiento es 140%,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47" s="63"/>
      <c r="AR147" s="64"/>
      <c r="AS147" s="65"/>
      <c r="AT147" s="65"/>
      <c r="AU147" s="66"/>
      <c r="AV147" s="67"/>
      <c r="AW147" s="68"/>
      <c r="AX147" s="63"/>
      <c r="AY147" s="64"/>
      <c r="AZ147" s="69"/>
      <c r="BA147" s="65"/>
      <c r="BB147" s="70"/>
      <c r="BC147" s="71"/>
      <c r="BD147" s="72"/>
      <c r="BE147" s="73"/>
      <c r="BF147" s="64"/>
      <c r="BG147" s="69"/>
      <c r="BH147" s="65"/>
      <c r="BI147" s="66"/>
      <c r="BJ147" s="71"/>
      <c r="BK147" s="72"/>
      <c r="BL147" s="74"/>
      <c r="BN147" s="5" t="str">
        <f t="shared" si="23"/>
        <v>1</v>
      </c>
      <c r="BP147" s="5"/>
    </row>
    <row r="148" ht="37.5" customHeight="1">
      <c r="A148" s="45"/>
      <c r="B148" s="46">
        <f>IFERROR(__xludf.DUMMYFUNCTION("""COMPUTED_VALUE"""),146.0)</f>
        <v>146</v>
      </c>
      <c r="C148" s="47" t="str">
        <f>IFERROR(__xludf.DUMMYFUNCTION("""COMPUTED_VALUE"""),"Gestión de la administración y fomento")</f>
        <v>Gestión de la administración y fomento</v>
      </c>
      <c r="D148" s="48" t="str">
        <f>IFERROR(__xludf.DUMMYFUNCTION("""COMPUTED_VALUE"""),"Regional Medellín")</f>
        <v>Regional Medellín</v>
      </c>
      <c r="E148" s="48" t="str">
        <f>IFERROR(__xludf.DUMMYFUNCTION("""COMPUTED_VALUE"""),"Fortalecimiento de la sostenibilidad del sector pesquero y de la acuicultura en el territorio nacional")</f>
        <v>Fortalecimiento de la sostenibilidad del sector pesquero y de la acuicultura en el territorio nacional</v>
      </c>
      <c r="F148" s="49">
        <f>IFERROR(__xludf.DUMMYFUNCTION("""COMPUTED_VALUE"""),2.01901100028E12)</f>
        <v>2019011000280</v>
      </c>
      <c r="G148" s="50" t="str">
        <f>IFERROR(__xludf.DUMMYFUNCTION("""COMPUTED_VALUE"""),"Sostenibilidad")</f>
        <v>Sostenibilidad</v>
      </c>
      <c r="H148" s="48" t="str">
        <f>IFERROR(__xludf.DUMMYFUNCTION("""COMPUTED_VALUE"""),"Mejorar las prácticas de pesca y de acuicultura.")</f>
        <v>Mejorar las prácticas de pesca y de acuicultura.</v>
      </c>
      <c r="I148" s="48" t="str">
        <f>IFERROR(__xludf.DUMMYFUNCTION("""COMPUTED_VALUE"""),"Servicios de apoyo al fomento de la pesca y la acuicultura")</f>
        <v>Servicios de apoyo al fomento de la pesca y la acuicultura</v>
      </c>
      <c r="J148" s="48" t="str">
        <f>IFERROR(__xludf.DUMMYFUNCTION("""COMPUTED_VALUE"""),"Generar acciones de fomento para la pesca, la acuicultura y sus actividades conexas.")</f>
        <v>Generar acciones de fomento para la pesca, la acuicultura y sus actividades conexas.</v>
      </c>
      <c r="K148" s="51" t="str">
        <f>IFERROR(__xludf.DUMMYFUNCTION("""COMPUTED_VALUE"""),"Gestión del área")</f>
        <v>Gestión del área</v>
      </c>
      <c r="L148" s="51" t="str">
        <f>IFERROR(__xludf.DUMMYFUNCTION("""COMPUTED_VALUE"""),"Eficacia")</f>
        <v>Eficacia</v>
      </c>
      <c r="M148" s="51" t="str">
        <f>IFERROR(__xludf.DUMMYFUNCTION("""COMPUTED_VALUE"""),"Número")</f>
        <v>Número</v>
      </c>
      <c r="N148" s="52" t="str">
        <f>IFERROR(__xludf.DUMMYFUNCTION("""COMPUTED_VALUE"""),"Número de campañas de divulgaciones y promoción realizadas/Número de campañas de divulgación y promoción programadas")</f>
        <v>Número de campañas de divulgaciones y promoción realizadas/Número de campañas de divulgación y promoción programadas</v>
      </c>
      <c r="O148" s="53"/>
      <c r="P148" s="54">
        <f>IFERROR(__xludf.DUMMYFUNCTION("""COMPUTED_VALUE"""),30.0)</f>
        <v>30</v>
      </c>
      <c r="Q148" s="55" t="str">
        <f>IFERROR(__xludf.DUMMYFUNCTION("""COMPUTED_VALUE"""),"Realizar campañas de divulgación y promoción a nivel nacional, sobre normatividad de pesca y acuicultura")</f>
        <v>Realizar campañas de divulgación y promoción a nivel nacional, sobre normatividad de pesca y acuicultura</v>
      </c>
      <c r="R148" s="14" t="str">
        <f>IFERROR(__xludf.DUMMYFUNCTION("""COMPUTED_VALUE"""),"Trimestral")</f>
        <v>Trimestral</v>
      </c>
      <c r="S148" s="54">
        <f>IFERROR(__xludf.DUMMYFUNCTION("""COMPUTED_VALUE"""),6.0)</f>
        <v>6</v>
      </c>
      <c r="T148" s="54">
        <f>IFERROR(__xludf.DUMMYFUNCTION("""COMPUTED_VALUE"""),4.0)</f>
        <v>4</v>
      </c>
      <c r="U148" s="54">
        <f>IFERROR(__xludf.DUMMYFUNCTION("""COMPUTED_VALUE"""),10.0)</f>
        <v>10</v>
      </c>
      <c r="V148" s="54">
        <f>IFERROR(__xludf.DUMMYFUNCTION("""COMPUTED_VALUE"""),10.0)</f>
        <v>10</v>
      </c>
      <c r="W148" s="56" t="str">
        <f>IFERROR(__xludf.DUMMYFUNCTION("""COMPUTED_VALUE"""),"Regional Medellin")</f>
        <v>Regional Medellin</v>
      </c>
      <c r="X148" s="57" t="str">
        <f>IFERROR(__xludf.DUMMYFUNCTION("""COMPUTED_VALUE"""),"CARLOS MARIO ZAPATA MORALES")</f>
        <v>CARLOS MARIO ZAPATA MORALES</v>
      </c>
      <c r="Y148" s="47" t="str">
        <f>IFERROR(__xludf.DUMMYFUNCTION("""COMPUTED_VALUE"""),"DIRECTOR REGIONAL MEDILLIN")</f>
        <v>DIRECTOR REGIONAL MEDILLIN</v>
      </c>
      <c r="Z148" s="57" t="str">
        <f>IFERROR(__xludf.DUMMYFUNCTION("""COMPUTED_VALUE"""),"CARLOS.ZAPATA@AUNAP.GOV.CO")</f>
        <v>CARLOS.ZAPATA@AUNAP.GOV.CO</v>
      </c>
      <c r="AA148" s="47" t="str">
        <f>IFERROR(__xludf.DUMMYFUNCTION("""COMPUTED_VALUE"""),"Humano, físico, financiero, tecnológico")</f>
        <v>Humano, físico, financiero, tecnológico</v>
      </c>
      <c r="AB148" s="47" t="str">
        <f>IFERROR(__xludf.DUMMYFUNCTION("""COMPUTED_VALUE"""),"No asociado")</f>
        <v>No asociado</v>
      </c>
      <c r="AC148"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48" s="47" t="str">
        <f>IFERROR(__xludf.DUMMYFUNCTION("""COMPUTED_VALUE"""),"Gestión con valores para resultados")</f>
        <v>Gestión con valores para resultados</v>
      </c>
      <c r="AE148" s="47" t="str">
        <f>IFERROR(__xludf.DUMMYFUNCTION("""COMPUTED_VALUE"""),"Fortalecimiento Organizacional y Simplificación de Procesos")</f>
        <v>Fortalecimiento Organizacional y Simplificación de Procesos</v>
      </c>
      <c r="AF148" s="47" t="str">
        <f>IFERROR(__xludf.DUMMYFUNCTION("""COMPUTED_VALUE"""),"12. Producción y consumo responsable")</f>
        <v>12. Producción y consumo responsable</v>
      </c>
      <c r="AG148" s="58">
        <f>IFERROR(__xludf.DUMMYFUNCTION("""COMPUTED_VALUE"""),10.0)</f>
        <v>10</v>
      </c>
      <c r="AH148" s="59" t="str">
        <f>IFERROR(__xludf.DUMMYFUNCTION("""COMPUTED_VALUE"""),"EVENTOS DE DIVULGACION RADIAL Y REUNIONES REALIZDAS EN TEMAS DIVULGATIVOS Y NORMATIVOS DE PESCA Y ACUICULTURA")</f>
        <v>EVENTOS DE DIVULGACION RADIAL Y REUNIONES REALIZDAS EN TEMAS DIVULGATIVOS Y NORMATIVOS DE PESCA Y ACUICULTURA</v>
      </c>
      <c r="AI148" s="77" t="str">
        <f>IFERROR(__xludf.DUMMYFUNCTION("""COMPUTED_VALUE"""),"CAMPAÑAS DE DIVULGACION")</f>
        <v>CAMPAÑAS DE DIVULGACION</v>
      </c>
      <c r="AJ148" s="59">
        <f>IFERROR(__xludf.DUMMYFUNCTION("""COMPUTED_VALUE"""),32.0)</f>
        <v>32</v>
      </c>
      <c r="AK148" s="59" t="str">
        <f>IFERROR(__xludf.DUMMYFUNCTION("""COMPUTED_VALUE"""),"ACTIVIDADES DE DIVULGACION ENFOCADAS EN  VEDAS DE RECURSO PESQUERO,  Y TEMAS NORMATIVOS, EN EL BAJO CAUCA, Y DIFERENTEA REAS DEL CHOCO. SE CUMPLIO LA META INDICADA")</f>
        <v>ACTIVIDADES DE DIVULGACION ENFOCADAS EN  VEDAS DE RECURSO PESQUERO,  Y TEMAS NORMATIVOS, EN EL BAJO CAUCA, Y DIFERENTEA REAS DEL CHOCO. SE CUMPLIO LA META INDICADA</v>
      </c>
      <c r="AL148" s="59"/>
      <c r="AM148" s="60"/>
      <c r="AN148" s="61" t="str">
        <f>IFERROR(IF((AO148+1)&lt;2,Alertas!$B$2&amp;TEXT(AO148,"0%")&amp;Alertas!$D$2, IF((AO148+1)=2,Alertas!$B$3,IF((AO148+1)&gt;2,Alertas!$B$4&amp;TEXT(AO148,"0%")&amp;Alertas!$D$4,AO148+1))),"Sin meta para el segundo trimestre")</f>
        <v>La ejecución de la meta registrada se encuentra por encima de la meta programada en la formulación del plan de acción para el segundo trimestre, su porcentaje de cumplimiento es 250%,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48" s="62">
        <f t="shared" si="2"/>
        <v>2.5</v>
      </c>
      <c r="AP148" s="61" t="str">
        <f t="shared" si="3"/>
        <v>No reporto evidencia.
La ejecución de la meta registrada se encuentra por encima de la meta programada en la formulación del plan de acción para el segundo trimestre, su porcentaje de cumplimiento es 250%,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48" s="63"/>
      <c r="AR148" s="64"/>
      <c r="AS148" s="65"/>
      <c r="AT148" s="65"/>
      <c r="AU148" s="66"/>
      <c r="AV148" s="67"/>
      <c r="AW148" s="68"/>
      <c r="AX148" s="63"/>
      <c r="AY148" s="64"/>
      <c r="AZ148" s="69"/>
      <c r="BA148" s="65"/>
      <c r="BB148" s="70"/>
      <c r="BC148" s="71"/>
      <c r="BD148" s="72"/>
      <c r="BE148" s="73"/>
      <c r="BF148" s="64"/>
      <c r="BG148" s="69"/>
      <c r="BH148" s="65"/>
      <c r="BI148" s="66"/>
      <c r="BJ148" s="71"/>
      <c r="BK148" s="72"/>
      <c r="BL148" s="74"/>
      <c r="BN148" s="5" t="str">
        <f t="shared" si="23"/>
        <v>1</v>
      </c>
      <c r="BP148" s="5"/>
    </row>
    <row r="149" ht="37.5" customHeight="1">
      <c r="A149" s="45"/>
      <c r="B149" s="46">
        <f>IFERROR(__xludf.DUMMYFUNCTION("""COMPUTED_VALUE"""),147.0)</f>
        <v>147</v>
      </c>
      <c r="C149" s="47" t="str">
        <f>IFERROR(__xludf.DUMMYFUNCTION("""COMPUTED_VALUE"""),"Gestión de la administración y fomento")</f>
        <v>Gestión de la administración y fomento</v>
      </c>
      <c r="D149" s="48" t="str">
        <f>IFERROR(__xludf.DUMMYFUNCTION("""COMPUTED_VALUE"""),"Regional Medellín")</f>
        <v>Regional Medellín</v>
      </c>
      <c r="E149" s="48" t="str">
        <f>IFERROR(__xludf.DUMMYFUNCTION("""COMPUTED_VALUE"""),"Fortalecimiento de la sostenibilidad del sector pesquero y de la acuicultura en el territorio nacional")</f>
        <v>Fortalecimiento de la sostenibilidad del sector pesquero y de la acuicultura en el territorio nacional</v>
      </c>
      <c r="F149" s="49">
        <f>IFERROR(__xludf.DUMMYFUNCTION("""COMPUTED_VALUE"""),2.01901100028E12)</f>
        <v>2019011000280</v>
      </c>
      <c r="G149" s="50" t="str">
        <f>IFERROR(__xludf.DUMMYFUNCTION("""COMPUTED_VALUE"""),"Sostenibilidad")</f>
        <v>Sostenibilidad</v>
      </c>
      <c r="H149" s="48" t="str">
        <f>IFERROR(__xludf.DUMMYFUNCTION("""COMPUTED_VALUE"""),"Mejorar la explotación de los recursos pesqueros y de la acuicultura.")</f>
        <v>Mejorar la explotación de los recursos pesqueros y de la acuicultura.</v>
      </c>
      <c r="I149" s="48" t="str">
        <f>IFERROR(__xludf.DUMMYFUNCTION("""COMPUTED_VALUE"""),"Servicios de administración de los recurso pesqueros y de la acuicultura")</f>
        <v>Servicios de administración de los recurso pesqueros y de la acuicultura</v>
      </c>
      <c r="J149" s="48" t="str">
        <f>IFERROR(__xludf.DUMMYFUNCTION("""COMPUTED_VALUE"""),"Regular el manejo y el ejercicio de la actividad pesquera y de la acuicultura.")</f>
        <v>Regular el manejo y el ejercicio de la actividad pesquera y de la acuicultura.</v>
      </c>
      <c r="K149" s="51" t="str">
        <f>IFERROR(__xludf.DUMMYFUNCTION("""COMPUTED_VALUE"""),"Gestión del área")</f>
        <v>Gestión del área</v>
      </c>
      <c r="L149" s="51" t="str">
        <f>IFERROR(__xludf.DUMMYFUNCTION("""COMPUTED_VALUE"""),"Eficacia")</f>
        <v>Eficacia</v>
      </c>
      <c r="M149" s="51" t="str">
        <f>IFERROR(__xludf.DUMMYFUNCTION("""COMPUTED_VALUE"""),"Número")</f>
        <v>Número</v>
      </c>
      <c r="N149" s="52" t="str">
        <f>IFERROR(__xludf.DUMMYFUNCTION("""COMPUTED_VALUE"""),"Número de pescadores artesanales formalizados/Número de pescadores artesanales programados")</f>
        <v>Número de pescadores artesanales formalizados/Número de pescadores artesanales programados</v>
      </c>
      <c r="O149" s="53"/>
      <c r="P149" s="54">
        <f>IFERROR(__xludf.DUMMYFUNCTION("""COMPUTED_VALUE"""),2200.0)</f>
        <v>2200</v>
      </c>
      <c r="Q149" s="55" t="str">
        <f>IFERROR(__xludf.DUMMYFUNCTION("""COMPUTED_VALUE"""),"Formalizar Pescadores artesanales")</f>
        <v>Formalizar Pescadores artesanales</v>
      </c>
      <c r="R149" s="14" t="str">
        <f>IFERROR(__xludf.DUMMYFUNCTION("""COMPUTED_VALUE"""),"Trimestral")</f>
        <v>Trimestral</v>
      </c>
      <c r="S149" s="54">
        <f>IFERROR(__xludf.DUMMYFUNCTION("""COMPUTED_VALUE"""),0.0)</f>
        <v>0</v>
      </c>
      <c r="T149" s="54">
        <f>IFERROR(__xludf.DUMMYFUNCTION("""COMPUTED_VALUE"""),650.0)</f>
        <v>650</v>
      </c>
      <c r="U149" s="54">
        <f>IFERROR(__xludf.DUMMYFUNCTION("""COMPUTED_VALUE"""),750.0)</f>
        <v>750</v>
      </c>
      <c r="V149" s="54">
        <f>IFERROR(__xludf.DUMMYFUNCTION("""COMPUTED_VALUE"""),800.0)</f>
        <v>800</v>
      </c>
      <c r="W149" s="56" t="str">
        <f>IFERROR(__xludf.DUMMYFUNCTION("""COMPUTED_VALUE"""),"Regional Medellin")</f>
        <v>Regional Medellin</v>
      </c>
      <c r="X149" s="57" t="str">
        <f>IFERROR(__xludf.DUMMYFUNCTION("""COMPUTED_VALUE"""),"CARLOS MARIO ZAPATA MORALES")</f>
        <v>CARLOS MARIO ZAPATA MORALES</v>
      </c>
      <c r="Y149" s="47" t="str">
        <f>IFERROR(__xludf.DUMMYFUNCTION("""COMPUTED_VALUE"""),"DIRECTOR REGIONAL MEDILLIN")</f>
        <v>DIRECTOR REGIONAL MEDILLIN</v>
      </c>
      <c r="Z149" s="57" t="str">
        <f>IFERROR(__xludf.DUMMYFUNCTION("""COMPUTED_VALUE"""),"CARLOS.ZAPATA@AUNAP.GOV.CO")</f>
        <v>CARLOS.ZAPATA@AUNAP.GOV.CO</v>
      </c>
      <c r="AA149" s="47" t="str">
        <f>IFERROR(__xludf.DUMMYFUNCTION("""COMPUTED_VALUE"""),"Humano, físico, financiero, tecnológico")</f>
        <v>Humano, físico, financiero, tecnológico</v>
      </c>
      <c r="AB149" s="47" t="str">
        <f>IFERROR(__xludf.DUMMYFUNCTION("""COMPUTED_VALUE"""),"No asociado")</f>
        <v>No asociado</v>
      </c>
      <c r="AC149"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49" s="47" t="str">
        <f>IFERROR(__xludf.DUMMYFUNCTION("""COMPUTED_VALUE"""),"Gestión con valores para resultados")</f>
        <v>Gestión con valores para resultados</v>
      </c>
      <c r="AE149" s="47" t="str">
        <f>IFERROR(__xludf.DUMMYFUNCTION("""COMPUTED_VALUE"""),"Fortalecimiento Organizacional y Simplificación de Procesos")</f>
        <v>Fortalecimiento Organizacional y Simplificación de Procesos</v>
      </c>
      <c r="AF149" s="47" t="str">
        <f>IFERROR(__xludf.DUMMYFUNCTION("""COMPUTED_VALUE"""),"12. Producción y consumo responsable")</f>
        <v>12. Producción y consumo responsable</v>
      </c>
      <c r="AG149" s="58">
        <f>IFERROR(__xludf.DUMMYFUNCTION("""COMPUTED_VALUE"""),394.0)</f>
        <v>394</v>
      </c>
      <c r="AH149" s="59" t="str">
        <f>IFERROR(__xludf.DUMMYFUNCTION("""COMPUTED_VALUE"""),"SE ESPERA RESULTADOS Y BASES DE DATOS DEL PNUD PARA EXPEDICION DE CARNET ")</f>
        <v>SE ESPERA RESULTADOS Y BASES DE DATOS DEL PNUD PARA EXPEDICION DE CARNET </v>
      </c>
      <c r="AI149" s="77" t="str">
        <f>IFERROR(__xludf.DUMMYFUNCTION("""COMPUTED_VALUE"""),"CARNET ARTESANAL ")</f>
        <v>CARNET ARTESANAL </v>
      </c>
      <c r="AJ149" s="59">
        <f>IFERROR(__xludf.DUMMYFUNCTION("""COMPUTED_VALUE"""),2098.0)</f>
        <v>2098</v>
      </c>
      <c r="AK149" s="59" t="str">
        <f>IFERROR(__xludf.DUMMYFUNCTION("""COMPUTED_VALUE"""),"SE REALIZA LA CARNETIZACION EN COMPLEMENTO AL CONVENIO AUNAP - PNUD, ESTAMOS A LA ESPERA DE LA INFORMACION PARA EXPEDIR DOCUEMNTOS PARA EL MEDIO CAUCA ANTIOQUEÑO Y ATRATO")</f>
        <v>SE REALIZA LA CARNETIZACION EN COMPLEMENTO AL CONVENIO AUNAP - PNUD, ESTAMOS A LA ESPERA DE LA INFORMACION PARA EXPEDIR DOCUEMNTOS PARA EL MEDIO CAUCA ANTIOQUEÑO Y ATRATO</v>
      </c>
      <c r="AL149" s="59"/>
      <c r="AM149" s="60"/>
      <c r="AN149" s="61" t="str">
        <f>IFERROR(IF((AO149+1)&lt;2,Alertas!$B$2&amp;TEXT(AO149,"0%")&amp;Alertas!$D$2, IF((AO149+1)=2,Alertas!$B$3,IF((AO149+1)&gt;2,Alertas!$B$4&amp;TEXT(AO149,"0%")&amp;Alertas!$D$4,AO149+1))),"Sin meta para el segundo trimestre")</f>
        <v>La ejecución de la meta registrada se encuentra por debajo de la meta programada en la formulación del plan de acción para el segundo trimestre, su porcentaje de cumplimiento es 61%, lo cual indica un incumplimiento que puede ser entendido por los entes de control como falencias en el proceso de planeación y gestión de la dependencia. se recomienda realizar acciones para garantizar el cumplimiento de la meta durante lo que resta de vigencia</v>
      </c>
      <c r="AO149" s="62">
        <f t="shared" si="2"/>
        <v>0.6061538462</v>
      </c>
      <c r="AP149" s="61" t="str">
        <f t="shared" si="3"/>
        <v>No reporto evidencia.
La ejecución de la meta registrada se encuentra por debajo de la meta programada en la formulación del plan de acción para el segundo trimestre, su porcentaje de cumplimiento es 61%, lo cual indica un incumplimiento que puede ser entendido por los entes de control como falencias en el proceso de planeación y gestión de la dependencia. se recomienda realizar acciones para garantizar el cumplimiento de la meta durante lo que resta de vigencia.</v>
      </c>
      <c r="AQ149" s="63"/>
      <c r="AR149" s="64"/>
      <c r="AS149" s="65"/>
      <c r="AT149" s="65"/>
      <c r="AU149" s="66"/>
      <c r="AV149" s="67"/>
      <c r="AW149" s="68"/>
      <c r="AX149" s="63"/>
      <c r="AY149" s="64"/>
      <c r="AZ149" s="69"/>
      <c r="BA149" s="65"/>
      <c r="BB149" s="70"/>
      <c r="BC149" s="71"/>
      <c r="BD149" s="72"/>
      <c r="BE149" s="73"/>
      <c r="BF149" s="64"/>
      <c r="BG149" s="69"/>
      <c r="BH149" s="65"/>
      <c r="BI149" s="66"/>
      <c r="BJ149" s="71"/>
      <c r="BK149" s="72"/>
      <c r="BL149" s="74"/>
      <c r="BN149" s="5" t="str">
        <f t="shared" si="23"/>
        <v>-1</v>
      </c>
      <c r="BP149" s="5"/>
    </row>
    <row r="150" ht="37.5" customHeight="1">
      <c r="A150" s="45"/>
      <c r="B150" s="46">
        <f>IFERROR(__xludf.DUMMYFUNCTION("""COMPUTED_VALUE"""),148.0)</f>
        <v>148</v>
      </c>
      <c r="C150" s="47" t="str">
        <f>IFERROR(__xludf.DUMMYFUNCTION("""COMPUTED_VALUE"""),"Gestión de la inspección y vigilancia")</f>
        <v>Gestión de la inspección y vigilancia</v>
      </c>
      <c r="D150" s="48" t="str">
        <f>IFERROR(__xludf.DUMMYFUNCTION("""COMPUTED_VALUE"""),"Regional Medellín")</f>
        <v>Regional Medellín</v>
      </c>
      <c r="E150"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50" s="49">
        <f>IFERROR(__xludf.DUMMYFUNCTION("""COMPUTED_VALUE"""),2.019011000276E12)</f>
        <v>2019011000276</v>
      </c>
      <c r="G150" s="50" t="str">
        <f>IFERROR(__xludf.DUMMYFUNCTION("""COMPUTED_VALUE"""),"Inspección")</f>
        <v>Inspección</v>
      </c>
      <c r="H150" s="48" t="str">
        <f>IFERROR(__xludf.DUMMYFUNCTION("""COMPUTED_VALUE"""),"Fortalecer los mecanismos de seguimiento y control de la actividad pesquera y de la acuicultura.")</f>
        <v>Fortalecer los mecanismos de seguimiento y control de la actividad pesquera y de la acuicultura.</v>
      </c>
      <c r="I150" s="48" t="str">
        <f>IFERROR(__xludf.DUMMYFUNCTION("""COMPUTED_VALUE"""),"Servicio de inspección, vigilancia y control de la pesca y la acuicultura")</f>
        <v>Servicio de inspección, vigilancia y control de la pesca y la acuicultura</v>
      </c>
      <c r="J150" s="48" t="str">
        <f>IFERROR(__xludf.DUMMYFUNCTION("""COMPUTED_VALUE"""),"Realizar seguimiento y actualización al registro general de pesca.")</f>
        <v>Realizar seguimiento y actualización al registro general de pesca.</v>
      </c>
      <c r="K150" s="51" t="str">
        <f>IFERROR(__xludf.DUMMYFUNCTION("""COMPUTED_VALUE"""),"Producto")</f>
        <v>Producto</v>
      </c>
      <c r="L150" s="51" t="str">
        <f>IFERROR(__xludf.DUMMYFUNCTION("""COMPUTED_VALUE"""),"Eficacia")</f>
        <v>Eficacia</v>
      </c>
      <c r="M150" s="51" t="str">
        <f>IFERROR(__xludf.DUMMYFUNCTION("""COMPUTED_VALUE"""),"Número")</f>
        <v>Número</v>
      </c>
      <c r="N150" s="52" t="str">
        <f>IFERROR(__xludf.DUMMYFUNCTION("""COMPUTED_VALUE"""),"Operativos de inspección, vigilancia y control realizados")</f>
        <v>Operativos de inspección, vigilancia y control realizados</v>
      </c>
      <c r="O150" s="53">
        <f>IFERROR(__xludf.DUMMYFUNCTION("""COMPUTED_VALUE"""),157.0)</f>
        <v>157</v>
      </c>
      <c r="P150" s="54">
        <f>IFERROR(__xludf.DUMMYFUNCTION("""COMPUTED_VALUE"""),600.0)</f>
        <v>600</v>
      </c>
      <c r="Q150" s="55" t="str">
        <f>IFERROR(__xludf.DUMMYFUNCTION("""COMPUTED_VALUE"""),"Realizar operativos de control")</f>
        <v>Realizar operativos de control</v>
      </c>
      <c r="R150" s="14" t="str">
        <f>IFERROR(__xludf.DUMMYFUNCTION("""COMPUTED_VALUE"""),"Trimestral")</f>
        <v>Trimestral</v>
      </c>
      <c r="S150" s="54">
        <f>IFERROR(__xludf.DUMMYFUNCTION("""COMPUTED_VALUE"""),152.0)</f>
        <v>152</v>
      </c>
      <c r="T150" s="54">
        <f>IFERROR(__xludf.DUMMYFUNCTION("""COMPUTED_VALUE"""),85.0)</f>
        <v>85</v>
      </c>
      <c r="U150" s="54">
        <f>IFERROR(__xludf.DUMMYFUNCTION("""COMPUTED_VALUE"""),179.0)</f>
        <v>179</v>
      </c>
      <c r="V150" s="54">
        <f>IFERROR(__xludf.DUMMYFUNCTION("""COMPUTED_VALUE"""),184.0)</f>
        <v>184</v>
      </c>
      <c r="W150" s="56" t="str">
        <f>IFERROR(__xludf.DUMMYFUNCTION("""COMPUTED_VALUE"""),"Regional Medellin")</f>
        <v>Regional Medellin</v>
      </c>
      <c r="X150" s="57" t="str">
        <f>IFERROR(__xludf.DUMMYFUNCTION("""COMPUTED_VALUE"""),"CARLOS MARIO ZAPATA MORALES")</f>
        <v>CARLOS MARIO ZAPATA MORALES</v>
      </c>
      <c r="Y150" s="47" t="str">
        <f>IFERROR(__xludf.DUMMYFUNCTION("""COMPUTED_VALUE"""),"DIRECTOR REGIONAL MEDILLIN")</f>
        <v>DIRECTOR REGIONAL MEDILLIN</v>
      </c>
      <c r="Z150" s="57" t="str">
        <f>IFERROR(__xludf.DUMMYFUNCTION("""COMPUTED_VALUE"""),"CARLOS.ZAPATA@AUNAP.GOV.CO")</f>
        <v>CARLOS.ZAPATA@AUNAP.GOV.CO</v>
      </c>
      <c r="AA150" s="47" t="str">
        <f>IFERROR(__xludf.DUMMYFUNCTION("""COMPUTED_VALUE"""),"Humano, físico, financiero, tecnológico")</f>
        <v>Humano, físico, financiero, tecnológico</v>
      </c>
      <c r="AB150" s="47" t="str">
        <f>IFERROR(__xludf.DUMMYFUNCTION("""COMPUTED_VALUE"""),"No asociado")</f>
        <v>No asociado</v>
      </c>
      <c r="AC150"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50" s="47" t="str">
        <f>IFERROR(__xludf.DUMMYFUNCTION("""COMPUTED_VALUE"""),"Gestión con valores para resultados")</f>
        <v>Gestión con valores para resultados</v>
      </c>
      <c r="AE150" s="47" t="str">
        <f>IFERROR(__xludf.DUMMYFUNCTION("""COMPUTED_VALUE"""),"Fortalecimiento Organizacional y Simplificación de Procesos")</f>
        <v>Fortalecimiento Organizacional y Simplificación de Procesos</v>
      </c>
      <c r="AF150" s="47" t="str">
        <f>IFERROR(__xludf.DUMMYFUNCTION("""COMPUTED_VALUE"""),"12. Producción y consumo responsable")</f>
        <v>12. Producción y consumo responsable</v>
      </c>
      <c r="AG150" s="58">
        <f>IFERROR(__xludf.DUMMYFUNCTION("""COMPUTED_VALUE"""),206.0)</f>
        <v>206</v>
      </c>
      <c r="AH150" s="59" t="str">
        <f>IFERROR(__xludf.DUMMYFUNCTION("""COMPUTED_VALUE"""),"ACTIVIDADES CONCENTRADAS EN BAHIA SOLANO, EJE CAFETERO, BAJO BAUDO, NUQUI Y BAJO CAUCA ANTIOQUEÑO")</f>
        <v>ACTIVIDADES CONCENTRADAS EN BAHIA SOLANO, EJE CAFETERO, BAJO BAUDO, NUQUI Y BAJO CAUCA ANTIOQUEÑO</v>
      </c>
      <c r="AI150" s="77" t="str">
        <f>IFERROR(__xludf.DUMMYFUNCTION("""COMPUTED_VALUE"""),"OPERATIVOS IV TRIMESTRE")</f>
        <v>OPERATIVOS IV TRIMESTRE</v>
      </c>
      <c r="AJ150" s="59">
        <f>IFERROR(__xludf.DUMMYFUNCTION("""COMPUTED_VALUE"""),701.0)</f>
        <v>701</v>
      </c>
      <c r="AK150" s="59" t="str">
        <f>IFERROR(__xludf.DUMMYFUNCTION("""COMPUTED_VALUE"""),"ACTIVIDADES CONCENTRADAS EN PUERTOS Y ESTABLECIMIENTOS EN CENTROS DE PRODUCCION Y COMERCIALIZACION COMO BAHIA SOLANO, BAJO BAUDO, QUIBDO Y BAJO CAUCA ANTIOQUEÑO, ADEMAS EN LUGAES DE COMERCIALIZACION.")</f>
        <v>ACTIVIDADES CONCENTRADAS EN PUERTOS Y ESTABLECIMIENTOS EN CENTROS DE PRODUCCION Y COMERCIALIZACION COMO BAHIA SOLANO, BAJO BAUDO, QUIBDO Y BAJO CAUCA ANTIOQUEÑO, ADEMAS EN LUGAES DE COMERCIALIZACION.</v>
      </c>
      <c r="AL150" s="59"/>
      <c r="AM150" s="60"/>
      <c r="AN150" s="61" t="str">
        <f>IFERROR(IF((AO150+1)&lt;2,Alertas!$B$2&amp;TEXT(AO150,"0%")&amp;Alertas!$D$2, IF((AO150+1)=2,Alertas!$B$3,IF((AO150+1)&gt;2,Alertas!$B$4&amp;TEXT(AO150,"0%")&amp;Alertas!$D$4,AO150+1))),"Sin meta para el segundo trimestre")</f>
        <v>La ejecución de la meta registrada se encuentra por encima de la meta programada en la formulación del plan de acción para el segundo trimestre, su porcentaje de cumplimiento es 242%,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50" s="62">
        <f t="shared" si="2"/>
        <v>2.423529412</v>
      </c>
      <c r="AP150" s="61" t="str">
        <f t="shared" si="3"/>
        <v>No reporto evidencia.
La ejecución de la meta registrada se encuentra por encima de la meta programada en la formulación del plan de acción para el segundo trimestre, su porcentaje de cumplimiento es 242%,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50" s="63"/>
      <c r="AR150" s="64"/>
      <c r="AS150" s="65"/>
      <c r="AT150" s="65"/>
      <c r="AU150" s="66"/>
      <c r="AV150" s="67"/>
      <c r="AW150" s="68"/>
      <c r="AX150" s="63"/>
      <c r="AY150" s="64"/>
      <c r="AZ150" s="69"/>
      <c r="BA150" s="65"/>
      <c r="BB150" s="70"/>
      <c r="BC150" s="71"/>
      <c r="BD150" s="72"/>
      <c r="BE150" s="73"/>
      <c r="BF150" s="64"/>
      <c r="BG150" s="69"/>
      <c r="BH150" s="65"/>
      <c r="BI150" s="66"/>
      <c r="BJ150" s="71"/>
      <c r="BK150" s="72"/>
      <c r="BL150" s="74"/>
      <c r="BN150" s="5" t="str">
        <f t="shared" si="23"/>
        <v>1</v>
      </c>
      <c r="BP150" s="5"/>
    </row>
    <row r="151" ht="37.5" customHeight="1">
      <c r="A151" s="45"/>
      <c r="B151" s="46">
        <f>IFERROR(__xludf.DUMMYFUNCTION("""COMPUTED_VALUE"""),149.0)</f>
        <v>149</v>
      </c>
      <c r="C151" s="47" t="str">
        <f>IFERROR(__xludf.DUMMYFUNCTION("""COMPUTED_VALUE"""),"Gestión de la administración y fomento")</f>
        <v>Gestión de la administración y fomento</v>
      </c>
      <c r="D151" s="48" t="str">
        <f>IFERROR(__xludf.DUMMYFUNCTION("""COMPUTED_VALUE"""),"Regional Villavicencio")</f>
        <v>Regional Villavicencio</v>
      </c>
      <c r="E151" s="48" t="str">
        <f>IFERROR(__xludf.DUMMYFUNCTION("""COMPUTED_VALUE"""),"Fortalecimiento de la sostenibilidad del sector pesquero y de la acuicultura en el territorio nacional")</f>
        <v>Fortalecimiento de la sostenibilidad del sector pesquero y de la acuicultura en el territorio nacional</v>
      </c>
      <c r="F151" s="49">
        <f>IFERROR(__xludf.DUMMYFUNCTION("""COMPUTED_VALUE"""),2.01901100028E12)</f>
        <v>2019011000280</v>
      </c>
      <c r="G151" s="50" t="str">
        <f>IFERROR(__xludf.DUMMYFUNCTION("""COMPUTED_VALUE"""),"Sostenibilidad")</f>
        <v>Sostenibilidad</v>
      </c>
      <c r="H151" s="48" t="str">
        <f>IFERROR(__xludf.DUMMYFUNCTION("""COMPUTED_VALUE"""),"Mejorar la explotación de los recursos pesqueros y de la acuicultura.")</f>
        <v>Mejorar la explotación de los recursos pesqueros y de la acuicultura.</v>
      </c>
      <c r="I151" s="48" t="str">
        <f>IFERROR(__xludf.DUMMYFUNCTION("""COMPUTED_VALUE"""),"Servicios de administración de los recurso pesqueros y de la acuicultura")</f>
        <v>Servicios de administración de los recurso pesqueros y de la acuicultura</v>
      </c>
      <c r="J151" s="48" t="str">
        <f>IFERROR(__xludf.DUMMYFUNCTION("""COMPUTED_VALUE"""),"Regular el manejo y el ejercicio de la actividad pesquera y de la acuicultura.")</f>
        <v>Regular el manejo y el ejercicio de la actividad pesquera y de la acuicultura.</v>
      </c>
      <c r="K151" s="51" t="str">
        <f>IFERROR(__xludf.DUMMYFUNCTION("""COMPUTED_VALUE"""),"Producto")</f>
        <v>Producto</v>
      </c>
      <c r="L151" s="51" t="str">
        <f>IFERROR(__xludf.DUMMYFUNCTION("""COMPUTED_VALUE"""),"Eficacia")</f>
        <v>Eficacia</v>
      </c>
      <c r="M151" s="51" t="str">
        <f>IFERROR(__xludf.DUMMYFUNCTION("""COMPUTED_VALUE"""),"Número")</f>
        <v>Número</v>
      </c>
      <c r="N151" s="52" t="str">
        <f>IFERROR(__xludf.DUMMYFUNCTION("""COMPUTED_VALUE"""),"Trámites atendidos")</f>
        <v>Trámites atendidos</v>
      </c>
      <c r="O151" s="53">
        <f>IFERROR(__xludf.DUMMYFUNCTION("""COMPUTED_VALUE"""),-7140.0)</f>
        <v>-7140</v>
      </c>
      <c r="P151" s="54">
        <f>IFERROR(__xludf.DUMMYFUNCTION("""COMPUTED_VALUE"""),230.0)</f>
        <v>230</v>
      </c>
      <c r="Q151" s="55" t="str">
        <f>IFERROR(__xludf.DUMMYFUNCTION("""COMPUTED_VALUE"""),"Gestionar las solicitudes de los tramites de permisos de para el ejercicio de la pesca y la acuicultura")</f>
        <v>Gestionar las solicitudes de los tramites de permisos de para el ejercicio de la pesca y la acuicultura</v>
      </c>
      <c r="R151" s="14" t="str">
        <f>IFERROR(__xludf.DUMMYFUNCTION("""COMPUTED_VALUE"""),"Mensual")</f>
        <v>Mensual</v>
      </c>
      <c r="S151" s="54">
        <f>IFERROR(__xludf.DUMMYFUNCTION("""COMPUTED_VALUE"""),30.0)</f>
        <v>30</v>
      </c>
      <c r="T151" s="54">
        <f>IFERROR(__xludf.DUMMYFUNCTION("""COMPUTED_VALUE"""),75.0)</f>
        <v>75</v>
      </c>
      <c r="U151" s="54">
        <f>IFERROR(__xludf.DUMMYFUNCTION("""COMPUTED_VALUE"""),75.0)</f>
        <v>75</v>
      </c>
      <c r="V151" s="54">
        <f>IFERROR(__xludf.DUMMYFUNCTION("""COMPUTED_VALUE"""),50.0)</f>
        <v>50</v>
      </c>
      <c r="W151" s="56" t="str">
        <f>IFERROR(__xludf.DUMMYFUNCTION("""COMPUTED_VALUE"""),"Regional Villavicencio")</f>
        <v>Regional Villavicencio</v>
      </c>
      <c r="X151" s="57" t="str">
        <f>IFERROR(__xludf.DUMMYFUNCTION("""COMPUTED_VALUE"""),"Maritza Casallas Delgado")</f>
        <v>Maritza Casallas Delgado</v>
      </c>
      <c r="Y151" s="47" t="str">
        <f>IFERROR(__xludf.DUMMYFUNCTION("""COMPUTED_VALUE"""),"Director Regional")</f>
        <v>Director Regional</v>
      </c>
      <c r="Z151" s="57" t="str">
        <f>IFERROR(__xludf.DUMMYFUNCTION("""COMPUTED_VALUE"""),"maritza.casallas@aunap.gov.co")</f>
        <v>maritza.casallas@aunap.gov.co</v>
      </c>
      <c r="AA151" s="47" t="str">
        <f>IFERROR(__xludf.DUMMYFUNCTION("""COMPUTED_VALUE"""),"Humanos, fisicos, financieros y tecnologicos")</f>
        <v>Humanos, fisicos, financieros y tecnologicos</v>
      </c>
      <c r="AB151" s="47" t="str">
        <f>IFERROR(__xludf.DUMMYFUNCTION("""COMPUTED_VALUE"""),"No asociado")</f>
        <v>No asociado</v>
      </c>
      <c r="AC151" s="47" t="str">
        <f>IFERROR(__xludf.DUMMYFUNCTION("""COMPUTED_VALUE"""),"Propiciar la formalización de la pesca y la acuicultura")</f>
        <v>Propiciar la formalización de la pesca y la acuicultura</v>
      </c>
      <c r="AD151" s="47" t="str">
        <f>IFERROR(__xludf.DUMMYFUNCTION("""COMPUTED_VALUE"""),"Gestión con valores para resultados")</f>
        <v>Gestión con valores para resultados</v>
      </c>
      <c r="AE151" s="47" t="str">
        <f>IFERROR(__xludf.DUMMYFUNCTION("""COMPUTED_VALUE"""),"Fortalecimiento Organizacional y Simplificación de Procesos")</f>
        <v>Fortalecimiento Organizacional y Simplificación de Procesos</v>
      </c>
      <c r="AF151" s="47" t="str">
        <f>IFERROR(__xludf.DUMMYFUNCTION("""COMPUTED_VALUE"""),"12. Producción y consumo responsable")</f>
        <v>12. Producción y consumo responsable</v>
      </c>
      <c r="AG151" s="58">
        <f>IFERROR(__xludf.DUMMYFUNCTION("""COMPUTED_VALUE"""),83.0)</f>
        <v>83</v>
      </c>
      <c r="AH151" s="59" t="str">
        <f>IFERROR(__xludf.DUMMYFUNCTION("""COMPUTED_VALUE"""),"La atencion de tramites se hacen por demanda y es necesario y nuestra obligacion atenderlos todos de manera oportuna")</f>
        <v>La atencion de tramites se hacen por demanda y es necesario y nuestra obligacion atenderlos todos de manera oportuna</v>
      </c>
      <c r="AI151" s="77" t="str">
        <f>IFERROR(__xludf.DUMMYFUNCTION("""COMPUTED_VALUE"""),"https://drive.google.com/drive/folders/1Jx8kpoIPAkngj95t4Dmwz5wUQR0kVIBD?usp=sharing
")</f>
        <v>https://drive.google.com/drive/folders/1Jx8kpoIPAkngj95t4Dmwz5wUQR0kVIBD?usp=sharing
</v>
      </c>
      <c r="AJ151" s="59">
        <f>IFERROR(__xludf.DUMMYFUNCTION("""COMPUTED_VALUE"""),292.0)</f>
        <v>292</v>
      </c>
      <c r="AK151" s="59" t="str">
        <f>IFERROR(__xludf.DUMMYFUNCTION("""COMPUTED_VALUE"""),"Incluye conceptos tecnicos elaborados en la DRV, carnets de pequeños comerciantes expedidos y expedicion de carne de AREL; La atencion de tramites se hacen por demanda y es necesario y nuestra obligacion atenderlos todos de manera oportuna")</f>
        <v>Incluye conceptos tecnicos elaborados en la DRV, carnets de pequeños comerciantes expedidos y expedicion de carne de AREL; La atencion de tramites se hacen por demanda y es necesario y nuestra obligacion atenderlos todos de manera oportuna</v>
      </c>
      <c r="AL151" s="59">
        <f>IFERROR(__xludf.DUMMYFUNCTION("""COMPUTED_VALUE"""),44582.0)</f>
        <v>44582</v>
      </c>
      <c r="AM151" s="60"/>
      <c r="AN151" s="61" t="str">
        <f>IFERROR(IF((AO151+1)&lt;2,Alertas!$B$2&amp;TEXT(AO151,"0%")&amp;Alertas!$D$2, IF((AO151+1)=2,Alertas!$B$3,IF((AO151+1)&gt;2,Alertas!$B$4&amp;TEXT(AO151,"0%")&amp;Alertas!$D$4,AO151+1))),"Sin meta para el segundo trimestre")</f>
        <v>La ejecución de la meta registrada se encuentra por encima de la meta programada en la formulación del plan de acción para el segundo trimestre, su porcentaje de cumplimiento es 111%,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51" s="62">
        <f t="shared" si="2"/>
        <v>1.106666667</v>
      </c>
      <c r="AP151" s="61" t="str">
        <f t="shared" si="3"/>
        <v>La ejecución de la meta registrada se encuentra por encima de la meta programada en la formulación del plan de acción para el segundo trimestre, su porcentaje de cumplimiento es 111%,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51" s="63"/>
      <c r="AR151" s="64"/>
      <c r="AS151" s="65"/>
      <c r="AT151" s="65"/>
      <c r="AU151" s="66"/>
      <c r="AV151" s="67"/>
      <c r="AW151" s="68"/>
      <c r="AX151" s="63"/>
      <c r="AY151" s="64"/>
      <c r="AZ151" s="69"/>
      <c r="BA151" s="65"/>
      <c r="BB151" s="70"/>
      <c r="BC151" s="71"/>
      <c r="BD151" s="72"/>
      <c r="BE151" s="73"/>
      <c r="BF151" s="64"/>
      <c r="BG151" s="69"/>
      <c r="BH151" s="65"/>
      <c r="BI151" s="66"/>
      <c r="BJ151" s="71"/>
      <c r="BK151" s="72"/>
      <c r="BL151" s="74"/>
      <c r="BN151" s="5" t="str">
        <f t="shared" si="23"/>
        <v>1</v>
      </c>
      <c r="BP151" s="5"/>
    </row>
    <row r="152" ht="37.5" customHeight="1">
      <c r="A152" s="45"/>
      <c r="B152" s="46">
        <f>IFERROR(__xludf.DUMMYFUNCTION("""COMPUTED_VALUE"""),150.0)</f>
        <v>150</v>
      </c>
      <c r="C152" s="47" t="str">
        <f>IFERROR(__xludf.DUMMYFUNCTION("""COMPUTED_VALUE"""),"Gestión de la administración y fomento")</f>
        <v>Gestión de la administración y fomento</v>
      </c>
      <c r="D152" s="48" t="str">
        <f>IFERROR(__xludf.DUMMYFUNCTION("""COMPUTED_VALUE"""),"Regional Villavicencio")</f>
        <v>Regional Villavicencio</v>
      </c>
      <c r="E152" s="48" t="str">
        <f>IFERROR(__xludf.DUMMYFUNCTION("""COMPUTED_VALUE"""),"Fortalecimiento de la sostenibilidad del sector pesquero y de la acuicultura en el territorio nacional")</f>
        <v>Fortalecimiento de la sostenibilidad del sector pesquero y de la acuicultura en el territorio nacional</v>
      </c>
      <c r="F152" s="49">
        <f>IFERROR(__xludf.DUMMYFUNCTION("""COMPUTED_VALUE"""),2.01901100028E12)</f>
        <v>2019011000280</v>
      </c>
      <c r="G152" s="50" t="str">
        <f>IFERROR(__xludf.DUMMYFUNCTION("""COMPUTED_VALUE"""),"Sostenibilidad")</f>
        <v>Sostenibilidad</v>
      </c>
      <c r="H152" s="48" t="str">
        <f>IFERROR(__xludf.DUMMYFUNCTION("""COMPUTED_VALUE"""),"Mejorar la explotación de los recursos pesqueros y de la acuicultura.")</f>
        <v>Mejorar la explotación de los recursos pesqueros y de la acuicultura.</v>
      </c>
      <c r="I152" s="48" t="str">
        <f>IFERROR(__xludf.DUMMYFUNCTION("""COMPUTED_VALUE"""),"Servicios de administración de los recurso pesqueros y de la acuicultura")</f>
        <v>Servicios de administración de los recurso pesqueros y de la acuicultura</v>
      </c>
      <c r="J152" s="48" t="str">
        <f>IFERROR(__xludf.DUMMYFUNCTION("""COMPUTED_VALUE"""),"Realizar acciones de divulgación y formalización de la actividad pesquera y de la acuicultura.")</f>
        <v>Realizar acciones de divulgación y formalización de la actividad pesquera y de la acuicultura.</v>
      </c>
      <c r="K152" s="51" t="str">
        <f>IFERROR(__xludf.DUMMYFUNCTION("""COMPUTED_VALUE"""),"Gestión del área")</f>
        <v>Gestión del área</v>
      </c>
      <c r="L152" s="51" t="str">
        <f>IFERROR(__xludf.DUMMYFUNCTION("""COMPUTED_VALUE"""),"Eficacia")</f>
        <v>Eficacia</v>
      </c>
      <c r="M152" s="51" t="str">
        <f>IFERROR(__xludf.DUMMYFUNCTION("""COMPUTED_VALUE"""),"Número")</f>
        <v>Número</v>
      </c>
      <c r="N152" s="52" t="str">
        <f>IFERROR(__xludf.DUMMYFUNCTION("""COMPUTED_VALUE"""),"Número de asociaciones capacitadas/Número de asociaciones programadas")</f>
        <v>Número de asociaciones capacitadas/Número de asociaciones programadas</v>
      </c>
      <c r="O152" s="53"/>
      <c r="P152" s="54">
        <f>IFERROR(__xludf.DUMMYFUNCTION("""COMPUTED_VALUE"""),35.0)</f>
        <v>35</v>
      </c>
      <c r="Q152" s="55" t="str">
        <f>IFERROR(__xludf.DUMMYFUNCTION("""COMPUTED_VALUE"""),"Asociaciones capacitadas en temas de pesca y acuicultura")</f>
        <v>Asociaciones capacitadas en temas de pesca y acuicultura</v>
      </c>
      <c r="R152" s="14" t="str">
        <f>IFERROR(__xludf.DUMMYFUNCTION("""COMPUTED_VALUE"""),"Trimestral")</f>
        <v>Trimestral</v>
      </c>
      <c r="S152" s="54">
        <f>IFERROR(__xludf.DUMMYFUNCTION("""COMPUTED_VALUE"""),5.0)</f>
        <v>5</v>
      </c>
      <c r="T152" s="54">
        <f>IFERROR(__xludf.DUMMYFUNCTION("""COMPUTED_VALUE"""),10.0)</f>
        <v>10</v>
      </c>
      <c r="U152" s="54">
        <f>IFERROR(__xludf.DUMMYFUNCTION("""COMPUTED_VALUE"""),10.0)</f>
        <v>10</v>
      </c>
      <c r="V152" s="54">
        <f>IFERROR(__xludf.DUMMYFUNCTION("""COMPUTED_VALUE"""),10.0)</f>
        <v>10</v>
      </c>
      <c r="W152" s="56" t="str">
        <f>IFERROR(__xludf.DUMMYFUNCTION("""COMPUTED_VALUE"""),"Regional Villavicencio")</f>
        <v>Regional Villavicencio</v>
      </c>
      <c r="X152" s="57" t="str">
        <f>IFERROR(__xludf.DUMMYFUNCTION("""COMPUTED_VALUE"""),"Maritza Casallas Delgado")</f>
        <v>Maritza Casallas Delgado</v>
      </c>
      <c r="Y152" s="47" t="str">
        <f>IFERROR(__xludf.DUMMYFUNCTION("""COMPUTED_VALUE"""),"Director Regional")</f>
        <v>Director Regional</v>
      </c>
      <c r="Z152" s="57" t="str">
        <f>IFERROR(__xludf.DUMMYFUNCTION("""COMPUTED_VALUE"""),"maritza.casallas@aunap.gov.co")</f>
        <v>maritza.casallas@aunap.gov.co</v>
      </c>
      <c r="AA152" s="47" t="str">
        <f>IFERROR(__xludf.DUMMYFUNCTION("""COMPUTED_VALUE"""),"Humanos, fisicos, financieros y tecnologicos")</f>
        <v>Humanos, fisicos, financieros y tecnologicos</v>
      </c>
      <c r="AB152" s="47" t="str">
        <f>IFERROR(__xludf.DUMMYFUNCTION("""COMPUTED_VALUE"""),"No asociado")</f>
        <v>No asociado</v>
      </c>
      <c r="AC152" s="47" t="str">
        <f>IFERROR(__xludf.DUMMYFUNCTION("""COMPUTED_VALUE"""),"Llegar con actividades de pesca y acuicultura a todas las regiones")</f>
        <v>Llegar con actividades de pesca y acuicultura a todas las regiones</v>
      </c>
      <c r="AD152" s="47" t="str">
        <f>IFERROR(__xludf.DUMMYFUNCTION("""COMPUTED_VALUE"""),"Gestión con valores para resultados")</f>
        <v>Gestión con valores para resultados</v>
      </c>
      <c r="AE152" s="47" t="str">
        <f>IFERROR(__xludf.DUMMYFUNCTION("""COMPUTED_VALUE"""),"Fortalecimiento Organizacional y Simplificación de Procesos")</f>
        <v>Fortalecimiento Organizacional y Simplificación de Procesos</v>
      </c>
      <c r="AF152" s="47" t="str">
        <f>IFERROR(__xludf.DUMMYFUNCTION("""COMPUTED_VALUE"""),"12. Producción y consumo responsable")</f>
        <v>12. Producción y consumo responsable</v>
      </c>
      <c r="AG152" s="58">
        <f>IFERROR(__xludf.DUMMYFUNCTION("""COMPUTED_VALUE"""),10.0)</f>
        <v>10</v>
      </c>
      <c r="AH152" s="59" t="str">
        <f>IFERROR(__xludf.DUMMYFUNCTION("""COMPUTED_VALUE"""),"Se cumplio a cabalidad la meta establecida ")</f>
        <v>Se cumplio a cabalidad la meta establecida </v>
      </c>
      <c r="AI152" s="77" t="str">
        <f>IFERROR(__xludf.DUMMYFUNCTION("""COMPUTED_VALUE"""),"https://drive.google.com/drive/folders/1cwonZ-_uEAiuzGoZo_3bmszKR9lG8Kt_?usp=sharing")</f>
        <v>https://drive.google.com/drive/folders/1cwonZ-_uEAiuzGoZo_3bmszKR9lG8Kt_?usp=sharing</v>
      </c>
      <c r="AJ152" s="59">
        <f>IFERROR(__xludf.DUMMYFUNCTION("""COMPUTED_VALUE"""),42.0)</f>
        <v>42</v>
      </c>
      <c r="AK152" s="59" t="str">
        <f>IFERROR(__xludf.DUMMYFUNCTION("""COMPUTED_VALUE"""),"Las Capacitaciones a las asociaciones se realizan  por demanda y por esa razon hay siete por encima de la meta establecida durante el año")</f>
        <v>Las Capacitaciones a las asociaciones se realizan  por demanda y por esa razon hay siete por encima de la meta establecida durante el año</v>
      </c>
      <c r="AL152" s="59">
        <f>IFERROR(__xludf.DUMMYFUNCTION("""COMPUTED_VALUE"""),44582.0)</f>
        <v>44582</v>
      </c>
      <c r="AM152" s="60"/>
      <c r="AN152" s="61" t="str">
        <f>IFERROR(IF((AO152+1)&lt;2,Alertas!$B$2&amp;TEXT(AO152,"0%")&amp;Alertas!$D$2, IF((AO152+1)=2,Alertas!$B$3,IF((AO152+1)&gt;2,Alertas!$B$4&amp;TEXT(AO152,"0%")&amp;Alertas!$D$4,AO152+1))),"Sin meta para el segundo trimestre")</f>
        <v>La ejecución de la meta registrada se encuentra acorde a la meta programada en la formulación del plan de acción para el segundo trimestre</v>
      </c>
      <c r="AO152" s="62">
        <f t="shared" si="2"/>
        <v>1</v>
      </c>
      <c r="AP152" s="61" t="str">
        <f t="shared" si="3"/>
        <v>La ejecución de la meta registrada se encuentra acorde a la meta programada en la formulación del plan de acción para el segundo trimestre.</v>
      </c>
      <c r="AQ152" s="63"/>
      <c r="AR152" s="64"/>
      <c r="AS152" s="65"/>
      <c r="AT152" s="65"/>
      <c r="AU152" s="66"/>
      <c r="AV152" s="67"/>
      <c r="AW152" s="68"/>
      <c r="AX152" s="63"/>
      <c r="AY152" s="64"/>
      <c r="AZ152" s="69"/>
      <c r="BA152" s="65"/>
      <c r="BB152" s="70"/>
      <c r="BC152" s="71"/>
      <c r="BD152" s="72"/>
      <c r="BE152" s="73"/>
      <c r="BF152" s="64"/>
      <c r="BG152" s="69"/>
      <c r="BH152" s="65"/>
      <c r="BI152" s="66"/>
      <c r="BJ152" s="71"/>
      <c r="BK152" s="72"/>
      <c r="BL152" s="74"/>
      <c r="BN152" s="5" t="str">
        <f t="shared" si="23"/>
        <v>0</v>
      </c>
      <c r="BP152" s="5"/>
    </row>
    <row r="153" ht="37.5" customHeight="1">
      <c r="A153" s="45"/>
      <c r="B153" s="46">
        <f>IFERROR(__xludf.DUMMYFUNCTION("""COMPUTED_VALUE"""),151.0)</f>
        <v>151</v>
      </c>
      <c r="C153" s="47" t="str">
        <f>IFERROR(__xludf.DUMMYFUNCTION("""COMPUTED_VALUE"""),"Gestión de la administración y fomento")</f>
        <v>Gestión de la administración y fomento</v>
      </c>
      <c r="D153" s="48" t="str">
        <f>IFERROR(__xludf.DUMMYFUNCTION("""COMPUTED_VALUE"""),"Regional Villavicencio")</f>
        <v>Regional Villavicencio</v>
      </c>
      <c r="E153" s="48" t="str">
        <f>IFERROR(__xludf.DUMMYFUNCTION("""COMPUTED_VALUE"""),"Fortalecimiento de la sostenibilidad del sector pesquero y de la acuicultura en el territorio nacional")</f>
        <v>Fortalecimiento de la sostenibilidad del sector pesquero y de la acuicultura en el territorio nacional</v>
      </c>
      <c r="F153" s="49">
        <f>IFERROR(__xludf.DUMMYFUNCTION("""COMPUTED_VALUE"""),2.01901100028E12)</f>
        <v>2019011000280</v>
      </c>
      <c r="G153" s="50" t="str">
        <f>IFERROR(__xludf.DUMMYFUNCTION("""COMPUTED_VALUE"""),"Sostenibilidad")</f>
        <v>Sostenibilidad</v>
      </c>
      <c r="H153" s="48" t="str">
        <f>IFERROR(__xludf.DUMMYFUNCTION("""COMPUTED_VALUE"""),"Mejorar la explotación de los recursos pesqueros y de la acuicultura.")</f>
        <v>Mejorar la explotación de los recursos pesqueros y de la acuicultura.</v>
      </c>
      <c r="I153" s="48" t="str">
        <f>IFERROR(__xludf.DUMMYFUNCTION("""COMPUTED_VALUE"""),"Servicios de administración de los recurso pesqueros y de la acuicultura")</f>
        <v>Servicios de administración de los recurso pesqueros y de la acuicultura</v>
      </c>
      <c r="J153" s="48" t="str">
        <f>IFERROR(__xludf.DUMMYFUNCTION("""COMPUTED_VALUE"""),"Realizar acciones de divulgación y formalización de la actividad pesquera y de la acuicultura.")</f>
        <v>Realizar acciones de divulgación y formalización de la actividad pesquera y de la acuicultura.</v>
      </c>
      <c r="K153" s="51" t="str">
        <f>IFERROR(__xludf.DUMMYFUNCTION("""COMPUTED_VALUE"""),"Gestión del área")</f>
        <v>Gestión del área</v>
      </c>
      <c r="L153" s="51" t="str">
        <f>IFERROR(__xludf.DUMMYFUNCTION("""COMPUTED_VALUE"""),"Eficacia")</f>
        <v>Eficacia</v>
      </c>
      <c r="M153" s="51" t="str">
        <f>IFERROR(__xludf.DUMMYFUNCTION("""COMPUTED_VALUE"""),"Número")</f>
        <v>Número</v>
      </c>
      <c r="N153" s="52" t="str">
        <f>IFERROR(__xludf.DUMMYFUNCTION("""COMPUTED_VALUE"""),"Número de capacitaciones realizadas/Número de capacitaciones programadas")</f>
        <v>Número de capacitaciones realizadas/Número de capacitaciones programadas</v>
      </c>
      <c r="O153" s="53"/>
      <c r="P153" s="54">
        <f>IFERROR(__xludf.DUMMYFUNCTION("""COMPUTED_VALUE"""),120.0)</f>
        <v>120</v>
      </c>
      <c r="Q153" s="55" t="str">
        <f>IFERROR(__xludf.DUMMYFUNCTION("""COMPUTED_VALUE"""),"Capacitación a los grupos de interés")</f>
        <v>Capacitación a los grupos de interés</v>
      </c>
      <c r="R153" s="14" t="str">
        <f>IFERROR(__xludf.DUMMYFUNCTION("""COMPUTED_VALUE"""),"Trimestral")</f>
        <v>Trimestral</v>
      </c>
      <c r="S153" s="54">
        <f>IFERROR(__xludf.DUMMYFUNCTION("""COMPUTED_VALUE"""),30.0)</f>
        <v>30</v>
      </c>
      <c r="T153" s="54">
        <f>IFERROR(__xludf.DUMMYFUNCTION("""COMPUTED_VALUE"""),30.0)</f>
        <v>30</v>
      </c>
      <c r="U153" s="54">
        <f>IFERROR(__xludf.DUMMYFUNCTION("""COMPUTED_VALUE"""),30.0)</f>
        <v>30</v>
      </c>
      <c r="V153" s="54">
        <f>IFERROR(__xludf.DUMMYFUNCTION("""COMPUTED_VALUE"""),30.0)</f>
        <v>30</v>
      </c>
      <c r="W153" s="56" t="str">
        <f>IFERROR(__xludf.DUMMYFUNCTION("""COMPUTED_VALUE"""),"Regional Villavicencio")</f>
        <v>Regional Villavicencio</v>
      </c>
      <c r="X153" s="57" t="str">
        <f>IFERROR(__xludf.DUMMYFUNCTION("""COMPUTED_VALUE"""),"Maritza Casallas Delgado")</f>
        <v>Maritza Casallas Delgado</v>
      </c>
      <c r="Y153" s="47" t="str">
        <f>IFERROR(__xludf.DUMMYFUNCTION("""COMPUTED_VALUE"""),"Director Regional")</f>
        <v>Director Regional</v>
      </c>
      <c r="Z153" s="57" t="str">
        <f>IFERROR(__xludf.DUMMYFUNCTION("""COMPUTED_VALUE"""),"maritza.casallas@aunap.gov.co")</f>
        <v>maritza.casallas@aunap.gov.co</v>
      </c>
      <c r="AA153" s="47" t="str">
        <f>IFERROR(__xludf.DUMMYFUNCTION("""COMPUTED_VALUE"""),"Humanos, fisicos, financieros y tecnologicos")</f>
        <v>Humanos, fisicos, financieros y tecnologicos</v>
      </c>
      <c r="AB153" s="47" t="str">
        <f>IFERROR(__xludf.DUMMYFUNCTION("""COMPUTED_VALUE"""),"No asociado")</f>
        <v>No asociado</v>
      </c>
      <c r="AC153" s="47" t="str">
        <f>IFERROR(__xludf.DUMMYFUNCTION("""COMPUTED_VALUE"""),"Llegar con actividades de pesca y acuicultura a todas las regiones")</f>
        <v>Llegar con actividades de pesca y acuicultura a todas las regiones</v>
      </c>
      <c r="AD153" s="47" t="str">
        <f>IFERROR(__xludf.DUMMYFUNCTION("""COMPUTED_VALUE"""),"Gestión con valores para resultados")</f>
        <v>Gestión con valores para resultados</v>
      </c>
      <c r="AE153" s="47" t="str">
        <f>IFERROR(__xludf.DUMMYFUNCTION("""COMPUTED_VALUE"""),"Fortalecimiento Organizacional y Simplificación de Procesos")</f>
        <v>Fortalecimiento Organizacional y Simplificación de Procesos</v>
      </c>
      <c r="AF153" s="47" t="str">
        <f>IFERROR(__xludf.DUMMYFUNCTION("""COMPUTED_VALUE"""),"12. Producción y consumo responsable")</f>
        <v>12. Producción y consumo responsable</v>
      </c>
      <c r="AG153" s="58">
        <f>IFERROR(__xludf.DUMMYFUNCTION("""COMPUTED_VALUE"""),31.0)</f>
        <v>31</v>
      </c>
      <c r="AH153" s="59" t="str">
        <f>IFERROR(__xludf.DUMMYFUNCTION("""COMPUTED_VALUE"""),"Las Capacitaciones a grupos de interes se realizan tambien por demanda y por esa razon hay una por encima de la meta establecida")</f>
        <v>Las Capacitaciones a grupos de interes se realizan tambien por demanda y por esa razon hay una por encima de la meta establecida</v>
      </c>
      <c r="AI153" s="77" t="str">
        <f>IFERROR(__xludf.DUMMYFUNCTION("""COMPUTED_VALUE"""),"https://drive.google.com/drive/folders/1-7k41m6SzWE3W-GXw1oi9hvz1JgvrfhK?usp=sharing")</f>
        <v>https://drive.google.com/drive/folders/1-7k41m6SzWE3W-GXw1oi9hvz1JgvrfhK?usp=sharing</v>
      </c>
      <c r="AJ153" s="59">
        <f>IFERROR(__xludf.DUMMYFUNCTION("""COMPUTED_VALUE"""),128.0)</f>
        <v>128</v>
      </c>
      <c r="AK153" s="59" t="str">
        <f>IFERROR(__xludf.DUMMYFUNCTION("""COMPUTED_VALUE"""),"Las capacitaciones a los grupo de interes se realizan tambien por demanda y por esa razon hay ocho por encima de la meta establecida, toda vez que ademas de las programadas atendemos otras solicitudes")</f>
        <v>Las capacitaciones a los grupo de interes se realizan tambien por demanda y por esa razon hay ocho por encima de la meta establecida, toda vez que ademas de las programadas atendemos otras solicitudes</v>
      </c>
      <c r="AL153" s="59">
        <f>IFERROR(__xludf.DUMMYFUNCTION("""COMPUTED_VALUE"""),44582.0)</f>
        <v>44582</v>
      </c>
      <c r="AM153" s="60"/>
      <c r="AN153" s="61" t="str">
        <f>IFERROR(IF((AO153+1)&lt;2,Alertas!$B$2&amp;TEXT(AO153,"0%")&amp;Alertas!$D$2, IF((AO153+1)=2,Alertas!$B$3,IF((AO153+1)&gt;2,Alertas!$B$4&amp;TEXT(AO153,"0%")&amp;Alertas!$D$4,AO153+1))),"Sin meta para el segundo trimestre")</f>
        <v>La ejecución de la meta registrada se encuentra por encima de la meta programada en la formulación del plan de acción para el segundo trimestre, su porcentaje de cumplimiento es 103%,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53" s="62">
        <f t="shared" si="2"/>
        <v>1.033333333</v>
      </c>
      <c r="AP153" s="61" t="str">
        <f t="shared" si="3"/>
        <v>La ejecución de la meta registrada se encuentra por encima de la meta programada en la formulación del plan de acción para el segundo trimestre, su porcentaje de cumplimiento es 103%,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53" s="63"/>
      <c r="AR153" s="64"/>
      <c r="AS153" s="65"/>
      <c r="AT153" s="65"/>
      <c r="AU153" s="66"/>
      <c r="AV153" s="67"/>
      <c r="AW153" s="68"/>
      <c r="AX153" s="63"/>
      <c r="AY153" s="64"/>
      <c r="AZ153" s="69"/>
      <c r="BA153" s="65"/>
      <c r="BB153" s="70"/>
      <c r="BC153" s="71"/>
      <c r="BD153" s="72"/>
      <c r="BE153" s="73"/>
      <c r="BF153" s="64"/>
      <c r="BG153" s="69"/>
      <c r="BH153" s="65"/>
      <c r="BI153" s="66"/>
      <c r="BJ153" s="71"/>
      <c r="BK153" s="72"/>
      <c r="BL153" s="74"/>
      <c r="BN153" s="5" t="str">
        <f t="shared" si="23"/>
        <v>1</v>
      </c>
      <c r="BP153" s="5"/>
    </row>
    <row r="154" ht="37.5" customHeight="1">
      <c r="A154" s="45"/>
      <c r="B154" s="46">
        <f>IFERROR(__xludf.DUMMYFUNCTION("""COMPUTED_VALUE"""),152.0)</f>
        <v>152</v>
      </c>
      <c r="C154" s="47" t="str">
        <f>IFERROR(__xludf.DUMMYFUNCTION("""COMPUTED_VALUE"""),"Gestión de la inspección y vigilancia")</f>
        <v>Gestión de la inspección y vigilancia</v>
      </c>
      <c r="D154" s="48" t="str">
        <f>IFERROR(__xludf.DUMMYFUNCTION("""COMPUTED_VALUE"""),"Regional Villavicencio")</f>
        <v>Regional Villavicencio</v>
      </c>
      <c r="E154"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54" s="49">
        <f>IFERROR(__xludf.DUMMYFUNCTION("""COMPUTED_VALUE"""),2.019011000276E12)</f>
        <v>2019011000276</v>
      </c>
      <c r="G154" s="50" t="str">
        <f>IFERROR(__xludf.DUMMYFUNCTION("""COMPUTED_VALUE"""),"Inspección")</f>
        <v>Inspección</v>
      </c>
      <c r="H154" s="48" t="str">
        <f>IFERROR(__xludf.DUMMYFUNCTION("""COMPUTED_VALUE"""),"Aumentar el conocimiento de la normatividad pesquera y de la acuicultura por parte de la comunidad.")</f>
        <v>Aumentar el conocimiento de la normatividad pesquera y de la acuicultura por parte de la comunidad.</v>
      </c>
      <c r="I154" s="48" t="str">
        <f>IFERROR(__xludf.DUMMYFUNCTION("""COMPUTED_VALUE"""),"Servicio de divulgación y socialización")</f>
        <v>Servicio de divulgación y socialización</v>
      </c>
      <c r="J154" s="48" t="str">
        <f>IFERROR(__xludf.DUMMYFUNCTION("""COMPUTED_VALUE"""),"Implementar las estrategias de socialización y Divulgación a la comunidad")</f>
        <v>Implementar las estrategias de socialización y Divulgación a la comunidad</v>
      </c>
      <c r="K154" s="51" t="str">
        <f>IFERROR(__xludf.DUMMYFUNCTION("""COMPUTED_VALUE"""),"Gestión del área")</f>
        <v>Gestión del área</v>
      </c>
      <c r="L154" s="51" t="str">
        <f>IFERROR(__xludf.DUMMYFUNCTION("""COMPUTED_VALUE"""),"Eficacia")</f>
        <v>Eficacia</v>
      </c>
      <c r="M154" s="51" t="str">
        <f>IFERROR(__xludf.DUMMYFUNCTION("""COMPUTED_VALUE"""),"Número")</f>
        <v>Número</v>
      </c>
      <c r="N154" s="52" t="str">
        <f>IFERROR(__xludf.DUMMYFUNCTION("""COMPUTED_VALUE"""),"Número de eventos realizados/Número de eventos programados")</f>
        <v>Número de eventos realizados/Número de eventos programados</v>
      </c>
      <c r="O154" s="53"/>
      <c r="P154" s="54">
        <f>IFERROR(__xludf.DUMMYFUNCTION("""COMPUTED_VALUE"""),35.0)</f>
        <v>35</v>
      </c>
      <c r="Q154" s="55" t="str">
        <f>IFERROR(__xludf.DUMMYFUNCTION("""COMPUTED_VALUE"""),"Desarrollar actividades orientadas a sensibilizar a la población dedicada a la actividad pesquera y la acuicultura, en normatividad y medidas de ordenación de la pesca y acuicultura en Colombia.")</f>
        <v>Desarrollar actividades orientadas a sensibilizar a la población dedicada a la actividad pesquera y la acuicultura, en normatividad y medidas de ordenación de la pesca y acuicultura en Colombia.</v>
      </c>
      <c r="R154" s="14" t="str">
        <f>IFERROR(__xludf.DUMMYFUNCTION("""COMPUTED_VALUE"""),"Trimestral")</f>
        <v>Trimestral</v>
      </c>
      <c r="S154" s="54">
        <f>IFERROR(__xludf.DUMMYFUNCTION("""COMPUTED_VALUE"""),10.0)</f>
        <v>10</v>
      </c>
      <c r="T154" s="54">
        <f>IFERROR(__xludf.DUMMYFUNCTION("""COMPUTED_VALUE"""),25.0)</f>
        <v>25</v>
      </c>
      <c r="U154" s="54">
        <f>IFERROR(__xludf.DUMMYFUNCTION("""COMPUTED_VALUE"""),0.0)</f>
        <v>0</v>
      </c>
      <c r="V154" s="54">
        <f>IFERROR(__xludf.DUMMYFUNCTION("""COMPUTED_VALUE"""),0.0)</f>
        <v>0</v>
      </c>
      <c r="W154" s="56" t="str">
        <f>IFERROR(__xludf.DUMMYFUNCTION("""COMPUTED_VALUE"""),"Regional Villavicencio")</f>
        <v>Regional Villavicencio</v>
      </c>
      <c r="X154" s="57" t="str">
        <f>IFERROR(__xludf.DUMMYFUNCTION("""COMPUTED_VALUE"""),"Maritza Casallas Delgado")</f>
        <v>Maritza Casallas Delgado</v>
      </c>
      <c r="Y154" s="47" t="str">
        <f>IFERROR(__xludf.DUMMYFUNCTION("""COMPUTED_VALUE"""),"Director Regional")</f>
        <v>Director Regional</v>
      </c>
      <c r="Z154" s="57" t="str">
        <f>IFERROR(__xludf.DUMMYFUNCTION("""COMPUTED_VALUE"""),"maritza.casallas@aunap.gov.co")</f>
        <v>maritza.casallas@aunap.gov.co</v>
      </c>
      <c r="AA154" s="47" t="str">
        <f>IFERROR(__xludf.DUMMYFUNCTION("""COMPUTED_VALUE"""),"Humanos, fisicos, financieros y tecnologicos")</f>
        <v>Humanos, fisicos, financieros y tecnologicos</v>
      </c>
      <c r="AB154" s="47" t="str">
        <f>IFERROR(__xludf.DUMMYFUNCTION("""COMPUTED_VALUE"""),"No asociado")</f>
        <v>No asociado</v>
      </c>
      <c r="AC154"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54" s="47" t="str">
        <f>IFERROR(__xludf.DUMMYFUNCTION("""COMPUTED_VALUE"""),"Gestión con valores para resultados")</f>
        <v>Gestión con valores para resultados</v>
      </c>
      <c r="AE154" s="47" t="str">
        <f>IFERROR(__xludf.DUMMYFUNCTION("""COMPUTED_VALUE"""),"Fortalecimiento Organizacional y Simplificación de Procesos")</f>
        <v>Fortalecimiento Organizacional y Simplificación de Procesos</v>
      </c>
      <c r="AF154" s="47" t="str">
        <f>IFERROR(__xludf.DUMMYFUNCTION("""COMPUTED_VALUE"""),"12. Producción y consumo responsable")</f>
        <v>12. Producción y consumo responsable</v>
      </c>
      <c r="AG154" s="58">
        <f>IFERROR(__xludf.DUMMYFUNCTION("""COMPUTED_VALUE"""),0.0)</f>
        <v>0</v>
      </c>
      <c r="AH154" s="59" t="str">
        <f>IFERROR(__xludf.DUMMYFUNCTION("""COMPUTED_VALUE"""),"LA META ES CERO")</f>
        <v>LA META ES CERO</v>
      </c>
      <c r="AI154" s="59" t="str">
        <f>IFERROR(__xludf.DUMMYFUNCTION("""COMPUTED_VALUE"""),"NO APLICA")</f>
        <v>NO APLICA</v>
      </c>
      <c r="AJ154" s="59">
        <f>IFERROR(__xludf.DUMMYFUNCTION("""COMPUTED_VALUE"""),41.0)</f>
        <v>41</v>
      </c>
      <c r="AK154" s="59" t="str">
        <f>IFERROR(__xludf.DUMMYFUNCTION("""COMPUTED_VALUE"""),"Las actividades realizadas durante la vigencia 2021, fueron según lo programado, sin embargo hay 6 actividades que se encuentran por encima toda vez que en el segundo trimestre se elevo por las actividades de veda")</f>
        <v>Las actividades realizadas durante la vigencia 2021, fueron según lo programado, sin embargo hay 6 actividades que se encuentran por encima toda vez que en el segundo trimestre se elevo por las actividades de veda</v>
      </c>
      <c r="AL154" s="59">
        <f>IFERROR(__xludf.DUMMYFUNCTION("""COMPUTED_VALUE"""),44582.0)</f>
        <v>44582</v>
      </c>
      <c r="AM154" s="60"/>
      <c r="AN154" s="61" t="str">
        <f>IFERROR(IF((AO154+1)&lt;2,Alertas!$B$2&amp;TEXT(AO154,"0%")&amp;Alertas!$D$2, IF((AO154+1)=2,Alertas!$B$3,IF((AO154+1)&gt;2,Alertas!$B$4&amp;TEXT(AO154,"0%")&amp;Alertas!$D$4,AO154+1))),"Sin meta para el segundo trimestre")</f>
        <v>La ejecución de la meta registrada se encuentra por debajo de la meta programada en la formulación del plan de acción para el segundo trimestre, su porcentaje de cumplimiento es 0%, lo cual indica un incumplimiento que puede ser entendido por los entes de control como falencias en el proceso de planeación y gestión de la dependencia. se recomienda realizar acciones para garantizar el cumplimiento de la meta durante lo que resta de vigencia</v>
      </c>
      <c r="AO154" s="62">
        <f t="shared" si="2"/>
        <v>0</v>
      </c>
      <c r="AP154" s="61" t="str">
        <f t="shared" si="3"/>
        <v>La ejecución de la meta registrada se encuentra por debajo de la meta programada en la formulación del plan de acción para el segundo trimestre, su porcentaje de cumplimiento es 0%, lo cual indica un incumplimiento que puede ser entendido por los entes de control como falencias en el proceso de planeación y gestión de la dependencia. se recomienda realizar acciones para garantizar el cumplimiento de la meta durante lo que resta de vigencia.</v>
      </c>
      <c r="AQ154" s="63"/>
      <c r="AR154" s="64"/>
      <c r="AS154" s="65"/>
      <c r="AT154" s="65"/>
      <c r="AU154" s="66"/>
      <c r="AV154" s="67"/>
      <c r="AW154" s="68"/>
      <c r="AX154" s="63"/>
      <c r="AY154" s="64"/>
      <c r="AZ154" s="69"/>
      <c r="BA154" s="65"/>
      <c r="BB154" s="70"/>
      <c r="BC154" s="71"/>
      <c r="BD154" s="72"/>
      <c r="BE154" s="73"/>
      <c r="BF154" s="64"/>
      <c r="BG154" s="69"/>
      <c r="BH154" s="65"/>
      <c r="BI154" s="66"/>
      <c r="BJ154" s="71"/>
      <c r="BK154" s="72"/>
      <c r="BL154" s="74"/>
      <c r="BN154" s="5" t="str">
        <f t="shared" si="23"/>
        <v>-1</v>
      </c>
      <c r="BP154" s="5"/>
    </row>
    <row r="155" ht="37.5" customHeight="1">
      <c r="A155" s="45"/>
      <c r="B155" s="46">
        <f>IFERROR(__xludf.DUMMYFUNCTION("""COMPUTED_VALUE"""),153.0)</f>
        <v>153</v>
      </c>
      <c r="C155" s="47" t="str">
        <f>IFERROR(__xludf.DUMMYFUNCTION("""COMPUTED_VALUE"""),"Gestión de la inspección y vigilancia")</f>
        <v>Gestión de la inspección y vigilancia</v>
      </c>
      <c r="D155" s="48" t="str">
        <f>IFERROR(__xludf.DUMMYFUNCTION("""COMPUTED_VALUE"""),"Regional Villavicencio")</f>
        <v>Regional Villavicencio</v>
      </c>
      <c r="E155" s="48" t="str">
        <f>IFERROR(__xludf.DUMMYFUNCTION("""COMPUTED_VALUE"""),"Desarrollo de las actividades de inspección y vigilancia para el mejoramiento del ejercicio de la actividad pesquera y la acuicultura a nivel nacional")</f>
        <v>Desarrollo de las actividades de inspección y vigilancia para el mejoramiento del ejercicio de la actividad pesquera y la acuicultura a nivel nacional</v>
      </c>
      <c r="F155" s="49">
        <f>IFERROR(__xludf.DUMMYFUNCTION("""COMPUTED_VALUE"""),2.019011000276E12)</f>
        <v>2019011000276</v>
      </c>
      <c r="G155" s="50" t="str">
        <f>IFERROR(__xludf.DUMMYFUNCTION("""COMPUTED_VALUE"""),"Inspección")</f>
        <v>Inspección</v>
      </c>
      <c r="H155" s="48" t="str">
        <f>IFERROR(__xludf.DUMMYFUNCTION("""COMPUTED_VALUE"""),"Fortalecer los mecanismos de seguimiento y control de la actividad pesquera y de la acuicultura.")</f>
        <v>Fortalecer los mecanismos de seguimiento y control de la actividad pesquera y de la acuicultura.</v>
      </c>
      <c r="I155" s="48" t="str">
        <f>IFERROR(__xludf.DUMMYFUNCTION("""COMPUTED_VALUE"""),"Servicio de inspección, vigilancia y control de la pesca y la acuicultura")</f>
        <v>Servicio de inspección, vigilancia y control de la pesca y la acuicultura</v>
      </c>
      <c r="J155" s="48" t="str">
        <f>IFERROR(__xludf.DUMMYFUNCTION("""COMPUTED_VALUE"""),"Realizar los operativos de inspección, vigilancia y control.")</f>
        <v>Realizar los operativos de inspección, vigilancia y control.</v>
      </c>
      <c r="K155" s="51" t="str">
        <f>IFERROR(__xludf.DUMMYFUNCTION("""COMPUTED_VALUE"""),"Producto")</f>
        <v>Producto</v>
      </c>
      <c r="L155" s="51" t="str">
        <f>IFERROR(__xludf.DUMMYFUNCTION("""COMPUTED_VALUE"""),"Eficacia")</f>
        <v>Eficacia</v>
      </c>
      <c r="M155" s="51" t="str">
        <f>IFERROR(__xludf.DUMMYFUNCTION("""COMPUTED_VALUE"""),"Número")</f>
        <v>Número</v>
      </c>
      <c r="N155" s="52" t="str">
        <f>IFERROR(__xludf.DUMMYFUNCTION("""COMPUTED_VALUE"""),"Operativos de inspección, vigilancia y control realizados")</f>
        <v>Operativos de inspección, vigilancia y control realizados</v>
      </c>
      <c r="O155" s="53">
        <f>IFERROR(__xludf.DUMMYFUNCTION("""COMPUTED_VALUE"""),157.0)</f>
        <v>157</v>
      </c>
      <c r="P155" s="54">
        <f>IFERROR(__xludf.DUMMYFUNCTION("""COMPUTED_VALUE"""),850.0)</f>
        <v>850</v>
      </c>
      <c r="Q155" s="55" t="str">
        <f>IFERROR(__xludf.DUMMYFUNCTION("""COMPUTED_VALUE"""),"Realizar operativos de control y vigilancia de la actividad pesquera y de la acuicultura y verificar el cumplimiento de  la normatividad pesquera y acuícola en:(Centros de acopio, Puntos de venta, Plazas principales, Muelles de desembarque, Aeropuertos, V"&amp;"ías terrestres y fluviales (incluidos cuerpos de agua) de la regional.
")</f>
        <v>Realizar operativos de control y vigilancia de la actividad pesquera y de la acuicultura y verificar el cumplimiento de  la normatividad pesquera y acuícola en:(Centros de acopio, Puntos de venta, Plazas principales, Muelles de desembarque, Aeropuertos, Vías terrestres y fluviales (incluidos cuerpos de agua) de la regional.
</v>
      </c>
      <c r="R155" s="14" t="str">
        <f>IFERROR(__xludf.DUMMYFUNCTION("""COMPUTED_VALUE"""),"Mensual")</f>
        <v>Mensual</v>
      </c>
      <c r="S155" s="54">
        <f>IFERROR(__xludf.DUMMYFUNCTION("""COMPUTED_VALUE"""),193.0)</f>
        <v>193</v>
      </c>
      <c r="T155" s="54">
        <f>IFERROR(__xludf.DUMMYFUNCTION("""COMPUTED_VALUE"""),240.0)</f>
        <v>240</v>
      </c>
      <c r="U155" s="54">
        <f>IFERROR(__xludf.DUMMYFUNCTION("""COMPUTED_VALUE"""),231.0)</f>
        <v>231</v>
      </c>
      <c r="V155" s="54">
        <f>IFERROR(__xludf.DUMMYFUNCTION("""COMPUTED_VALUE"""),186.0)</f>
        <v>186</v>
      </c>
      <c r="W155" s="56" t="str">
        <f>IFERROR(__xludf.DUMMYFUNCTION("""COMPUTED_VALUE"""),"Regional Villavicencio")</f>
        <v>Regional Villavicencio</v>
      </c>
      <c r="X155" s="57" t="str">
        <f>IFERROR(__xludf.DUMMYFUNCTION("""COMPUTED_VALUE"""),"Maritza Casallas Delgado")</f>
        <v>Maritza Casallas Delgado</v>
      </c>
      <c r="Y155" s="47" t="str">
        <f>IFERROR(__xludf.DUMMYFUNCTION("""COMPUTED_VALUE"""),"Director Regional")</f>
        <v>Director Regional</v>
      </c>
      <c r="Z155" s="57" t="str">
        <f>IFERROR(__xludf.DUMMYFUNCTION("""COMPUTED_VALUE"""),"maritza.casallas@aunap.gov.co")</f>
        <v>maritza.casallas@aunap.gov.co</v>
      </c>
      <c r="AA155" s="47" t="str">
        <f>IFERROR(__xludf.DUMMYFUNCTION("""COMPUTED_VALUE"""),"Humanos, fisicos, financieros y tecnologicos")</f>
        <v>Humanos, fisicos, financieros y tecnologicos</v>
      </c>
      <c r="AB155" s="47" t="str">
        <f>IFERROR(__xludf.DUMMYFUNCTION("""COMPUTED_VALUE"""),"No asociado")</f>
        <v>No asociado</v>
      </c>
      <c r="AC155" s="47" t="str">
        <f>IFERROR(__xludf.DUMMYFUNCTION("""COMPUTED_VALUE"""),"Hacer ordenación de la actividad pesquera a nivel nacional fomentando la legalidad de la actividad pesquera y acuícola")</f>
        <v>Hacer ordenación de la actividad pesquera a nivel nacional fomentando la legalidad de la actividad pesquera y acuícola</v>
      </c>
      <c r="AD155" s="47" t="str">
        <f>IFERROR(__xludf.DUMMYFUNCTION("""COMPUTED_VALUE"""),"Gestión con valores para resultados")</f>
        <v>Gestión con valores para resultados</v>
      </c>
      <c r="AE155" s="47" t="str">
        <f>IFERROR(__xludf.DUMMYFUNCTION("""COMPUTED_VALUE"""),"Fortalecimiento Organizacional y Simplificación de Procesos")</f>
        <v>Fortalecimiento Organizacional y Simplificación de Procesos</v>
      </c>
      <c r="AF155" s="47" t="str">
        <f>IFERROR(__xludf.DUMMYFUNCTION("""COMPUTED_VALUE"""),"12. Producción y consumo responsable")</f>
        <v>12. Producción y consumo responsable</v>
      </c>
      <c r="AG155" s="58">
        <f>IFERROR(__xludf.DUMMYFUNCTION("""COMPUTED_VALUE"""),209.0)</f>
        <v>209</v>
      </c>
      <c r="AH155" s="59" t="str">
        <f>IFERROR(__xludf.DUMMYFUNCTION("""COMPUTED_VALUE"""),"Se hicieron los operativos previstos y tambien se atendieron solicitudes extras para realizar operativos de control e inspeccion")</f>
        <v>Se hicieron los operativos previstos y tambien se atendieron solicitudes extras para realizar operativos de control e inspeccion</v>
      </c>
      <c r="AI155" s="77" t="str">
        <f>IFERROR(__xludf.DUMMYFUNCTION("""COMPUTED_VALUE"""),"https://drive.google.com/drive/folders/1cyt_mG7INBQIdV0_2ijzTxhSJvN0qGe-?usp=sharing")</f>
        <v>https://drive.google.com/drive/folders/1cyt_mG7INBQIdV0_2ijzTxhSJvN0qGe-?usp=sharing</v>
      </c>
      <c r="AJ155" s="59">
        <f>IFERROR(__xludf.DUMMYFUNCTION("""COMPUTED_VALUE"""),899.0)</f>
        <v>899</v>
      </c>
      <c r="AK155" s="59" t="str">
        <f>IFERROR(__xludf.DUMMYFUNCTION("""COMPUTED_VALUE"""),"Se hicieron los operativos previstos y tambien se atendieron solicitudes extras para realizar operativos de control e inspeccion por tal razon hay 49 por encima de la meta establecida")</f>
        <v>Se hicieron los operativos previstos y tambien se atendieron solicitudes extras para realizar operativos de control e inspeccion por tal razon hay 49 por encima de la meta establecida</v>
      </c>
      <c r="AL155" s="59">
        <f>IFERROR(__xludf.DUMMYFUNCTION("""COMPUTED_VALUE"""),44582.0)</f>
        <v>44582</v>
      </c>
      <c r="AM155" s="60"/>
      <c r="AN155" s="61" t="str">
        <f>IFERROR(IF((AO155+1)&lt;2,Alertas!$B$2&amp;TEXT(AO155,"0%")&amp;Alertas!$D$2, IF((AO155+1)=2,Alertas!$B$3,IF((AO155+1)&gt;2,Alertas!$B$4&amp;TEXT(AO155,"0%")&amp;Alertas!$D$4,AO155+1))),"Sin meta para el segundo trimestre")</f>
        <v>La ejecución de la meta registrada se encuentra por debajo de la meta programada en la formulación del plan de acción para el segundo trimestre, su porcentaje de cumplimiento es 87%, lo cual indica un incumplimiento que puede ser entendido por los entes de control como falencias en el proceso de planeación y gestión de la dependencia. se recomienda realizar acciones para garantizar el cumplimiento de la meta durante lo que resta de vigencia</v>
      </c>
      <c r="AO155" s="62">
        <f t="shared" si="2"/>
        <v>0.8708333333</v>
      </c>
      <c r="AP155" s="61" t="str">
        <f t="shared" si="3"/>
        <v>La ejecución de la meta registrada se encuentra por debajo de la meta programada en la formulación del plan de acción para el segundo trimestre, su porcentaje de cumplimiento es 87%, lo cual indica un incumplimiento que puede ser entendido por los entes de control como falencias en el proceso de planeación y gestión de la dependencia. se recomienda realizar acciones para garantizar el cumplimiento de la meta durante lo que resta de vigencia.</v>
      </c>
      <c r="AQ155" s="63"/>
      <c r="AR155" s="64"/>
      <c r="AS155" s="65"/>
      <c r="AT155" s="65"/>
      <c r="AU155" s="66"/>
      <c r="AV155" s="67"/>
      <c r="AW155" s="68"/>
      <c r="AX155" s="63"/>
      <c r="AY155" s="64"/>
      <c r="AZ155" s="69"/>
      <c r="BA155" s="65"/>
      <c r="BB155" s="70"/>
      <c r="BC155" s="71"/>
      <c r="BD155" s="72"/>
      <c r="BE155" s="73"/>
      <c r="BF155" s="64"/>
      <c r="BG155" s="69"/>
      <c r="BH155" s="65"/>
      <c r="BI155" s="66"/>
      <c r="BJ155" s="71"/>
      <c r="BK155" s="72"/>
      <c r="BL155" s="74"/>
      <c r="BN155" s="5" t="str">
        <f t="shared" si="23"/>
        <v>-1</v>
      </c>
      <c r="BP155" s="5"/>
    </row>
    <row r="156" ht="37.5" customHeight="1">
      <c r="A156" s="45"/>
      <c r="B156" s="46">
        <f>IFERROR(__xludf.DUMMYFUNCTION("""COMPUTED_VALUE"""),154.0)</f>
        <v>154</v>
      </c>
      <c r="C156" s="47" t="str">
        <f>IFERROR(__xludf.DUMMYFUNCTION("""COMPUTED_VALUE"""),"Gestión de la administración y fomento")</f>
        <v>Gestión de la administración y fomento</v>
      </c>
      <c r="D156" s="48" t="str">
        <f>IFERROR(__xludf.DUMMYFUNCTION("""COMPUTED_VALUE"""),"Regional Villavicencio")</f>
        <v>Regional Villavicencio</v>
      </c>
      <c r="E156" s="48" t="str">
        <f>IFERROR(__xludf.DUMMYFUNCTION("""COMPUTED_VALUE"""),"Fortalecimiento de la sostenibilidad del sector pesquero y de la acuicultura en el territorio nacional")</f>
        <v>Fortalecimiento de la sostenibilidad del sector pesquero y de la acuicultura en el territorio nacional</v>
      </c>
      <c r="F156" s="49">
        <f>IFERROR(__xludf.DUMMYFUNCTION("""COMPUTED_VALUE"""),2.01901100028E12)</f>
        <v>2019011000280</v>
      </c>
      <c r="G156" s="50" t="str">
        <f>IFERROR(__xludf.DUMMYFUNCTION("""COMPUTED_VALUE"""),"Sostenibilidad")</f>
        <v>Sostenibilidad</v>
      </c>
      <c r="H156" s="48" t="str">
        <f>IFERROR(__xludf.DUMMYFUNCTION("""COMPUTED_VALUE"""),"Mejorar la explotación de los recursos pesqueros y de la acuicultura.")</f>
        <v>Mejorar la explotación de los recursos pesqueros y de la acuicultura.</v>
      </c>
      <c r="I156" s="48" t="str">
        <f>IFERROR(__xludf.DUMMYFUNCTION("""COMPUTED_VALUE"""),"Servicios de administración de los recurso pesqueros y de la acuicultura")</f>
        <v>Servicios de administración de los recurso pesqueros y de la acuicultura</v>
      </c>
      <c r="J156" s="48" t="str">
        <f>IFERROR(__xludf.DUMMYFUNCTION("""COMPUTED_VALUE"""),"Regular el manejo y el ejercicio de la actividad pesquera y de la acuicultura.")</f>
        <v>Regular el manejo y el ejercicio de la actividad pesquera y de la acuicultura.</v>
      </c>
      <c r="K156" s="51" t="str">
        <f>IFERROR(__xludf.DUMMYFUNCTION("""COMPUTED_VALUE"""),"Gestión del área")</f>
        <v>Gestión del área</v>
      </c>
      <c r="L156" s="51" t="str">
        <f>IFERROR(__xludf.DUMMYFUNCTION("""COMPUTED_VALUE"""),"Eficacia")</f>
        <v>Eficacia</v>
      </c>
      <c r="M156" s="51" t="str">
        <f>IFERROR(__xludf.DUMMYFUNCTION("""COMPUTED_VALUE"""),"Número")</f>
        <v>Número</v>
      </c>
      <c r="N156" s="52" t="str">
        <f>IFERROR(__xludf.DUMMYFUNCTION("""COMPUTED_VALUE"""),"Número de pescadores artesanales formalizados/Número de pescadores artesanales programados para formalizar")</f>
        <v>Número de pescadores artesanales formalizados/Número de pescadores artesanales programados para formalizar</v>
      </c>
      <c r="O156" s="53"/>
      <c r="P156" s="54">
        <f>IFERROR(__xludf.DUMMYFUNCTION("""COMPUTED_VALUE"""),1050.0)</f>
        <v>1050</v>
      </c>
      <c r="Q156" s="55" t="str">
        <f>IFERROR(__xludf.DUMMYFUNCTION("""COMPUTED_VALUE"""),"Pescadores formalizadas")</f>
        <v>Pescadores formalizadas</v>
      </c>
      <c r="R156" s="14" t="str">
        <f>IFERROR(__xludf.DUMMYFUNCTION("""COMPUTED_VALUE"""),"Trimestral")</f>
        <v>Trimestral</v>
      </c>
      <c r="S156" s="54">
        <f>IFERROR(__xludf.DUMMYFUNCTION("""COMPUTED_VALUE"""),250.0)</f>
        <v>250</v>
      </c>
      <c r="T156" s="54">
        <f>IFERROR(__xludf.DUMMYFUNCTION("""COMPUTED_VALUE"""),250.0)</f>
        <v>250</v>
      </c>
      <c r="U156" s="54">
        <f>IFERROR(__xludf.DUMMYFUNCTION("""COMPUTED_VALUE"""),250.0)</f>
        <v>250</v>
      </c>
      <c r="V156" s="54">
        <f>IFERROR(__xludf.DUMMYFUNCTION("""COMPUTED_VALUE"""),300.0)</f>
        <v>300</v>
      </c>
      <c r="W156" s="56" t="str">
        <f>IFERROR(__xludf.DUMMYFUNCTION("""COMPUTED_VALUE"""),"Regional Villavicencio")</f>
        <v>Regional Villavicencio</v>
      </c>
      <c r="X156" s="57" t="str">
        <f>IFERROR(__xludf.DUMMYFUNCTION("""COMPUTED_VALUE"""),"Maritza Casallas Delgado")</f>
        <v>Maritza Casallas Delgado</v>
      </c>
      <c r="Y156" s="47" t="str">
        <f>IFERROR(__xludf.DUMMYFUNCTION("""COMPUTED_VALUE"""),"Director Regional")</f>
        <v>Director Regional</v>
      </c>
      <c r="Z156" s="57" t="str">
        <f>IFERROR(__xludf.DUMMYFUNCTION("""COMPUTED_VALUE"""),"maritza.casallas@aunap.gov.co")</f>
        <v>maritza.casallas@aunap.gov.co</v>
      </c>
      <c r="AA156" s="47" t="str">
        <f>IFERROR(__xludf.DUMMYFUNCTION("""COMPUTED_VALUE"""),"Humanos, fisicos, financieros y tecnologicos")</f>
        <v>Humanos, fisicos, financieros y tecnologicos</v>
      </c>
      <c r="AB156" s="47" t="str">
        <f>IFERROR(__xludf.DUMMYFUNCTION("""COMPUTED_VALUE"""),"No asociado")</f>
        <v>No asociado</v>
      </c>
      <c r="AC156" s="47" t="str">
        <f>IFERROR(__xludf.DUMMYFUNCTION("""COMPUTED_VALUE"""),"Propiciar la formalización de la pesca y la acuicultura")</f>
        <v>Propiciar la formalización de la pesca y la acuicultura</v>
      </c>
      <c r="AD156" s="47" t="str">
        <f>IFERROR(__xludf.DUMMYFUNCTION("""COMPUTED_VALUE"""),"Gestión con valores para resultados")</f>
        <v>Gestión con valores para resultados</v>
      </c>
      <c r="AE156" s="47" t="str">
        <f>IFERROR(__xludf.DUMMYFUNCTION("""COMPUTED_VALUE"""),"Racionalización de Trámites")</f>
        <v>Racionalización de Trámites</v>
      </c>
      <c r="AF156" s="47" t="str">
        <f>IFERROR(__xludf.DUMMYFUNCTION("""COMPUTED_VALUE"""),"12. Producción y consumo responsable")</f>
        <v>12. Producción y consumo responsable</v>
      </c>
      <c r="AG156" s="58">
        <f>IFERROR(__xludf.DUMMYFUNCTION("""COMPUTED_VALUE"""),411.0)</f>
        <v>411</v>
      </c>
      <c r="AH156" s="59" t="str">
        <f>IFERROR(__xludf.DUMMYFUNCTION("""COMPUTED_VALUE"""),"LA DEMANDA DE CARNÉS DE PESCA ARTESANAL CON CUMPLIMIENTO DE REQUISITOS SE ATENDIÓ OPORTUNAMENTE")</f>
        <v>LA DEMANDA DE CARNÉS DE PESCA ARTESANAL CON CUMPLIMIENTO DE REQUISITOS SE ATENDIÓ OPORTUNAMENTE</v>
      </c>
      <c r="AI156" s="77" t="str">
        <f>IFERROR(__xludf.DUMMYFUNCTION("""COMPUTED_VALUE"""),"https://drive.google.com/drive/folders/1XXuXhv3NtqMvl0nx1x1mjRpC45oSHorc?usp=sharing")</f>
        <v>https://drive.google.com/drive/folders/1XXuXhv3NtqMvl0nx1x1mjRpC45oSHorc?usp=sharing</v>
      </c>
      <c r="AJ156" s="59">
        <f>IFERROR(__xludf.DUMMYFUNCTION("""COMPUTED_VALUE"""),1803.0)</f>
        <v>1803</v>
      </c>
      <c r="AK156" s="59" t="str">
        <f>IFERROR(__xludf.DUMMYFUNCTION("""COMPUTED_VALUE"""),"Los carnes de pesca artesanal se expiden por demanda y se atienden a los de pescadores que se les vence tanto como a los pescadores que lo solicitan por primera vez ")</f>
        <v>Los carnes de pesca artesanal se expiden por demanda y se atienden a los de pescadores que se les vence tanto como a los pescadores que lo solicitan por primera vez </v>
      </c>
      <c r="AL156" s="59">
        <f>IFERROR(__xludf.DUMMYFUNCTION("""COMPUTED_VALUE"""),44582.0)</f>
        <v>44582</v>
      </c>
      <c r="AM156" s="60"/>
      <c r="AN156" s="61" t="str">
        <f>IFERROR(IF((AO156+1)&lt;2,Alertas!$B$2&amp;TEXT(AO156,"0%")&amp;Alertas!$D$2, IF((AO156+1)=2,Alertas!$B$3,IF((AO156+1)&gt;2,Alertas!$B$4&amp;TEXT(AO156,"0%")&amp;Alertas!$D$4,AO156+1))),"Sin meta para el segundo trimestre")</f>
        <v>La ejecución de la meta registrada se encuentra por encima de la meta programada en la formulación del plan de acción para el segundo trimestre, su porcentaje de cumplimiento es 164%,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56" s="62">
        <f t="shared" si="2"/>
        <v>1.644</v>
      </c>
      <c r="AP156" s="61" t="str">
        <f t="shared" si="3"/>
        <v>La ejecución de la meta registrada se encuentra por encima de la meta programada en la formulación del plan de acción para el segundo trimestre, su porcentaje de cumplimiento es 164%,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56" s="63"/>
      <c r="AR156" s="64"/>
      <c r="AS156" s="65"/>
      <c r="AT156" s="65"/>
      <c r="AU156" s="66"/>
      <c r="AV156" s="67"/>
      <c r="AW156" s="68"/>
      <c r="AX156" s="63"/>
      <c r="AY156" s="64"/>
      <c r="AZ156" s="69"/>
      <c r="BA156" s="65"/>
      <c r="BB156" s="70"/>
      <c r="BC156" s="71"/>
      <c r="BD156" s="72"/>
      <c r="BE156" s="73"/>
      <c r="BF156" s="64"/>
      <c r="BG156" s="69"/>
      <c r="BH156" s="65"/>
      <c r="BI156" s="66"/>
      <c r="BJ156" s="71"/>
      <c r="BK156" s="72"/>
      <c r="BL156" s="74"/>
      <c r="BN156" s="5" t="str">
        <f t="shared" si="23"/>
        <v>1</v>
      </c>
      <c r="BP156" s="5"/>
    </row>
    <row r="157" ht="37.5" customHeight="1">
      <c r="A157" s="45"/>
      <c r="B157" s="46">
        <f>IFERROR(__xludf.DUMMYFUNCTION("""COMPUTED_VALUE"""),155.0)</f>
        <v>155</v>
      </c>
      <c r="C157" s="47" t="str">
        <f>IFERROR(__xludf.DUMMYFUNCTION("""COMPUTED_VALUE"""),"Gestión de la administración y fomento")</f>
        <v>Gestión de la administración y fomento</v>
      </c>
      <c r="D157" s="48" t="str">
        <f>IFERROR(__xludf.DUMMYFUNCTION("""COMPUTED_VALUE"""),"Regional Villavicencio")</f>
        <v>Regional Villavicencio</v>
      </c>
      <c r="E157" s="48" t="str">
        <f>IFERROR(__xludf.DUMMYFUNCTION("""COMPUTED_VALUE"""),"Fortalecimiento de la sostenibilidad del sector pesquero y de la acuicultura en el territorio nacional")</f>
        <v>Fortalecimiento de la sostenibilidad del sector pesquero y de la acuicultura en el territorio nacional</v>
      </c>
      <c r="F157" s="49">
        <f>IFERROR(__xludf.DUMMYFUNCTION("""COMPUTED_VALUE"""),2.01901100028E12)</f>
        <v>2019011000280</v>
      </c>
      <c r="G157" s="50" t="str">
        <f>IFERROR(__xludf.DUMMYFUNCTION("""COMPUTED_VALUE"""),"Sostenibilidad")</f>
        <v>Sostenibilidad</v>
      </c>
      <c r="H157" s="48" t="str">
        <f>IFERROR(__xludf.DUMMYFUNCTION("""COMPUTED_VALUE"""),"Mejorar la explotación de los recursos pesqueros y de la acuicultura.")</f>
        <v>Mejorar la explotación de los recursos pesqueros y de la acuicultura.</v>
      </c>
      <c r="I157" s="48" t="str">
        <f>IFERROR(__xludf.DUMMYFUNCTION("""COMPUTED_VALUE"""),"Servicios de administración de los recurso pesqueros y de la acuicultura")</f>
        <v>Servicios de administración de los recurso pesqueros y de la acuicultura</v>
      </c>
      <c r="J157" s="48" t="str">
        <f>IFERROR(__xludf.DUMMYFUNCTION("""COMPUTED_VALUE"""),"Regular el manejo y el ejercicio de la actividad pesquera y de la acuicultura.")</f>
        <v>Regular el manejo y el ejercicio de la actividad pesquera y de la acuicultura.</v>
      </c>
      <c r="K157" s="51" t="str">
        <f>IFERROR(__xludf.DUMMYFUNCTION("""COMPUTED_VALUE"""),"Gestión del área")</f>
        <v>Gestión del área</v>
      </c>
      <c r="L157" s="51" t="str">
        <f>IFERROR(__xludf.DUMMYFUNCTION("""COMPUTED_VALUE"""),"Eficacia")</f>
        <v>Eficacia</v>
      </c>
      <c r="M157" s="51" t="str">
        <f>IFERROR(__xludf.DUMMYFUNCTION("""COMPUTED_VALUE"""),"Número")</f>
        <v>Número</v>
      </c>
      <c r="N157" s="52" t="str">
        <f>IFERROR(__xludf.DUMMYFUNCTION("""COMPUTED_VALUE"""),"No de percadores formalizados")</f>
        <v>No de percadores formalizados</v>
      </c>
      <c r="O157" s="53"/>
      <c r="P157" s="54">
        <f>IFERROR(__xludf.DUMMYFUNCTION("""COMPUTED_VALUE"""),120.0)</f>
        <v>120</v>
      </c>
      <c r="Q157" s="55" t="str">
        <f>IFERROR(__xludf.DUMMYFUNCTION("""COMPUTED_VALUE"""),"Promover la formalización de pescadores mediante la entrega del carnet de pesca deportiva")</f>
        <v>Promover la formalización de pescadores mediante la entrega del carnet de pesca deportiva</v>
      </c>
      <c r="R157" s="14" t="str">
        <f>IFERROR(__xludf.DUMMYFUNCTION("""COMPUTED_VALUE"""),"Trimestral")</f>
        <v>Trimestral</v>
      </c>
      <c r="S157" s="54">
        <f>IFERROR(__xludf.DUMMYFUNCTION("""COMPUTED_VALUE"""),80.0)</f>
        <v>80</v>
      </c>
      <c r="T157" s="54">
        <f>IFERROR(__xludf.DUMMYFUNCTION("""COMPUTED_VALUE"""),0.0)</f>
        <v>0</v>
      </c>
      <c r="U157" s="54">
        <f>IFERROR(__xludf.DUMMYFUNCTION("""COMPUTED_VALUE"""),0.0)</f>
        <v>0</v>
      </c>
      <c r="V157" s="54">
        <f>IFERROR(__xludf.DUMMYFUNCTION("""COMPUTED_VALUE"""),40.0)</f>
        <v>40</v>
      </c>
      <c r="W157" s="56" t="str">
        <f>IFERROR(__xludf.DUMMYFUNCTION("""COMPUTED_VALUE"""),"Regional Villavicencio")</f>
        <v>Regional Villavicencio</v>
      </c>
      <c r="X157" s="57" t="str">
        <f>IFERROR(__xludf.DUMMYFUNCTION("""COMPUTED_VALUE"""),"Maritza Casallas Delgado")</f>
        <v>Maritza Casallas Delgado</v>
      </c>
      <c r="Y157" s="47" t="str">
        <f>IFERROR(__xludf.DUMMYFUNCTION("""COMPUTED_VALUE"""),"Director Regional")</f>
        <v>Director Regional</v>
      </c>
      <c r="Z157" s="57" t="str">
        <f>IFERROR(__xludf.DUMMYFUNCTION("""COMPUTED_VALUE"""),"maritza.casallas@aunap.gov.co")</f>
        <v>maritza.casallas@aunap.gov.co</v>
      </c>
      <c r="AA157" s="47" t="str">
        <f>IFERROR(__xludf.DUMMYFUNCTION("""COMPUTED_VALUE"""),"Humanos, fisicos, financieros y tecnologicos")</f>
        <v>Humanos, fisicos, financieros y tecnologicos</v>
      </c>
      <c r="AB157" s="47" t="str">
        <f>IFERROR(__xludf.DUMMYFUNCTION("""COMPUTED_VALUE"""),"No asociado")</f>
        <v>No asociado</v>
      </c>
      <c r="AC157" s="47" t="str">
        <f>IFERROR(__xludf.DUMMYFUNCTION("""COMPUTED_VALUE"""),"Propiciar la formalización de la pesca y la acuicultura")</f>
        <v>Propiciar la formalización de la pesca y la acuicultura</v>
      </c>
      <c r="AD157" s="47" t="str">
        <f>IFERROR(__xludf.DUMMYFUNCTION("""COMPUTED_VALUE"""),"Gestión con valores para resultados")</f>
        <v>Gestión con valores para resultados</v>
      </c>
      <c r="AE157" s="47" t="str">
        <f>IFERROR(__xludf.DUMMYFUNCTION("""COMPUTED_VALUE"""),"Racionalización de Trámites")</f>
        <v>Racionalización de Trámites</v>
      </c>
      <c r="AF157" s="47" t="str">
        <f>IFERROR(__xludf.DUMMYFUNCTION("""COMPUTED_VALUE"""),"12. Producción y consumo responsable")</f>
        <v>12. Producción y consumo responsable</v>
      </c>
      <c r="AG157" s="58">
        <f>IFERROR(__xludf.DUMMYFUNCTION("""COMPUTED_VALUE"""),214.0)</f>
        <v>214</v>
      </c>
      <c r="AH157" s="59" t="str">
        <f>IFERROR(__xludf.DUMMYFUNCTION("""COMPUTED_VALUE"""),"LA DEMANDA DE CARNÉS DE PESCA DEPORTIVA CON CUMPLIMIENTO DE REQUISITOS SE ATENDIÓ OPORTUNAMENTE")</f>
        <v>LA DEMANDA DE CARNÉS DE PESCA DEPORTIVA CON CUMPLIMIENTO DE REQUISITOS SE ATENDIÓ OPORTUNAMENTE</v>
      </c>
      <c r="AI157" s="81" t="str">
        <f>IFERROR(__xludf.DUMMYFUNCTION("""COMPUTED_VALUE"""),"https://drive.google.com/drive/folders/14OxH9L31EYzYaCK9SgNSbgzyN5LqILqZ?usp=sharing")</f>
        <v>https://drive.google.com/drive/folders/14OxH9L31EYzYaCK9SgNSbgzyN5LqILqZ?usp=sharing</v>
      </c>
      <c r="AJ157" s="59">
        <f>IFERROR(__xludf.DUMMYFUNCTION("""COMPUTED_VALUE"""),408.0)</f>
        <v>408</v>
      </c>
      <c r="AK157" s="59" t="str">
        <f>IFERROR(__xludf.DUMMYFUNCTION("""COMPUTED_VALUE"""),"La demanda de carnes de pesca deportiva es principalmente en el periodo de aguas abajo, sin embargo, la demanda de estos  en la vigencia del  primer y cuarto trimestre  se entendieron al cumplir con los requisitos para los mismos")</f>
        <v>La demanda de carnes de pesca deportiva es principalmente en el periodo de aguas abajo, sin embargo, la demanda de estos  en la vigencia del  primer y cuarto trimestre  se entendieron al cumplir con los requisitos para los mismos</v>
      </c>
      <c r="AL157" s="59">
        <f>IFERROR(__xludf.DUMMYFUNCTION("""COMPUTED_VALUE"""),44582.0)</f>
        <v>44582</v>
      </c>
      <c r="AM157" s="60"/>
      <c r="AN157" s="61" t="str">
        <f>IFERROR(IF((AO157+1)&lt;2,Alertas!$B$2&amp;TEXT(AO157,"0%")&amp;Alertas!$D$2, IF((AO157+1)=2,Alertas!$B$3,IF((AO157+1)&gt;2,Alertas!$B$4&amp;TEXT(AO157,"0%")&amp;Alertas!$D$4,AO157+1))),"Sin meta para el segundo trimestre")</f>
        <v>La ejecución de la meta registrada se encuentra por encima de la meta programada en la formulación del plan de acción para el segundo trimestre, su porcentaje de cumplimiento es 21500%,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O157" s="62">
        <f t="shared" si="2"/>
        <v>215</v>
      </c>
      <c r="AP157" s="61" t="str">
        <f t="shared" si="3"/>
        <v>La ejecución de la meta registrada se encuentra por encima de la meta programada en la formulación del plan de acción para el segundo trimestre, su porcentaje de cumplimiento es 21500%, lo cual indica una sobre ejecución que puede ser entendido por los entes de control como falencias en el proceso de planeación y gestión de la dependencia. se recomienda tomar este antecedente como insumo para limitar el avance de la meta durante lo que resta de vigencia.</v>
      </c>
      <c r="AQ157" s="63"/>
      <c r="AR157" s="64"/>
      <c r="AS157" s="65"/>
      <c r="AT157" s="65"/>
      <c r="AU157" s="66"/>
      <c r="AV157" s="67"/>
      <c r="AW157" s="68"/>
      <c r="AX157" s="63"/>
      <c r="AY157" s="64"/>
      <c r="AZ157" s="69"/>
      <c r="BA157" s="65"/>
      <c r="BB157" s="70"/>
      <c r="BC157" s="71"/>
      <c r="BD157" s="72"/>
      <c r="BE157" s="73"/>
      <c r="BF157" s="64"/>
      <c r="BG157" s="69"/>
      <c r="BH157" s="65"/>
      <c r="BI157" s="66"/>
      <c r="BJ157" s="71"/>
      <c r="BK157" s="72"/>
      <c r="BL157" s="74"/>
      <c r="BN157" s="5" t="str">
        <f t="shared" si="23"/>
        <v>1</v>
      </c>
      <c r="BP157" s="5"/>
    </row>
    <row r="158" ht="37.5" customHeight="1">
      <c r="A158" s="45"/>
      <c r="B158" s="46">
        <f>IFERROR(__xludf.DUMMYFUNCTION("""COMPUTED_VALUE"""),156.0)</f>
        <v>156</v>
      </c>
      <c r="C158" s="47" t="str">
        <f>IFERROR(__xludf.DUMMYFUNCTION("""COMPUTED_VALUE"""),"Gestión de la administración y fomento")</f>
        <v>Gestión de la administración y fomento</v>
      </c>
      <c r="D158" s="48" t="str">
        <f>IFERROR(__xludf.DUMMYFUNCTION("""COMPUTED_VALUE"""),"Regional Villavicencio")</f>
        <v>Regional Villavicencio</v>
      </c>
      <c r="E158" s="48" t="str">
        <f>IFERROR(__xludf.DUMMYFUNCTION("""COMPUTED_VALUE"""),"Fortalecimiento de la sostenibilidad del sector pesquero y de la acuicultura en el territorio nacional")</f>
        <v>Fortalecimiento de la sostenibilidad del sector pesquero y de la acuicultura en el territorio nacional</v>
      </c>
      <c r="F158" s="49">
        <f>IFERROR(__xludf.DUMMYFUNCTION("""COMPUTED_VALUE"""),2.01901100028E12)</f>
        <v>2019011000280</v>
      </c>
      <c r="G158" s="50" t="str">
        <f>IFERROR(__xludf.DUMMYFUNCTION("""COMPUTED_VALUE"""),"Sostenibilidad")</f>
        <v>Sostenibilidad</v>
      </c>
      <c r="H158" s="48" t="str">
        <f>IFERROR(__xludf.DUMMYFUNCTION("""COMPUTED_VALUE"""),"Mejorar la explotación de los recursos pesqueros y de la acuicultura.")</f>
        <v>Mejorar la explotación de los recursos pesqueros y de la acuicultura.</v>
      </c>
      <c r="I158" s="48" t="str">
        <f>IFERROR(__xludf.DUMMYFUNCTION("""COMPUTED_VALUE"""),"Servicios de administración de los recurso pesqueros y de la acuicultura")</f>
        <v>Servicios de administración de los recurso pesqueros y de la acuicultura</v>
      </c>
      <c r="J158" s="48" t="str">
        <f>IFERROR(__xludf.DUMMYFUNCTION("""COMPUTED_VALUE"""),"Regular el manejo y el ejercicio de la actividad pesquera y de la acuicultura.")</f>
        <v>Regular el manejo y el ejercicio de la actividad pesquera y de la acuicultura.</v>
      </c>
      <c r="K158" s="51" t="str">
        <f>IFERROR(__xludf.DUMMYFUNCTION("""COMPUTED_VALUE"""),"Gestión del área")</f>
        <v>Gestión del área</v>
      </c>
      <c r="L158" s="51" t="str">
        <f>IFERROR(__xludf.DUMMYFUNCTION("""COMPUTED_VALUE"""),"Eficacia")</f>
        <v>Eficacia</v>
      </c>
      <c r="M158" s="51" t="str">
        <f>IFERROR(__xludf.DUMMYFUNCTION("""COMPUTED_VALUE"""),"Número")</f>
        <v>Número</v>
      </c>
      <c r="N158" s="52" t="str">
        <f>IFERROR(__xludf.DUMMYFUNCTION("""COMPUTED_VALUE"""),"No. depersonas  con beneficio de inclusion productiva")</f>
        <v>No. depersonas  con beneficio de inclusion productiva</v>
      </c>
      <c r="O158" s="53"/>
      <c r="P158" s="54">
        <f>IFERROR(__xludf.DUMMYFUNCTION("""COMPUTED_VALUE"""),1500.0)</f>
        <v>1500</v>
      </c>
      <c r="Q158" s="55" t="str">
        <f>IFERROR(__xludf.DUMMYFUNCTION("""COMPUTED_VALUE"""),"Beneficiarios con estrategias de inclusión productiva")</f>
        <v>Beneficiarios con estrategias de inclusión productiva</v>
      </c>
      <c r="R158" s="14" t="str">
        <f>IFERROR(__xludf.DUMMYFUNCTION("""COMPUTED_VALUE"""),"Trimestral")</f>
        <v>Trimestral</v>
      </c>
      <c r="S158" s="54">
        <f>IFERROR(__xludf.DUMMYFUNCTION("""COMPUTED_VALUE"""),1500.0)</f>
        <v>1500</v>
      </c>
      <c r="T158" s="54">
        <f>IFERROR(__xludf.DUMMYFUNCTION("""COMPUTED_VALUE"""),0.0)</f>
        <v>0</v>
      </c>
      <c r="U158" s="54">
        <f>IFERROR(__xludf.DUMMYFUNCTION("""COMPUTED_VALUE"""),0.0)</f>
        <v>0</v>
      </c>
      <c r="V158" s="54">
        <f>IFERROR(__xludf.DUMMYFUNCTION("""COMPUTED_VALUE"""),0.0)</f>
        <v>0</v>
      </c>
      <c r="W158" s="56" t="str">
        <f>IFERROR(__xludf.DUMMYFUNCTION("""COMPUTED_VALUE"""),"Regional Villavicencio")</f>
        <v>Regional Villavicencio</v>
      </c>
      <c r="X158" s="57" t="str">
        <f>IFERROR(__xludf.DUMMYFUNCTION("""COMPUTED_VALUE"""),"Maritza Casallas Delgado")</f>
        <v>Maritza Casallas Delgado</v>
      </c>
      <c r="Y158" s="47" t="str">
        <f>IFERROR(__xludf.DUMMYFUNCTION("""COMPUTED_VALUE"""),"Director Regional")</f>
        <v>Director Regional</v>
      </c>
      <c r="Z158" s="57" t="str">
        <f>IFERROR(__xludf.DUMMYFUNCTION("""COMPUTED_VALUE"""),"maritza.casallas@aunap.gov.co")</f>
        <v>maritza.casallas@aunap.gov.co</v>
      </c>
      <c r="AA158" s="47" t="str">
        <f>IFERROR(__xludf.DUMMYFUNCTION("""COMPUTED_VALUE"""),"Humanos, fisicos, financieros y tecnologicos")</f>
        <v>Humanos, fisicos, financieros y tecnologicos</v>
      </c>
      <c r="AB158" s="47" t="str">
        <f>IFERROR(__xludf.DUMMYFUNCTION("""COMPUTED_VALUE"""),"No asociado")</f>
        <v>No asociado</v>
      </c>
      <c r="AC158" s="47" t="str">
        <f>IFERROR(__xludf.DUMMYFUNCTION("""COMPUTED_VALUE"""),"Propiciar la formalización de la pesca y la acuicultura")</f>
        <v>Propiciar la formalización de la pesca y la acuicultura</v>
      </c>
      <c r="AD158" s="47" t="str">
        <f>IFERROR(__xludf.DUMMYFUNCTION("""COMPUTED_VALUE"""),"Gestión con valores para resultados")</f>
        <v>Gestión con valores para resultados</v>
      </c>
      <c r="AE158" s="47" t="str">
        <f>IFERROR(__xludf.DUMMYFUNCTION("""COMPUTED_VALUE"""),"Racionalización de Trámites")</f>
        <v>Racionalización de Trámites</v>
      </c>
      <c r="AF158" s="47" t="str">
        <f>IFERROR(__xludf.DUMMYFUNCTION("""COMPUTED_VALUE"""),"12. Producción y consumo responsable")</f>
        <v>12. Producción y consumo responsable</v>
      </c>
      <c r="AG158" s="58">
        <f>IFERROR(__xludf.DUMMYFUNCTION("""COMPUTED_VALUE"""),0.0)</f>
        <v>0</v>
      </c>
      <c r="AH158" s="59" t="str">
        <f>IFERROR(__xludf.DUMMYFUNCTION("""COMPUTED_VALUE"""),"La meta es Cero")</f>
        <v>La meta es Cero</v>
      </c>
      <c r="AI158" s="59" t="str">
        <f>IFERROR(__xludf.DUMMYFUNCTION("""COMPUTED_VALUE"""),"NO APLICA")</f>
        <v>NO APLICA</v>
      </c>
      <c r="AJ158" s="59">
        <f>IFERROR(__xludf.DUMMYFUNCTION("""COMPUTED_VALUE"""),5843.0)</f>
        <v>5843</v>
      </c>
      <c r="AK158" s="59" t="str">
        <f>IFERROR(__xludf.DUMMYFUNCTION("""COMPUTED_VALUE"""),"Los beneficiarios de la estrategia de Agricultura por contrato incluyeron a pescadores de un par de Resguardos Indigenas que beneficia a miles de ellos y por esta razon se supero por mucho la meta prevista. Tamben por el animo de coadyuvar a la entidad en"&amp;" su compromiso nacional de esta actividad")</f>
        <v>Los beneficiarios de la estrategia de Agricultura por contrato incluyeron a pescadores de un par de Resguardos Indigenas que beneficia a miles de ellos y por esta razon se supero por mucho la meta prevista. Tamben por el animo de coadyuvar a la entidad en su compromiso nacional de esta actividad</v>
      </c>
      <c r="AL158" s="59">
        <f>IFERROR(__xludf.DUMMYFUNCTION("""COMPUTED_VALUE"""),44582.0)</f>
        <v>44582</v>
      </c>
      <c r="AM158" s="60"/>
      <c r="AN158" s="61" t="str">
        <f>IFERROR(IF((AO158+1)&lt;2,Alertas!$B$2&amp;TEXT(AO158,"0%")&amp;Alertas!$D$2, IF((AO158+1)=2,Alertas!$B$3,IF((AO158+1)&gt;2,Alertas!$B$4&amp;TEXT(AO158,"0%")&amp;Alertas!$D$4,AO158+1))),"Sin meta para el segundo trimestre")</f>
        <v>Sin meta para el segundo trimestre</v>
      </c>
      <c r="AO158" s="62" t="str">
        <f t="shared" si="2"/>
        <v>-</v>
      </c>
      <c r="AP158" s="61" t="str">
        <f t="shared" si="3"/>
        <v>Sin meta para el segundo trimestre.</v>
      </c>
      <c r="AQ158" s="63"/>
      <c r="AR158" s="64"/>
      <c r="AS158" s="65"/>
      <c r="AT158" s="65"/>
      <c r="AU158" s="66"/>
      <c r="AV158" s="67"/>
      <c r="AW158" s="68"/>
      <c r="AX158" s="63"/>
      <c r="AY158" s="64"/>
      <c r="AZ158" s="69"/>
      <c r="BA158" s="65"/>
      <c r="BB158" s="70"/>
      <c r="BC158" s="71"/>
      <c r="BD158" s="72"/>
      <c r="BE158" s="73"/>
      <c r="BF158" s="64"/>
      <c r="BG158" s="69"/>
      <c r="BH158" s="65"/>
      <c r="BI158" s="66"/>
      <c r="BJ158" s="71"/>
      <c r="BK158" s="72"/>
      <c r="BL158" s="74"/>
      <c r="BN158" s="5" t="str">
        <f t="shared" si="23"/>
        <v>-</v>
      </c>
      <c r="BP158" s="5"/>
    </row>
    <row r="159" ht="15.75" customHeight="1"/>
  </sheetData>
  <autoFilter ref="$A$2:$BL$158"/>
  <mergeCells count="5">
    <mergeCell ref="AG1:AQ1"/>
    <mergeCell ref="AR1:AX1"/>
    <mergeCell ref="AY1:BE1"/>
    <mergeCell ref="BF1:BL1"/>
    <mergeCell ref="BP1:BU1"/>
  </mergeCells>
  <conditionalFormatting sqref="AV3:AV158 BC3:BC158 BJ3:BJ158">
    <cfRule type="expression" dxfId="0" priority="1">
      <formula>AT3:AT50&lt;&gt;0</formula>
    </cfRule>
  </conditionalFormatting>
  <conditionalFormatting sqref="AV3:AV158 BC3:BC158 BJ3:BJ158">
    <cfRule type="cellIs" dxfId="1" priority="2" operator="lessThan">
      <formula>0</formula>
    </cfRule>
  </conditionalFormatting>
  <conditionalFormatting sqref="BG3:BH158">
    <cfRule type="notContainsBlanks" dxfId="2" priority="3">
      <formula>LEN(TRIM(BG3))&gt;0</formula>
    </cfRule>
  </conditionalFormatting>
  <conditionalFormatting sqref="AV3:AV158 BC3:BC158 BJ3:BJ158">
    <cfRule type="cellIs" dxfId="2" priority="4" operator="greaterThan">
      <formula>0</formula>
    </cfRule>
  </conditionalFormatting>
  <conditionalFormatting sqref="AV3:AV158">
    <cfRule type="notContainsBlanks" dxfId="2" priority="5">
      <formula>LEN(TRIM(AV3))&gt;0</formula>
    </cfRule>
  </conditionalFormatting>
  <conditionalFormatting sqref="AO3:AO158">
    <cfRule type="colorScale" priority="6">
      <colorScale>
        <cfvo type="min"/>
        <cfvo type="percent" val="100%"/>
        <cfvo type="max"/>
        <color rgb="FFDD7E6B"/>
        <color rgb="FF57BB8A"/>
        <color rgb="FFDD7E6B"/>
      </colorScale>
    </cfRule>
  </conditionalFormatting>
  <conditionalFormatting sqref="BT3:BT24">
    <cfRule type="colorScale" priority="7">
      <colorScale>
        <cfvo type="min"/>
        <cfvo type="formula" val="1"/>
        <cfvo type="formula" val="140%"/>
        <color rgb="FFEA4335"/>
        <color rgb="FF57BB8A"/>
        <color rgb="FFEA4335"/>
      </colorScale>
    </cfRule>
  </conditionalFormatting>
  <hyperlinks>
    <hyperlink r:id="rId2" ref="AI4"/>
    <hyperlink r:id="rId3" ref="AI5"/>
    <hyperlink r:id="rId4" ref="AI7"/>
    <hyperlink r:id="rId5" ref="AI9"/>
    <hyperlink r:id="rId6" ref="AI10"/>
    <hyperlink r:id="rId7" ref="AI11"/>
    <hyperlink r:id="rId8" ref="AI12"/>
    <hyperlink r:id="rId9" ref="AI13"/>
    <hyperlink r:id="rId10" ref="AI16"/>
    <hyperlink r:id="rId11" ref="AI17"/>
    <hyperlink r:id="rId12" ref="AI18"/>
    <hyperlink r:id="rId13" ref="AI19"/>
    <hyperlink r:id="rId14" ref="AI20"/>
    <hyperlink r:id="rId15" ref="AI21"/>
    <hyperlink r:id="rId16" ref="AI22"/>
    <hyperlink r:id="rId17" ref="AI23"/>
    <hyperlink r:id="rId18" ref="AI24"/>
    <hyperlink r:id="rId19" ref="AI25"/>
    <hyperlink r:id="rId20" ref="AI26"/>
    <hyperlink r:id="rId21" ref="AI27"/>
    <hyperlink r:id="rId22" ref="AI28"/>
    <hyperlink r:id="rId23" ref="AI29"/>
    <hyperlink r:id="rId24" ref="AI30"/>
    <hyperlink r:id="rId25" ref="AI31"/>
    <hyperlink r:id="rId26" ref="AI32"/>
    <hyperlink r:id="rId27" ref="AI33"/>
    <hyperlink r:id="rId28" ref="AI34"/>
    <hyperlink r:id="rId29" ref="AI35"/>
    <hyperlink r:id="rId30" ref="AI36"/>
    <hyperlink r:id="rId31" ref="AI37"/>
    <hyperlink r:id="rId32" ref="AI38"/>
    <hyperlink r:id="rId33" ref="AI39"/>
    <hyperlink r:id="rId34" ref="AI40"/>
    <hyperlink r:id="rId35" ref="AI41"/>
    <hyperlink r:id="rId36" ref="AI42"/>
    <hyperlink r:id="rId37" ref="AI43"/>
    <hyperlink r:id="rId38" ref="AI45"/>
    <hyperlink r:id="rId39" ref="AI46"/>
    <hyperlink r:id="rId40" ref="AI47"/>
    <hyperlink r:id="rId41" ref="AI48"/>
    <hyperlink r:id="rId42" ref="AI49"/>
    <hyperlink r:id="rId43" ref="AI50"/>
    <hyperlink r:id="rId44" ref="AI51"/>
    <hyperlink r:id="rId45" ref="AI52"/>
    <hyperlink r:id="rId46" ref="AI53"/>
    <hyperlink r:id="rId47" ref="AI54"/>
    <hyperlink r:id="rId48" ref="AI55"/>
    <hyperlink r:id="rId49" location="gid=281554361" ref="AI56"/>
    <hyperlink r:id="rId50" ref="AI57"/>
    <hyperlink r:id="rId51" ref="AI58"/>
    <hyperlink r:id="rId52" ref="AI59"/>
    <hyperlink r:id="rId53" ref="AI60"/>
    <hyperlink r:id="rId54" ref="AI61"/>
    <hyperlink r:id="rId55" ref="AI62"/>
    <hyperlink r:id="rId56" ref="AI63"/>
    <hyperlink r:id="rId57" ref="AI64"/>
    <hyperlink r:id="rId58" ref="AI65"/>
    <hyperlink r:id="rId59" ref="AI66"/>
    <hyperlink r:id="rId60" ref="AI67"/>
    <hyperlink r:id="rId61" ref="AI68"/>
    <hyperlink r:id="rId62" ref="AI69"/>
    <hyperlink r:id="rId63" ref="AI70"/>
    <hyperlink r:id="rId64" location="gid=263085841" ref="AI74"/>
    <hyperlink r:id="rId65" ref="AI75"/>
    <hyperlink r:id="rId66" ref="AI76"/>
    <hyperlink r:id="rId67" ref="AI77"/>
    <hyperlink r:id="rId68" ref="AI78"/>
    <hyperlink r:id="rId69" ref="AI79"/>
    <hyperlink r:id="rId70" ref="AI80"/>
    <hyperlink r:id="rId71" ref="AI82"/>
    <hyperlink r:id="rId72" ref="AI84"/>
    <hyperlink r:id="rId73" ref="AI86"/>
    <hyperlink r:id="rId74" ref="AI88"/>
    <hyperlink r:id="rId75" ref="AI89"/>
    <hyperlink r:id="rId76" ref="AI90"/>
    <hyperlink r:id="rId77" ref="AI91"/>
    <hyperlink r:id="rId78" ref="AI92"/>
    <hyperlink r:id="rId79" ref="AI93"/>
    <hyperlink r:id="rId80" ref="AI95"/>
    <hyperlink r:id="rId81" ref="AI96"/>
    <hyperlink r:id="rId82" ref="AI98"/>
    <hyperlink r:id="rId83" ref="AI99"/>
    <hyperlink r:id="rId84" ref="AI100"/>
    <hyperlink r:id="rId85" ref="AI101"/>
    <hyperlink r:id="rId86" ref="AI103"/>
    <hyperlink r:id="rId87" ref="AI104"/>
    <hyperlink r:id="rId88" location="gid=1329489843" ref="AI105"/>
    <hyperlink r:id="rId89" location="gid=1017707799" ref="AI106"/>
    <hyperlink r:id="rId90" location="gid=1888431094" ref="AI107"/>
    <hyperlink r:id="rId91" ref="AI108"/>
    <hyperlink r:id="rId92" ref="AI109"/>
    <hyperlink r:id="rId93" ref="AI110"/>
    <hyperlink r:id="rId94" ref="AI111"/>
    <hyperlink r:id="rId95" ref="AI112"/>
    <hyperlink r:id="rId96" ref="AI113"/>
    <hyperlink r:id="rId97" ref="AI114"/>
    <hyperlink r:id="rId98" ref="AI115"/>
    <hyperlink r:id="rId99" ref="AI116"/>
    <hyperlink r:id="rId100" ref="AI117"/>
    <hyperlink r:id="rId101" ref="AI118"/>
    <hyperlink r:id="rId102" ref="AI119"/>
    <hyperlink r:id="rId103" ref="AI120"/>
    <hyperlink r:id="rId104" ref="AI121"/>
    <hyperlink r:id="rId105" ref="AI122"/>
    <hyperlink r:id="rId106" ref="AI123"/>
    <hyperlink r:id="rId107" ref="AI124"/>
    <hyperlink r:id="rId108" ref="AI125"/>
    <hyperlink r:id="rId109" ref="AI126"/>
    <hyperlink r:id="rId110" ref="AI127"/>
    <hyperlink r:id="rId111" ref="AI128"/>
    <hyperlink r:id="rId112" ref="AI129"/>
    <hyperlink r:id="rId113" ref="AI131"/>
    <hyperlink r:id="rId114" ref="AI132"/>
    <hyperlink r:id="rId115" ref="AI133"/>
    <hyperlink r:id="rId116" ref="AI134"/>
    <hyperlink r:id="rId117" ref="AI135"/>
    <hyperlink r:id="rId118" ref="AI136"/>
    <hyperlink r:id="rId119" ref="AI137"/>
    <hyperlink r:id="rId120" ref="AI138"/>
    <hyperlink r:id="rId121" ref="AI139"/>
    <hyperlink r:id="rId122" ref="AI140"/>
    <hyperlink r:id="rId123" ref="AI141"/>
    <hyperlink r:id="rId124" location="gid=599079532" ref="AI142"/>
    <hyperlink r:id="rId125" ref="AI143"/>
    <hyperlink r:id="rId126" ref="AI144"/>
    <hyperlink r:id="rId127" ref="AI145"/>
    <hyperlink r:id="rId128" ref="AI146"/>
    <hyperlink r:id="rId129" ref="AI147"/>
    <hyperlink r:id="rId130" ref="AI148"/>
    <hyperlink r:id="rId131" location="gid=97958996" ref="AI149"/>
    <hyperlink r:id="rId132" ref="AI150"/>
    <hyperlink r:id="rId133" ref="AI151"/>
    <hyperlink r:id="rId134" ref="AI152"/>
    <hyperlink r:id="rId135" ref="AI153"/>
    <hyperlink r:id="rId136" ref="AI155"/>
    <hyperlink r:id="rId137" ref="AI156"/>
    <hyperlink r:id="rId138" ref="AI157"/>
  </hyperlinks>
  <printOptions gridLines="1" horizontalCentered="1"/>
  <pageMargins bottom="0.75" footer="0.0" header="0.0" left="0.7" right="0.7" top="0.75"/>
  <pageSetup fitToHeight="0" paperSize="9" cellComments="atEnd" orientation="portrait" pageOrder="overThenDown"/>
  <drawing r:id="rId139"/>
  <legacyDrawing r:id="rId140"/>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21" width="15.75"/>
    <col customWidth="1" min="22" max="22" width="15.75"/>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4" width="21.0"/>
    <col customWidth="1" min="35" max="35" width="22.88"/>
    <col customWidth="1" min="36" max="36" width="21.75"/>
    <col customWidth="1" min="37" max="37" width="20.25"/>
    <col customWidth="1" min="38" max="38" width="15.75"/>
    <col customWidth="1" min="39" max="39" width="15.63"/>
    <col customWidth="1" min="40" max="40" width="16.38"/>
    <col customWidth="1" min="41" max="41" width="18.25"/>
    <col customWidth="1" min="42" max="42" width="3.88"/>
  </cols>
  <sheetData>
    <row r="1" ht="33.75" customHeight="1">
      <c r="A1" s="85"/>
      <c r="B1" s="86" t="s">
        <v>108</v>
      </c>
      <c r="C1" s="87"/>
      <c r="D1" s="88"/>
      <c r="E1" s="89"/>
      <c r="F1" s="90"/>
      <c r="G1" s="90"/>
      <c r="H1" s="90"/>
      <c r="I1" s="90"/>
      <c r="J1" s="90"/>
      <c r="K1" s="90"/>
      <c r="L1" s="90"/>
      <c r="M1" s="90"/>
      <c r="N1" s="90"/>
      <c r="O1" s="90"/>
      <c r="P1" s="90"/>
      <c r="Q1" s="90"/>
      <c r="R1" s="90"/>
      <c r="S1" s="90"/>
      <c r="T1" s="90"/>
      <c r="U1" s="90"/>
      <c r="V1" s="90"/>
      <c r="W1" s="90"/>
      <c r="X1" s="90"/>
      <c r="Y1" s="90"/>
      <c r="Z1" s="90"/>
      <c r="AA1" s="90"/>
      <c r="AB1" s="90"/>
      <c r="AC1" s="90"/>
      <c r="AD1" s="90"/>
      <c r="AE1" s="90"/>
      <c r="AF1" s="88"/>
      <c r="AG1" s="91" t="s">
        <v>109</v>
      </c>
      <c r="AH1" s="92">
        <v>1.0</v>
      </c>
      <c r="AI1" s="93" t="s">
        <v>110</v>
      </c>
      <c r="AJ1" s="94"/>
      <c r="AK1" s="95"/>
      <c r="AL1" s="96">
        <v>43466.0</v>
      </c>
      <c r="AM1" s="97">
        <f>Alertas!B6</f>
        <v>44582</v>
      </c>
      <c r="AN1" s="96">
        <f>TODAY()-1</f>
        <v>44714</v>
      </c>
      <c r="AO1" s="93"/>
      <c r="AP1" s="93"/>
    </row>
    <row r="2" ht="33.75" customHeight="1">
      <c r="A2" s="85"/>
      <c r="B2" s="88"/>
      <c r="C2" s="98"/>
      <c r="D2" s="99"/>
      <c r="E2" s="88"/>
      <c r="F2" s="100"/>
      <c r="G2" s="88"/>
      <c r="H2" s="88"/>
      <c r="I2" s="88"/>
      <c r="J2" s="88"/>
      <c r="K2" s="88"/>
      <c r="L2" s="88"/>
      <c r="M2" s="88"/>
      <c r="N2" s="88"/>
      <c r="O2" s="88"/>
      <c r="P2" s="88"/>
      <c r="Q2" s="88"/>
      <c r="R2" s="88"/>
      <c r="S2" s="88"/>
      <c r="T2" s="88"/>
      <c r="U2" s="88"/>
      <c r="V2" s="88"/>
      <c r="W2" s="88"/>
      <c r="X2" s="88"/>
      <c r="Y2" s="88"/>
      <c r="Z2" s="88"/>
      <c r="AA2" s="88"/>
      <c r="AB2" s="88"/>
      <c r="AC2" s="88"/>
      <c r="AD2" s="88"/>
      <c r="AE2" s="88"/>
      <c r="AF2" s="17"/>
      <c r="AG2" s="101" t="s">
        <v>111</v>
      </c>
      <c r="AH2" s="102"/>
      <c r="AI2" s="103"/>
      <c r="AJ2" s="104" t="s">
        <v>112</v>
      </c>
      <c r="AK2" s="103"/>
      <c r="AL2" s="104" t="s">
        <v>113</v>
      </c>
      <c r="AM2" s="102"/>
      <c r="AN2" s="102"/>
      <c r="AO2" s="103"/>
      <c r="AP2" s="105"/>
    </row>
    <row r="3" ht="33.75" customHeight="1">
      <c r="A3" s="106"/>
      <c r="B3" s="107" t="s">
        <v>40</v>
      </c>
      <c r="C3" s="108" t="s">
        <v>41</v>
      </c>
      <c r="D3" s="109" t="s">
        <v>42</v>
      </c>
      <c r="E3" s="109" t="s">
        <v>43</v>
      </c>
      <c r="F3" s="110" t="s">
        <v>44</v>
      </c>
      <c r="G3" s="111" t="s">
        <v>45</v>
      </c>
      <c r="H3" s="109" t="s">
        <v>46</v>
      </c>
      <c r="I3" s="111" t="s">
        <v>47</v>
      </c>
      <c r="J3" s="111" t="s">
        <v>48</v>
      </c>
      <c r="K3" s="111" t="s">
        <v>49</v>
      </c>
      <c r="L3" s="111" t="s">
        <v>50</v>
      </c>
      <c r="M3" s="109" t="s">
        <v>51</v>
      </c>
      <c r="N3" s="109" t="s">
        <v>52</v>
      </c>
      <c r="O3" s="111" t="s">
        <v>53</v>
      </c>
      <c r="P3" s="111" t="s">
        <v>54</v>
      </c>
      <c r="Q3" s="109" t="s">
        <v>55</v>
      </c>
      <c r="R3" s="109" t="s">
        <v>56</v>
      </c>
      <c r="S3" s="111" t="s">
        <v>57</v>
      </c>
      <c r="T3" s="111" t="s">
        <v>58</v>
      </c>
      <c r="U3" s="111" t="s">
        <v>59</v>
      </c>
      <c r="V3" s="111" t="s">
        <v>60</v>
      </c>
      <c r="W3" s="109" t="s">
        <v>61</v>
      </c>
      <c r="X3" s="108" t="s">
        <v>62</v>
      </c>
      <c r="Y3" s="108" t="s">
        <v>63</v>
      </c>
      <c r="Z3" s="108" t="s">
        <v>64</v>
      </c>
      <c r="AA3" s="108" t="s">
        <v>65</v>
      </c>
      <c r="AB3" s="108" t="s">
        <v>66</v>
      </c>
      <c r="AC3" s="108" t="s">
        <v>67</v>
      </c>
      <c r="AD3" s="108" t="s">
        <v>68</v>
      </c>
      <c r="AE3" s="108" t="s">
        <v>69</v>
      </c>
      <c r="AF3" s="112" t="s">
        <v>70</v>
      </c>
      <c r="AG3" s="113" t="s">
        <v>71</v>
      </c>
      <c r="AH3" s="114" t="s">
        <v>72</v>
      </c>
      <c r="AI3" s="115" t="s">
        <v>73</v>
      </c>
      <c r="AJ3" s="116" t="s">
        <v>114</v>
      </c>
      <c r="AK3" s="117" t="s">
        <v>115</v>
      </c>
      <c r="AL3" s="113" t="s">
        <v>74</v>
      </c>
      <c r="AM3" s="114" t="s">
        <v>116</v>
      </c>
      <c r="AN3" s="114" t="s">
        <v>76</v>
      </c>
      <c r="AO3" s="117" t="s">
        <v>117</v>
      </c>
      <c r="AP3" s="105"/>
    </row>
    <row r="4" ht="67.5" customHeight="1">
      <c r="A4" s="118"/>
      <c r="B4" s="119">
        <v>1.0</v>
      </c>
      <c r="C4" s="120" t="s">
        <v>118</v>
      </c>
      <c r="D4" s="120" t="s">
        <v>1</v>
      </c>
      <c r="E4" s="120" t="s">
        <v>119</v>
      </c>
      <c r="F4" s="121">
        <v>2.018011000241E12</v>
      </c>
      <c r="G4" s="122" t="s">
        <v>120</v>
      </c>
      <c r="H4" s="120" t="s">
        <v>121</v>
      </c>
      <c r="I4" s="120" t="s">
        <v>122</v>
      </c>
      <c r="J4" s="120" t="s">
        <v>123</v>
      </c>
      <c r="K4" s="123" t="s">
        <v>124</v>
      </c>
      <c r="L4" s="123" t="s">
        <v>125</v>
      </c>
      <c r="M4" s="123" t="s">
        <v>126</v>
      </c>
      <c r="N4" s="124" t="s">
        <v>122</v>
      </c>
      <c r="O4" s="125">
        <v>1.0</v>
      </c>
      <c r="P4" s="125">
        <v>1.0</v>
      </c>
      <c r="Q4" s="126" t="s">
        <v>127</v>
      </c>
      <c r="R4" s="127" t="s">
        <v>128</v>
      </c>
      <c r="S4" s="125">
        <v>0.0</v>
      </c>
      <c r="T4" s="125">
        <v>0.0</v>
      </c>
      <c r="U4" s="125">
        <v>0.0</v>
      </c>
      <c r="V4" s="125">
        <v>1.0</v>
      </c>
      <c r="W4" s="128" t="s">
        <v>129</v>
      </c>
      <c r="X4" s="122" t="s">
        <v>130</v>
      </c>
      <c r="Y4" s="120" t="s">
        <v>131</v>
      </c>
      <c r="Z4" s="122" t="s">
        <v>132</v>
      </c>
      <c r="AA4" s="120" t="s">
        <v>133</v>
      </c>
      <c r="AB4" s="120" t="s">
        <v>134</v>
      </c>
      <c r="AC4" s="120" t="s">
        <v>135</v>
      </c>
      <c r="AD4" s="120" t="s">
        <v>136</v>
      </c>
      <c r="AE4" s="120" t="s">
        <v>137</v>
      </c>
      <c r="AF4" s="129" t="s">
        <v>138</v>
      </c>
      <c r="AG4" s="130"/>
      <c r="AH4" s="131"/>
      <c r="AI4" s="132"/>
      <c r="AJ4" s="130"/>
      <c r="AK4" s="133"/>
      <c r="AL4" s="134">
        <f t="shared" ref="AL4:AL6" si="1">$AM$1</f>
        <v>44582</v>
      </c>
      <c r="AM4" s="135">
        <f t="shared" ref="AM4:AM6" si="2">AL4-$AN$1</f>
        <v>-132</v>
      </c>
      <c r="AN4" s="136" t="str">
        <f t="shared" ref="AN4:AN6" si="3">IF(ISBLANK(AG4),"Pend. Ejec. Trim."&amp;CHAR(10),)&amp;
IF(ISBLANK(AH4),"Pend. Just. Trim."&amp;CHAR(10),)&amp;
IF(ISBLANK(AI4),"Pend. Evid. Trim."&amp;CHAR(10),)&amp;
IF(ISBLANK(AJ4),"Pend. Ejec. Año"&amp;CHAR(10),)&amp;
IF(ISBLANK(AK4),"Pend. Evid. Año",)&amp;
IF(OR(ISBLANK(AG4),ISBLANK(AH4),ISBLANK(AI4),ISBLANK(AJ4),ISBLANK(AK4)),,"Reporte ok")</f>
        <v>Pend. Ejec. Trim.
Pend. Just. Trim.
Pend. Evid. Trim.
Pend. Ejec. Año
Pend. Evid. Año</v>
      </c>
      <c r="AO4" s="137"/>
      <c r="AP4" s="138"/>
    </row>
    <row r="5" ht="67.5" customHeight="1">
      <c r="A5" s="118"/>
      <c r="B5" s="119">
        <v>2.0</v>
      </c>
      <c r="C5" s="120" t="s">
        <v>118</v>
      </c>
      <c r="D5" s="120" t="s">
        <v>1</v>
      </c>
      <c r="E5" s="120" t="s">
        <v>119</v>
      </c>
      <c r="F5" s="121">
        <v>2.018011000241E12</v>
      </c>
      <c r="G5" s="122" t="s">
        <v>120</v>
      </c>
      <c r="H5" s="120" t="s">
        <v>121</v>
      </c>
      <c r="I5" s="120" t="s">
        <v>139</v>
      </c>
      <c r="J5" s="120" t="s">
        <v>140</v>
      </c>
      <c r="K5" s="123" t="s">
        <v>124</v>
      </c>
      <c r="L5" s="123" t="s">
        <v>125</v>
      </c>
      <c r="M5" s="123" t="s">
        <v>126</v>
      </c>
      <c r="N5" s="124" t="s">
        <v>139</v>
      </c>
      <c r="O5" s="125">
        <v>1.0</v>
      </c>
      <c r="P5" s="125">
        <v>1.0</v>
      </c>
      <c r="Q5" s="126" t="s">
        <v>141</v>
      </c>
      <c r="R5" s="127" t="s">
        <v>128</v>
      </c>
      <c r="S5" s="125">
        <v>0.0</v>
      </c>
      <c r="T5" s="125">
        <v>0.0</v>
      </c>
      <c r="U5" s="125">
        <v>0.0</v>
      </c>
      <c r="V5" s="125">
        <v>1.0</v>
      </c>
      <c r="W5" s="128" t="s">
        <v>129</v>
      </c>
      <c r="X5" s="122" t="s">
        <v>130</v>
      </c>
      <c r="Y5" s="120" t="s">
        <v>131</v>
      </c>
      <c r="Z5" s="122" t="s">
        <v>132</v>
      </c>
      <c r="AA5" s="120" t="s">
        <v>133</v>
      </c>
      <c r="AB5" s="120" t="s">
        <v>134</v>
      </c>
      <c r="AC5" s="120" t="s">
        <v>135</v>
      </c>
      <c r="AD5" s="120" t="s">
        <v>136</v>
      </c>
      <c r="AE5" s="120" t="s">
        <v>137</v>
      </c>
      <c r="AF5" s="129" t="s">
        <v>138</v>
      </c>
      <c r="AG5" s="130">
        <v>4.0</v>
      </c>
      <c r="AH5" s="139" t="s">
        <v>142</v>
      </c>
      <c r="AI5" s="140" t="s">
        <v>143</v>
      </c>
      <c r="AJ5" s="141">
        <v>0.33</v>
      </c>
      <c r="AK5" s="142" t="s">
        <v>142</v>
      </c>
      <c r="AL5" s="134">
        <f t="shared" si="1"/>
        <v>44582</v>
      </c>
      <c r="AM5" s="135">
        <f t="shared" si="2"/>
        <v>-132</v>
      </c>
      <c r="AN5" s="136" t="str">
        <f t="shared" si="3"/>
        <v>Reporte ok</v>
      </c>
      <c r="AO5" s="137"/>
      <c r="AP5" s="138"/>
    </row>
    <row r="6" ht="67.5" customHeight="1">
      <c r="A6" s="118"/>
      <c r="B6" s="119">
        <v>3.0</v>
      </c>
      <c r="C6" s="120" t="s">
        <v>118</v>
      </c>
      <c r="D6" s="120" t="s">
        <v>1</v>
      </c>
      <c r="E6" s="120" t="s">
        <v>119</v>
      </c>
      <c r="F6" s="121">
        <v>2.018011000241E12</v>
      </c>
      <c r="G6" s="122" t="s">
        <v>120</v>
      </c>
      <c r="H6" s="120" t="s">
        <v>144</v>
      </c>
      <c r="I6" s="120" t="s">
        <v>145</v>
      </c>
      <c r="J6" s="120" t="s">
        <v>146</v>
      </c>
      <c r="K6" s="123" t="s">
        <v>147</v>
      </c>
      <c r="L6" s="123" t="s">
        <v>125</v>
      </c>
      <c r="M6" s="123" t="s">
        <v>148</v>
      </c>
      <c r="N6" s="124" t="s">
        <v>149</v>
      </c>
      <c r="O6" s="125">
        <v>1.0</v>
      </c>
      <c r="P6" s="143">
        <v>1.0</v>
      </c>
      <c r="Q6" s="126" t="s">
        <v>150</v>
      </c>
      <c r="R6" s="127" t="s">
        <v>128</v>
      </c>
      <c r="S6" s="143">
        <v>0.0</v>
      </c>
      <c r="T6" s="143">
        <v>0.2</v>
      </c>
      <c r="U6" s="143">
        <v>0.3</v>
      </c>
      <c r="V6" s="143">
        <v>0.5</v>
      </c>
      <c r="W6" s="128" t="s">
        <v>129</v>
      </c>
      <c r="X6" s="122" t="s">
        <v>130</v>
      </c>
      <c r="Y6" s="120" t="s">
        <v>131</v>
      </c>
      <c r="Z6" s="122" t="s">
        <v>132</v>
      </c>
      <c r="AA6" s="120" t="s">
        <v>133</v>
      </c>
      <c r="AB6" s="120" t="s">
        <v>134</v>
      </c>
      <c r="AC6" s="120" t="s">
        <v>135</v>
      </c>
      <c r="AD6" s="120" t="s">
        <v>136</v>
      </c>
      <c r="AE6" s="120" t="s">
        <v>137</v>
      </c>
      <c r="AF6" s="129" t="s">
        <v>138</v>
      </c>
      <c r="AG6" s="141">
        <v>0.04</v>
      </c>
      <c r="AH6" s="144" t="s">
        <v>151</v>
      </c>
      <c r="AI6" s="145" t="s">
        <v>152</v>
      </c>
      <c r="AJ6" s="141">
        <v>0.33</v>
      </c>
      <c r="AK6" s="142" t="s">
        <v>151</v>
      </c>
      <c r="AL6" s="134">
        <f t="shared" si="1"/>
        <v>44582</v>
      </c>
      <c r="AM6" s="135">
        <f t="shared" si="2"/>
        <v>-132</v>
      </c>
      <c r="AN6" s="136" t="str">
        <f t="shared" si="3"/>
        <v>Reporte ok</v>
      </c>
      <c r="AO6" s="137"/>
      <c r="AP6" s="138"/>
    </row>
    <row r="7" ht="67.5" customHeight="1">
      <c r="A7" s="118"/>
      <c r="B7" s="119"/>
      <c r="C7" s="120"/>
      <c r="D7" s="120"/>
      <c r="E7" s="120"/>
      <c r="F7" s="121"/>
      <c r="G7" s="122"/>
      <c r="H7" s="120"/>
      <c r="I7" s="120"/>
      <c r="J7" s="120"/>
      <c r="K7" s="123"/>
      <c r="L7" s="123"/>
      <c r="M7" s="123"/>
      <c r="N7" s="124"/>
      <c r="O7" s="125"/>
      <c r="P7" s="125"/>
      <c r="Q7" s="126"/>
      <c r="R7" s="127"/>
      <c r="S7" s="125"/>
      <c r="T7" s="125"/>
      <c r="U7" s="125"/>
      <c r="V7" s="125"/>
      <c r="W7" s="128"/>
      <c r="X7" s="122"/>
      <c r="Y7" s="120"/>
      <c r="Z7" s="122"/>
      <c r="AA7" s="120"/>
      <c r="AB7" s="120"/>
      <c r="AC7" s="120"/>
      <c r="AD7" s="120"/>
      <c r="AE7" s="120"/>
      <c r="AF7" s="129"/>
      <c r="AG7" s="146"/>
      <c r="AH7" s="147"/>
      <c r="AI7" s="148"/>
      <c r="AJ7" s="149"/>
      <c r="AK7" s="133"/>
      <c r="AL7" s="134"/>
      <c r="AM7" s="135"/>
      <c r="AN7" s="136"/>
      <c r="AO7" s="137"/>
      <c r="AP7" s="138"/>
    </row>
    <row r="8" ht="67.5" customHeight="1">
      <c r="A8" s="118"/>
      <c r="B8" s="119"/>
      <c r="C8" s="120"/>
      <c r="D8" s="120"/>
      <c r="E8" s="120"/>
      <c r="F8" s="121"/>
      <c r="G8" s="122"/>
      <c r="H8" s="120"/>
      <c r="I8" s="120"/>
      <c r="J8" s="120"/>
      <c r="K8" s="123"/>
      <c r="L8" s="123"/>
      <c r="M8" s="123"/>
      <c r="N8" s="124"/>
      <c r="O8" s="125"/>
      <c r="P8" s="125"/>
      <c r="Q8" s="126"/>
      <c r="R8" s="127"/>
      <c r="S8" s="125"/>
      <c r="T8" s="125"/>
      <c r="U8" s="125"/>
      <c r="V8" s="125"/>
      <c r="W8" s="128"/>
      <c r="X8" s="122"/>
      <c r="Y8" s="120"/>
      <c r="Z8" s="122"/>
      <c r="AA8" s="120"/>
      <c r="AB8" s="120"/>
      <c r="AC8" s="120"/>
      <c r="AD8" s="120"/>
      <c r="AE8" s="120"/>
      <c r="AF8" s="129"/>
      <c r="AG8" s="146"/>
      <c r="AH8" s="147"/>
      <c r="AI8" s="148"/>
      <c r="AJ8" s="149"/>
      <c r="AK8" s="133"/>
      <c r="AL8" s="134"/>
      <c r="AM8" s="135"/>
      <c r="AN8" s="136"/>
      <c r="AO8" s="137"/>
      <c r="AP8" s="138"/>
    </row>
    <row r="9" ht="67.5" customHeight="1">
      <c r="A9" s="118"/>
      <c r="B9" s="119"/>
      <c r="C9" s="120"/>
      <c r="D9" s="120"/>
      <c r="E9" s="120"/>
      <c r="F9" s="121"/>
      <c r="G9" s="122"/>
      <c r="H9" s="120"/>
      <c r="I9" s="120"/>
      <c r="J9" s="120"/>
      <c r="K9" s="123"/>
      <c r="L9" s="123"/>
      <c r="M9" s="123"/>
      <c r="N9" s="124"/>
      <c r="O9" s="125"/>
      <c r="P9" s="125"/>
      <c r="Q9" s="126"/>
      <c r="R9" s="127"/>
      <c r="S9" s="125"/>
      <c r="T9" s="125"/>
      <c r="U9" s="125"/>
      <c r="V9" s="125"/>
      <c r="W9" s="128"/>
      <c r="X9" s="122"/>
      <c r="Y9" s="120"/>
      <c r="Z9" s="122"/>
      <c r="AA9" s="120"/>
      <c r="AB9" s="120"/>
      <c r="AC9" s="120"/>
      <c r="AD9" s="120"/>
      <c r="AE9" s="120"/>
      <c r="AF9" s="129"/>
      <c r="AG9" s="146"/>
      <c r="AH9" s="147"/>
      <c r="AI9" s="148"/>
      <c r="AJ9" s="149"/>
      <c r="AK9" s="133"/>
      <c r="AL9" s="134"/>
      <c r="AM9" s="135"/>
      <c r="AN9" s="136"/>
      <c r="AO9" s="137"/>
      <c r="AP9" s="138"/>
    </row>
    <row r="10" ht="67.5" customHeight="1">
      <c r="A10" s="118"/>
      <c r="B10" s="119"/>
      <c r="C10" s="120"/>
      <c r="D10" s="120"/>
      <c r="E10" s="120"/>
      <c r="F10" s="121"/>
      <c r="G10" s="122"/>
      <c r="H10" s="120"/>
      <c r="I10" s="120"/>
      <c r="J10" s="120"/>
      <c r="K10" s="123"/>
      <c r="L10" s="123"/>
      <c r="M10" s="123"/>
      <c r="N10" s="124"/>
      <c r="O10" s="125"/>
      <c r="P10" s="125"/>
      <c r="Q10" s="126"/>
      <c r="R10" s="127"/>
      <c r="S10" s="125"/>
      <c r="T10" s="125"/>
      <c r="U10" s="125"/>
      <c r="V10" s="125"/>
      <c r="W10" s="128"/>
      <c r="X10" s="122"/>
      <c r="Y10" s="120"/>
      <c r="Z10" s="122"/>
      <c r="AA10" s="120"/>
      <c r="AB10" s="120"/>
      <c r="AC10" s="120"/>
      <c r="AD10" s="120"/>
      <c r="AE10" s="120"/>
      <c r="AF10" s="129"/>
      <c r="AG10" s="146"/>
      <c r="AH10" s="147"/>
      <c r="AI10" s="148"/>
      <c r="AJ10" s="149"/>
      <c r="AK10" s="133"/>
      <c r="AL10" s="134"/>
      <c r="AM10" s="135"/>
      <c r="AN10" s="136"/>
      <c r="AO10" s="137"/>
      <c r="AP10" s="138"/>
    </row>
    <row r="11" ht="67.5" customHeight="1">
      <c r="A11" s="118"/>
      <c r="B11" s="119"/>
      <c r="C11" s="120"/>
      <c r="D11" s="120"/>
      <c r="E11" s="120"/>
      <c r="F11" s="121"/>
      <c r="G11" s="122"/>
      <c r="H11" s="120"/>
      <c r="I11" s="120"/>
      <c r="J11" s="120"/>
      <c r="K11" s="123"/>
      <c r="L11" s="123"/>
      <c r="M11" s="123"/>
      <c r="N11" s="124"/>
      <c r="O11" s="125"/>
      <c r="P11" s="125"/>
      <c r="Q11" s="126"/>
      <c r="R11" s="127"/>
      <c r="S11" s="125"/>
      <c r="T11" s="125"/>
      <c r="U11" s="125"/>
      <c r="V11" s="125"/>
      <c r="W11" s="128"/>
      <c r="X11" s="122"/>
      <c r="Y11" s="120"/>
      <c r="Z11" s="122"/>
      <c r="AA11" s="120"/>
      <c r="AB11" s="120"/>
      <c r="AC11" s="120"/>
      <c r="AD11" s="120"/>
      <c r="AE11" s="120"/>
      <c r="AF11" s="129"/>
      <c r="AG11" s="146"/>
      <c r="AH11" s="147"/>
      <c r="AI11" s="148"/>
      <c r="AJ11" s="149"/>
      <c r="AK11" s="133"/>
      <c r="AL11" s="134"/>
      <c r="AM11" s="135"/>
      <c r="AN11" s="136"/>
      <c r="AO11" s="137"/>
      <c r="AP11" s="138"/>
    </row>
    <row r="12" ht="67.5" customHeight="1">
      <c r="A12" s="118"/>
      <c r="B12" s="119"/>
      <c r="C12" s="120"/>
      <c r="D12" s="120"/>
      <c r="E12" s="120"/>
      <c r="F12" s="121"/>
      <c r="G12" s="122"/>
      <c r="H12" s="120"/>
      <c r="I12" s="120"/>
      <c r="J12" s="120"/>
      <c r="K12" s="123"/>
      <c r="L12" s="123"/>
      <c r="M12" s="123"/>
      <c r="N12" s="124"/>
      <c r="O12" s="125"/>
      <c r="P12" s="125"/>
      <c r="Q12" s="126"/>
      <c r="R12" s="127"/>
      <c r="S12" s="125"/>
      <c r="T12" s="125"/>
      <c r="U12" s="125"/>
      <c r="V12" s="125"/>
      <c r="W12" s="128"/>
      <c r="X12" s="122"/>
      <c r="Y12" s="120"/>
      <c r="Z12" s="122"/>
      <c r="AA12" s="120"/>
      <c r="AB12" s="120"/>
      <c r="AC12" s="120"/>
      <c r="AD12" s="120"/>
      <c r="AE12" s="120"/>
      <c r="AF12" s="129"/>
      <c r="AG12" s="146"/>
      <c r="AH12" s="147"/>
      <c r="AI12" s="148"/>
      <c r="AJ12" s="149"/>
      <c r="AK12" s="133"/>
      <c r="AL12" s="134"/>
      <c r="AM12" s="135"/>
      <c r="AN12" s="136"/>
      <c r="AO12" s="137"/>
      <c r="AP12" s="138"/>
    </row>
    <row r="13" ht="67.5" customHeight="1">
      <c r="A13" s="118"/>
      <c r="B13" s="119"/>
      <c r="C13" s="120"/>
      <c r="D13" s="120"/>
      <c r="E13" s="120"/>
      <c r="F13" s="121"/>
      <c r="G13" s="122"/>
      <c r="H13" s="120"/>
      <c r="I13" s="120"/>
      <c r="J13" s="120"/>
      <c r="K13" s="123"/>
      <c r="L13" s="123"/>
      <c r="M13" s="123"/>
      <c r="N13" s="124"/>
      <c r="O13" s="125"/>
      <c r="P13" s="125"/>
      <c r="Q13" s="126"/>
      <c r="R13" s="127"/>
      <c r="S13" s="125"/>
      <c r="T13" s="125"/>
      <c r="U13" s="125"/>
      <c r="V13" s="125"/>
      <c r="W13" s="128"/>
      <c r="X13" s="122"/>
      <c r="Y13" s="120"/>
      <c r="Z13" s="122"/>
      <c r="AA13" s="120"/>
      <c r="AB13" s="120"/>
      <c r="AC13" s="120"/>
      <c r="AD13" s="120"/>
      <c r="AE13" s="120"/>
      <c r="AF13" s="129"/>
      <c r="AG13" s="146"/>
      <c r="AH13" s="147"/>
      <c r="AI13" s="148"/>
      <c r="AJ13" s="149"/>
      <c r="AK13" s="133"/>
      <c r="AL13" s="134"/>
      <c r="AM13" s="135"/>
      <c r="AN13" s="136"/>
      <c r="AO13" s="137"/>
      <c r="AP13" s="138"/>
    </row>
    <row r="14" ht="67.5" customHeight="1">
      <c r="A14" s="118"/>
      <c r="B14" s="119"/>
      <c r="C14" s="120"/>
      <c r="D14" s="120"/>
      <c r="E14" s="120"/>
      <c r="F14" s="121"/>
      <c r="G14" s="122"/>
      <c r="H14" s="120"/>
      <c r="I14" s="120"/>
      <c r="J14" s="120"/>
      <c r="K14" s="123"/>
      <c r="L14" s="123"/>
      <c r="M14" s="123"/>
      <c r="N14" s="124"/>
      <c r="O14" s="125"/>
      <c r="P14" s="125"/>
      <c r="Q14" s="126"/>
      <c r="R14" s="127"/>
      <c r="S14" s="125"/>
      <c r="T14" s="125"/>
      <c r="U14" s="125"/>
      <c r="V14" s="125"/>
      <c r="W14" s="128"/>
      <c r="X14" s="122"/>
      <c r="Y14" s="120"/>
      <c r="Z14" s="122"/>
      <c r="AA14" s="120"/>
      <c r="AB14" s="120"/>
      <c r="AC14" s="120"/>
      <c r="AD14" s="120"/>
      <c r="AE14" s="120"/>
      <c r="AF14" s="129"/>
      <c r="AG14" s="146"/>
      <c r="AH14" s="147"/>
      <c r="AI14" s="148"/>
      <c r="AJ14" s="149"/>
      <c r="AK14" s="133"/>
      <c r="AL14" s="134"/>
      <c r="AM14" s="135"/>
      <c r="AN14" s="136"/>
      <c r="AO14" s="137"/>
      <c r="AP14" s="138"/>
    </row>
    <row r="15" ht="67.5" customHeight="1">
      <c r="A15" s="118"/>
      <c r="B15" s="119"/>
      <c r="C15" s="120"/>
      <c r="D15" s="120"/>
      <c r="E15" s="120"/>
      <c r="F15" s="121"/>
      <c r="G15" s="122"/>
      <c r="H15" s="120"/>
      <c r="I15" s="120"/>
      <c r="J15" s="120"/>
      <c r="K15" s="123"/>
      <c r="L15" s="123"/>
      <c r="M15" s="123"/>
      <c r="N15" s="124"/>
      <c r="O15" s="125"/>
      <c r="P15" s="125"/>
      <c r="Q15" s="126"/>
      <c r="R15" s="127"/>
      <c r="S15" s="125"/>
      <c r="T15" s="125"/>
      <c r="U15" s="125"/>
      <c r="V15" s="125"/>
      <c r="W15" s="128"/>
      <c r="X15" s="122"/>
      <c r="Y15" s="120"/>
      <c r="Z15" s="122"/>
      <c r="AA15" s="120"/>
      <c r="AB15" s="120"/>
      <c r="AC15" s="120"/>
      <c r="AD15" s="120"/>
      <c r="AE15" s="120"/>
      <c r="AF15" s="129"/>
      <c r="AG15" s="146"/>
      <c r="AH15" s="147"/>
      <c r="AI15" s="148"/>
      <c r="AJ15" s="149"/>
      <c r="AK15" s="133"/>
      <c r="AL15" s="134"/>
      <c r="AM15" s="135"/>
      <c r="AN15" s="136"/>
      <c r="AO15" s="137"/>
      <c r="AP15" s="138"/>
    </row>
    <row r="16" ht="67.5" customHeight="1">
      <c r="A16" s="118"/>
      <c r="B16" s="119"/>
      <c r="C16" s="120"/>
      <c r="D16" s="120"/>
      <c r="E16" s="120"/>
      <c r="F16" s="121"/>
      <c r="G16" s="122"/>
      <c r="H16" s="120"/>
      <c r="I16" s="120"/>
      <c r="J16" s="120"/>
      <c r="K16" s="123"/>
      <c r="L16" s="123"/>
      <c r="M16" s="123"/>
      <c r="N16" s="124"/>
      <c r="O16" s="125"/>
      <c r="P16" s="125"/>
      <c r="Q16" s="126"/>
      <c r="R16" s="127"/>
      <c r="S16" s="125"/>
      <c r="T16" s="125"/>
      <c r="U16" s="125"/>
      <c r="V16" s="125"/>
      <c r="W16" s="128"/>
      <c r="X16" s="122"/>
      <c r="Y16" s="120"/>
      <c r="Z16" s="122"/>
      <c r="AA16" s="120"/>
      <c r="AB16" s="120"/>
      <c r="AC16" s="120"/>
      <c r="AD16" s="120"/>
      <c r="AE16" s="120"/>
      <c r="AF16" s="129"/>
      <c r="AG16" s="146"/>
      <c r="AH16" s="147"/>
      <c r="AI16" s="148"/>
      <c r="AJ16" s="149"/>
      <c r="AK16" s="133"/>
      <c r="AL16" s="134"/>
      <c r="AM16" s="135"/>
      <c r="AN16" s="136"/>
      <c r="AO16" s="137"/>
      <c r="AP16" s="138"/>
    </row>
    <row r="17" ht="67.5" customHeight="1">
      <c r="A17" s="118"/>
      <c r="B17" s="150"/>
      <c r="C17" s="151"/>
      <c r="D17" s="151"/>
      <c r="E17" s="151"/>
      <c r="F17" s="152"/>
      <c r="G17" s="153"/>
      <c r="H17" s="151"/>
      <c r="I17" s="151"/>
      <c r="J17" s="151"/>
      <c r="K17" s="154"/>
      <c r="L17" s="154"/>
      <c r="M17" s="154"/>
      <c r="N17" s="155"/>
      <c r="O17" s="156"/>
      <c r="P17" s="156"/>
      <c r="Q17" s="157"/>
      <c r="R17" s="158"/>
      <c r="S17" s="156"/>
      <c r="T17" s="156"/>
      <c r="U17" s="156"/>
      <c r="V17" s="156"/>
      <c r="W17" s="159"/>
      <c r="X17" s="153"/>
      <c r="Y17" s="151"/>
      <c r="Z17" s="153"/>
      <c r="AA17" s="151"/>
      <c r="AB17" s="151"/>
      <c r="AC17" s="151"/>
      <c r="AD17" s="151"/>
      <c r="AE17" s="151"/>
      <c r="AF17" s="160"/>
      <c r="AG17" s="161"/>
      <c r="AH17" s="162"/>
      <c r="AI17" s="163"/>
      <c r="AJ17" s="164"/>
      <c r="AK17" s="165"/>
      <c r="AL17" s="166"/>
      <c r="AM17" s="167"/>
      <c r="AN17" s="168"/>
      <c r="AO17" s="169"/>
      <c r="AP17" s="138"/>
    </row>
    <row r="18" ht="15.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170"/>
      <c r="AH18" s="170"/>
      <c r="AI18" s="170"/>
      <c r="AJ18" s="88"/>
      <c r="AK18" s="88"/>
      <c r="AL18" s="88"/>
      <c r="AM18" s="88"/>
      <c r="AN18" s="88"/>
      <c r="AO18" s="88"/>
      <c r="AP18" s="88"/>
    </row>
  </sheetData>
  <autoFilter ref="$A$3:$AP$6"/>
  <mergeCells count="4">
    <mergeCell ref="B1:C1"/>
    <mergeCell ref="AG2:AI2"/>
    <mergeCell ref="AJ2:AK2"/>
    <mergeCell ref="AL2:AO2"/>
  </mergeCells>
  <conditionalFormatting sqref="AK4:AK17 AM4:AM17">
    <cfRule type="cellIs" dxfId="2" priority="1" operator="greaterThan">
      <formula>0</formula>
    </cfRule>
  </conditionalFormatting>
  <conditionalFormatting sqref="AK4:AK17 AM4:AM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AJ4:AJ17">
      <formula1>0.0</formula1>
      <formula2>5000000.0</formula2>
    </dataValidation>
  </dataValidations>
  <hyperlinks>
    <hyperlink display="Home" location="Home!A1" ref="B1"/>
    <hyperlink r:id="rId1" ref="AI5"/>
    <hyperlink r:id="rId2" ref="AI6"/>
  </hyperlinks>
  <printOptions gridLines="1" horizontalCentered="1"/>
  <pageMargins bottom="0.75" footer="0.0" header="0.0" left="0.7" right="0.7" top="0.75"/>
  <pageSetup cellComments="atEnd" orientation="portrait" pageOrder="overThenDown"/>
  <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21" width="15.75"/>
    <col customWidth="1" min="22" max="22" width="15.75"/>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4" width="21.0"/>
    <col customWidth="1" min="35" max="35" width="22.88"/>
    <col customWidth="1" min="36" max="36" width="21.75"/>
    <col customWidth="1" min="37" max="37" width="20.25"/>
    <col customWidth="1" min="38" max="38" width="15.75"/>
    <col customWidth="1" min="39" max="39" width="15.63"/>
    <col customWidth="1" min="40" max="40" width="16.38"/>
    <col customWidth="1" min="41" max="41" width="18.25"/>
    <col customWidth="1" min="42" max="42" width="3.88"/>
  </cols>
  <sheetData>
    <row r="1" ht="33.75" customHeight="1">
      <c r="A1" s="85"/>
      <c r="B1" s="86" t="s">
        <v>108</v>
      </c>
      <c r="C1" s="87"/>
      <c r="D1" s="88"/>
      <c r="E1" s="89"/>
      <c r="F1" s="90"/>
      <c r="G1" s="90"/>
      <c r="H1" s="90"/>
      <c r="I1" s="90"/>
      <c r="J1" s="90"/>
      <c r="K1" s="90"/>
      <c r="L1" s="90"/>
      <c r="M1" s="90"/>
      <c r="N1" s="90"/>
      <c r="O1" s="90"/>
      <c r="P1" s="90"/>
      <c r="Q1" s="90"/>
      <c r="R1" s="90"/>
      <c r="S1" s="90"/>
      <c r="T1" s="90"/>
      <c r="U1" s="90"/>
      <c r="V1" s="90"/>
      <c r="W1" s="90"/>
      <c r="X1" s="90"/>
      <c r="Y1" s="90"/>
      <c r="Z1" s="90"/>
      <c r="AA1" s="90"/>
      <c r="AB1" s="90"/>
      <c r="AC1" s="90"/>
      <c r="AD1" s="90"/>
      <c r="AE1" s="90"/>
      <c r="AF1" s="88"/>
      <c r="AG1" s="91" t="s">
        <v>109</v>
      </c>
      <c r="AH1" s="92">
        <v>1.0</v>
      </c>
      <c r="AI1" s="93" t="s">
        <v>110</v>
      </c>
      <c r="AJ1" s="94"/>
      <c r="AK1" s="95"/>
      <c r="AL1" s="96">
        <v>43466.0</v>
      </c>
      <c r="AM1" s="97">
        <f>Alertas!B6</f>
        <v>44582</v>
      </c>
      <c r="AN1" s="96">
        <f>TODAY()-1</f>
        <v>44714</v>
      </c>
      <c r="AO1" s="93"/>
      <c r="AP1" s="93"/>
    </row>
    <row r="2" ht="33.75" customHeight="1">
      <c r="A2" s="85"/>
      <c r="B2" s="88"/>
      <c r="C2" s="98"/>
      <c r="D2" s="99"/>
      <c r="E2" s="88"/>
      <c r="F2" s="100"/>
      <c r="G2" s="88"/>
      <c r="H2" s="88"/>
      <c r="I2" s="88"/>
      <c r="J2" s="88"/>
      <c r="K2" s="88"/>
      <c r="L2" s="88"/>
      <c r="M2" s="88"/>
      <c r="N2" s="88"/>
      <c r="O2" s="88"/>
      <c r="P2" s="88"/>
      <c r="Q2" s="88"/>
      <c r="R2" s="88"/>
      <c r="S2" s="88"/>
      <c r="T2" s="88"/>
      <c r="U2" s="88"/>
      <c r="V2" s="88"/>
      <c r="W2" s="88"/>
      <c r="X2" s="88"/>
      <c r="Y2" s="88"/>
      <c r="Z2" s="88"/>
      <c r="AA2" s="88"/>
      <c r="AB2" s="88"/>
      <c r="AC2" s="88"/>
      <c r="AD2" s="88"/>
      <c r="AE2" s="88"/>
      <c r="AF2" s="17"/>
      <c r="AG2" s="101" t="s">
        <v>111</v>
      </c>
      <c r="AH2" s="102"/>
      <c r="AI2" s="103"/>
      <c r="AJ2" s="104" t="s">
        <v>112</v>
      </c>
      <c r="AK2" s="103"/>
      <c r="AL2" s="104" t="s">
        <v>113</v>
      </c>
      <c r="AM2" s="102"/>
      <c r="AN2" s="102"/>
      <c r="AO2" s="103"/>
      <c r="AP2" s="105"/>
    </row>
    <row r="3" ht="33.75" customHeight="1">
      <c r="A3" s="106"/>
      <c r="B3" s="171" t="s">
        <v>40</v>
      </c>
      <c r="C3" s="172" t="s">
        <v>41</v>
      </c>
      <c r="D3" s="173" t="s">
        <v>42</v>
      </c>
      <c r="E3" s="173" t="s">
        <v>43</v>
      </c>
      <c r="F3" s="174" t="s">
        <v>44</v>
      </c>
      <c r="G3" s="175" t="s">
        <v>45</v>
      </c>
      <c r="H3" s="173" t="s">
        <v>46</v>
      </c>
      <c r="I3" s="175" t="s">
        <v>47</v>
      </c>
      <c r="J3" s="175" t="s">
        <v>48</v>
      </c>
      <c r="K3" s="175" t="s">
        <v>49</v>
      </c>
      <c r="L3" s="175" t="s">
        <v>50</v>
      </c>
      <c r="M3" s="173" t="s">
        <v>51</v>
      </c>
      <c r="N3" s="173" t="s">
        <v>52</v>
      </c>
      <c r="O3" s="175" t="s">
        <v>53</v>
      </c>
      <c r="P3" s="175" t="s">
        <v>54</v>
      </c>
      <c r="Q3" s="173" t="s">
        <v>55</v>
      </c>
      <c r="R3" s="173" t="s">
        <v>56</v>
      </c>
      <c r="S3" s="175" t="s">
        <v>57</v>
      </c>
      <c r="T3" s="175" t="s">
        <v>58</v>
      </c>
      <c r="U3" s="175" t="s">
        <v>59</v>
      </c>
      <c r="V3" s="175" t="s">
        <v>60</v>
      </c>
      <c r="W3" s="173" t="s">
        <v>61</v>
      </c>
      <c r="X3" s="172" t="s">
        <v>62</v>
      </c>
      <c r="Y3" s="172" t="s">
        <v>63</v>
      </c>
      <c r="Z3" s="172" t="s">
        <v>64</v>
      </c>
      <c r="AA3" s="172" t="s">
        <v>65</v>
      </c>
      <c r="AB3" s="172" t="s">
        <v>66</v>
      </c>
      <c r="AC3" s="172" t="s">
        <v>67</v>
      </c>
      <c r="AD3" s="172" t="s">
        <v>68</v>
      </c>
      <c r="AE3" s="172" t="s">
        <v>69</v>
      </c>
      <c r="AF3" s="176" t="s">
        <v>70</v>
      </c>
      <c r="AG3" s="113" t="s">
        <v>71</v>
      </c>
      <c r="AH3" s="114" t="s">
        <v>72</v>
      </c>
      <c r="AI3" s="115" t="s">
        <v>73</v>
      </c>
      <c r="AJ3" s="116" t="s">
        <v>114</v>
      </c>
      <c r="AK3" s="117" t="s">
        <v>115</v>
      </c>
      <c r="AL3" s="113" t="s">
        <v>74</v>
      </c>
      <c r="AM3" s="114" t="s">
        <v>116</v>
      </c>
      <c r="AN3" s="114" t="s">
        <v>76</v>
      </c>
      <c r="AO3" s="117" t="s">
        <v>117</v>
      </c>
      <c r="AP3" s="105"/>
    </row>
    <row r="4" ht="67.5" customHeight="1">
      <c r="A4" s="118"/>
      <c r="B4" s="177">
        <v>12.0</v>
      </c>
      <c r="C4" s="178" t="s">
        <v>153</v>
      </c>
      <c r="D4" s="178" t="s">
        <v>153</v>
      </c>
      <c r="E4" s="178" t="s">
        <v>119</v>
      </c>
      <c r="F4" s="179">
        <v>2.018011000241E12</v>
      </c>
      <c r="G4" s="180" t="s">
        <v>120</v>
      </c>
      <c r="H4" s="178" t="s">
        <v>144</v>
      </c>
      <c r="I4" s="178" t="s">
        <v>145</v>
      </c>
      <c r="J4" s="178" t="s">
        <v>154</v>
      </c>
      <c r="K4" s="181" t="s">
        <v>147</v>
      </c>
      <c r="L4" s="181" t="s">
        <v>125</v>
      </c>
      <c r="M4" s="181" t="s">
        <v>148</v>
      </c>
      <c r="N4" s="182" t="s">
        <v>155</v>
      </c>
      <c r="O4" s="183"/>
      <c r="P4" s="184">
        <v>1.0</v>
      </c>
      <c r="Q4" s="185" t="s">
        <v>156</v>
      </c>
      <c r="R4" s="186" t="s">
        <v>157</v>
      </c>
      <c r="S4" s="184">
        <v>0.0</v>
      </c>
      <c r="T4" s="184">
        <v>1.0</v>
      </c>
      <c r="U4" s="184">
        <v>0.0</v>
      </c>
      <c r="V4" s="184">
        <v>1.0</v>
      </c>
      <c r="W4" s="187" t="s">
        <v>1</v>
      </c>
      <c r="X4" s="180" t="s">
        <v>130</v>
      </c>
      <c r="Y4" s="178" t="s">
        <v>158</v>
      </c>
      <c r="Z4" s="180" t="s">
        <v>132</v>
      </c>
      <c r="AA4" s="178" t="s">
        <v>159</v>
      </c>
      <c r="AB4" s="178" t="s">
        <v>160</v>
      </c>
      <c r="AC4" s="178" t="s">
        <v>135</v>
      </c>
      <c r="AD4" s="178" t="s">
        <v>161</v>
      </c>
      <c r="AE4" s="178" t="s">
        <v>162</v>
      </c>
      <c r="AF4" s="188" t="s">
        <v>138</v>
      </c>
      <c r="AG4" s="189"/>
      <c r="AH4" s="139" t="s">
        <v>163</v>
      </c>
      <c r="AI4" s="132"/>
      <c r="AJ4" s="189"/>
      <c r="AK4" s="133"/>
      <c r="AL4" s="134">
        <f t="shared" ref="AL4:AL6" si="1">$AM$1</f>
        <v>44582</v>
      </c>
      <c r="AM4" s="135">
        <f t="shared" ref="AM4:AM6" si="2">AL4-$AN$1</f>
        <v>-132</v>
      </c>
      <c r="AN4" s="136" t="str">
        <f t="shared" ref="AN4:AN6" si="3">IF(ISBLANK(AG4),"Pend. Ejec. Trim."&amp;CHAR(10),)&amp;
IF(ISBLANK(AH4),"Pend. Just. Trim."&amp;CHAR(10),)&amp;
IF(ISBLANK(AI4),"Pend. Evid. Trim."&amp;CHAR(10),)&amp;
IF(ISBLANK(AJ4),"Pend. Ejec. Año"&amp;CHAR(10),)&amp;
IF(ISBLANK(AK4),"Pend. Evid. Año",)&amp;
IF(OR(ISBLANK(AG4),ISBLANK(AH4),ISBLANK(AI4),ISBLANK(AJ4),ISBLANK(AK4)),,"Reporte ok")</f>
        <v>Pend. Ejec. Trim.
Pend. Evid. Trim.
Pend. Ejec. Año
Pend. Evid. Año</v>
      </c>
      <c r="AO4" s="137"/>
      <c r="AP4" s="138"/>
    </row>
    <row r="5" ht="67.5" customHeight="1">
      <c r="A5" s="118"/>
      <c r="B5" s="177">
        <v>13.0</v>
      </c>
      <c r="C5" s="178" t="s">
        <v>153</v>
      </c>
      <c r="D5" s="178" t="s">
        <v>153</v>
      </c>
      <c r="E5" s="178" t="s">
        <v>119</v>
      </c>
      <c r="F5" s="179">
        <v>2.018011000241E12</v>
      </c>
      <c r="G5" s="180" t="s">
        <v>120</v>
      </c>
      <c r="H5" s="178" t="s">
        <v>144</v>
      </c>
      <c r="I5" s="178" t="s">
        <v>145</v>
      </c>
      <c r="J5" s="178" t="s">
        <v>154</v>
      </c>
      <c r="K5" s="181" t="s">
        <v>147</v>
      </c>
      <c r="L5" s="181" t="s">
        <v>125</v>
      </c>
      <c r="M5" s="181" t="s">
        <v>148</v>
      </c>
      <c r="N5" s="182" t="s">
        <v>164</v>
      </c>
      <c r="O5" s="183"/>
      <c r="P5" s="184">
        <v>1.0</v>
      </c>
      <c r="Q5" s="185" t="s">
        <v>165</v>
      </c>
      <c r="R5" s="186" t="s">
        <v>157</v>
      </c>
      <c r="S5" s="184">
        <v>0.0</v>
      </c>
      <c r="T5" s="184">
        <v>1.0</v>
      </c>
      <c r="U5" s="184">
        <v>0.0</v>
      </c>
      <c r="V5" s="184">
        <v>1.0</v>
      </c>
      <c r="W5" s="187" t="s">
        <v>1</v>
      </c>
      <c r="X5" s="180" t="s">
        <v>130</v>
      </c>
      <c r="Y5" s="178" t="s">
        <v>158</v>
      </c>
      <c r="Z5" s="180" t="s">
        <v>132</v>
      </c>
      <c r="AA5" s="178" t="s">
        <v>159</v>
      </c>
      <c r="AB5" s="178" t="s">
        <v>160</v>
      </c>
      <c r="AC5" s="178" t="s">
        <v>135</v>
      </c>
      <c r="AD5" s="178" t="s">
        <v>161</v>
      </c>
      <c r="AE5" s="178" t="s">
        <v>162</v>
      </c>
      <c r="AF5" s="188" t="s">
        <v>138</v>
      </c>
      <c r="AG5" s="189"/>
      <c r="AH5" s="139" t="s">
        <v>166</v>
      </c>
      <c r="AI5" s="140" t="s">
        <v>167</v>
      </c>
      <c r="AJ5" s="189"/>
      <c r="AK5" s="133"/>
      <c r="AL5" s="134">
        <f t="shared" si="1"/>
        <v>44582</v>
      </c>
      <c r="AM5" s="135">
        <f t="shared" si="2"/>
        <v>-132</v>
      </c>
      <c r="AN5" s="136" t="str">
        <f t="shared" si="3"/>
        <v>Pend. Ejec. Trim.
Pend. Ejec. Año
Pend. Evid. Año</v>
      </c>
      <c r="AO5" s="137"/>
      <c r="AP5" s="138"/>
    </row>
    <row r="6" ht="67.5" customHeight="1">
      <c r="A6" s="118"/>
      <c r="B6" s="177">
        <v>14.0</v>
      </c>
      <c r="C6" s="178" t="s">
        <v>153</v>
      </c>
      <c r="D6" s="178" t="s">
        <v>153</v>
      </c>
      <c r="E6" s="178" t="s">
        <v>119</v>
      </c>
      <c r="F6" s="179">
        <v>2.018011000241E12</v>
      </c>
      <c r="G6" s="180" t="s">
        <v>120</v>
      </c>
      <c r="H6" s="178" t="s">
        <v>144</v>
      </c>
      <c r="I6" s="178" t="s">
        <v>145</v>
      </c>
      <c r="J6" s="178" t="s">
        <v>154</v>
      </c>
      <c r="K6" s="181" t="s">
        <v>147</v>
      </c>
      <c r="L6" s="181" t="s">
        <v>125</v>
      </c>
      <c r="M6" s="181" t="s">
        <v>126</v>
      </c>
      <c r="N6" s="182" t="s">
        <v>168</v>
      </c>
      <c r="O6" s="183"/>
      <c r="P6" s="190">
        <v>2.0</v>
      </c>
      <c r="Q6" s="185" t="s">
        <v>169</v>
      </c>
      <c r="R6" s="186" t="s">
        <v>170</v>
      </c>
      <c r="S6" s="190">
        <v>0.0</v>
      </c>
      <c r="T6" s="190">
        <v>0.0</v>
      </c>
      <c r="U6" s="190">
        <v>1.0</v>
      </c>
      <c r="V6" s="190">
        <v>1.0</v>
      </c>
      <c r="W6" s="187" t="s">
        <v>1</v>
      </c>
      <c r="X6" s="180" t="s">
        <v>130</v>
      </c>
      <c r="Y6" s="178" t="s">
        <v>158</v>
      </c>
      <c r="Z6" s="180" t="s">
        <v>132</v>
      </c>
      <c r="AA6" s="178" t="s">
        <v>159</v>
      </c>
      <c r="AB6" s="178" t="s">
        <v>171</v>
      </c>
      <c r="AC6" s="178" t="s">
        <v>135</v>
      </c>
      <c r="AD6" s="178" t="s">
        <v>161</v>
      </c>
      <c r="AE6" s="178" t="s">
        <v>162</v>
      </c>
      <c r="AF6" s="188" t="s">
        <v>138</v>
      </c>
      <c r="AG6" s="191"/>
      <c r="AH6" s="144" t="s">
        <v>172</v>
      </c>
      <c r="AI6" s="148"/>
      <c r="AJ6" s="191"/>
      <c r="AK6" s="133"/>
      <c r="AL6" s="134">
        <f t="shared" si="1"/>
        <v>44582</v>
      </c>
      <c r="AM6" s="135">
        <f t="shared" si="2"/>
        <v>-132</v>
      </c>
      <c r="AN6" s="136" t="str">
        <f t="shared" si="3"/>
        <v>Pend. Ejec. Trim.
Pend. Evid. Trim.
Pend. Ejec. Año
Pend. Evid. Año</v>
      </c>
      <c r="AO6" s="137"/>
      <c r="AP6" s="138"/>
    </row>
    <row r="7" ht="67.5" customHeight="1">
      <c r="A7" s="118"/>
      <c r="B7" s="177"/>
      <c r="C7" s="178"/>
      <c r="D7" s="178"/>
      <c r="E7" s="178"/>
      <c r="F7" s="179"/>
      <c r="G7" s="180"/>
      <c r="H7" s="178"/>
      <c r="I7" s="178"/>
      <c r="J7" s="178"/>
      <c r="K7" s="181"/>
      <c r="L7" s="181"/>
      <c r="M7" s="181"/>
      <c r="N7" s="182"/>
      <c r="O7" s="183"/>
      <c r="P7" s="190"/>
      <c r="Q7" s="185"/>
      <c r="R7" s="186"/>
      <c r="S7" s="190"/>
      <c r="T7" s="190"/>
      <c r="U7" s="190"/>
      <c r="V7" s="190"/>
      <c r="W7" s="187"/>
      <c r="X7" s="180"/>
      <c r="Y7" s="178"/>
      <c r="Z7" s="180"/>
      <c r="AA7" s="178"/>
      <c r="AB7" s="178"/>
      <c r="AC7" s="178"/>
      <c r="AD7" s="178"/>
      <c r="AE7" s="178"/>
      <c r="AF7" s="188"/>
      <c r="AG7" s="146"/>
      <c r="AH7" s="147"/>
      <c r="AI7" s="148"/>
      <c r="AJ7" s="149"/>
      <c r="AK7" s="133"/>
      <c r="AL7" s="134"/>
      <c r="AM7" s="135"/>
      <c r="AN7" s="136"/>
      <c r="AO7" s="137"/>
      <c r="AP7" s="138"/>
    </row>
    <row r="8" ht="67.5" customHeight="1">
      <c r="A8" s="118"/>
      <c r="B8" s="177"/>
      <c r="C8" s="178"/>
      <c r="D8" s="178"/>
      <c r="E8" s="178"/>
      <c r="F8" s="179"/>
      <c r="G8" s="180"/>
      <c r="H8" s="178"/>
      <c r="I8" s="178"/>
      <c r="J8" s="178"/>
      <c r="K8" s="181"/>
      <c r="L8" s="181"/>
      <c r="M8" s="181"/>
      <c r="N8" s="182"/>
      <c r="O8" s="183"/>
      <c r="P8" s="190"/>
      <c r="Q8" s="185"/>
      <c r="R8" s="186"/>
      <c r="S8" s="190"/>
      <c r="T8" s="190"/>
      <c r="U8" s="190"/>
      <c r="V8" s="190"/>
      <c r="W8" s="187"/>
      <c r="X8" s="180"/>
      <c r="Y8" s="178"/>
      <c r="Z8" s="180"/>
      <c r="AA8" s="178"/>
      <c r="AB8" s="178"/>
      <c r="AC8" s="178"/>
      <c r="AD8" s="178"/>
      <c r="AE8" s="178"/>
      <c r="AF8" s="188"/>
      <c r="AG8" s="146"/>
      <c r="AH8" s="147"/>
      <c r="AI8" s="148"/>
      <c r="AJ8" s="149"/>
      <c r="AK8" s="133"/>
      <c r="AL8" s="134"/>
      <c r="AM8" s="135"/>
      <c r="AN8" s="136"/>
      <c r="AO8" s="137"/>
      <c r="AP8" s="138"/>
    </row>
    <row r="9" ht="67.5" customHeight="1">
      <c r="A9" s="118"/>
      <c r="B9" s="177"/>
      <c r="C9" s="178"/>
      <c r="D9" s="178"/>
      <c r="E9" s="178"/>
      <c r="F9" s="179"/>
      <c r="G9" s="180"/>
      <c r="H9" s="178"/>
      <c r="I9" s="178"/>
      <c r="J9" s="178"/>
      <c r="K9" s="181"/>
      <c r="L9" s="181"/>
      <c r="M9" s="181"/>
      <c r="N9" s="182"/>
      <c r="O9" s="183"/>
      <c r="P9" s="190"/>
      <c r="Q9" s="185"/>
      <c r="R9" s="186"/>
      <c r="S9" s="190"/>
      <c r="T9" s="190"/>
      <c r="U9" s="190"/>
      <c r="V9" s="190"/>
      <c r="W9" s="187"/>
      <c r="X9" s="180"/>
      <c r="Y9" s="178"/>
      <c r="Z9" s="180"/>
      <c r="AA9" s="178"/>
      <c r="AB9" s="178"/>
      <c r="AC9" s="178"/>
      <c r="AD9" s="178"/>
      <c r="AE9" s="178"/>
      <c r="AF9" s="188"/>
      <c r="AG9" s="146"/>
      <c r="AH9" s="147"/>
      <c r="AI9" s="148"/>
      <c r="AJ9" s="149"/>
      <c r="AK9" s="133"/>
      <c r="AL9" s="134"/>
      <c r="AM9" s="135"/>
      <c r="AN9" s="136"/>
      <c r="AO9" s="137"/>
      <c r="AP9" s="138"/>
    </row>
    <row r="10" ht="67.5" customHeight="1">
      <c r="A10" s="118"/>
      <c r="B10" s="177"/>
      <c r="C10" s="178"/>
      <c r="D10" s="178"/>
      <c r="E10" s="178"/>
      <c r="F10" s="179"/>
      <c r="G10" s="180"/>
      <c r="H10" s="178"/>
      <c r="I10" s="178"/>
      <c r="J10" s="178"/>
      <c r="K10" s="181"/>
      <c r="L10" s="181"/>
      <c r="M10" s="181"/>
      <c r="N10" s="182"/>
      <c r="O10" s="183"/>
      <c r="P10" s="190"/>
      <c r="Q10" s="185"/>
      <c r="R10" s="186"/>
      <c r="S10" s="190"/>
      <c r="T10" s="190"/>
      <c r="U10" s="190"/>
      <c r="V10" s="190"/>
      <c r="W10" s="187"/>
      <c r="X10" s="180"/>
      <c r="Y10" s="178"/>
      <c r="Z10" s="180"/>
      <c r="AA10" s="178"/>
      <c r="AB10" s="178"/>
      <c r="AC10" s="178"/>
      <c r="AD10" s="178"/>
      <c r="AE10" s="178"/>
      <c r="AF10" s="188"/>
      <c r="AG10" s="146"/>
      <c r="AH10" s="147"/>
      <c r="AI10" s="148"/>
      <c r="AJ10" s="149"/>
      <c r="AK10" s="133"/>
      <c r="AL10" s="134"/>
      <c r="AM10" s="135"/>
      <c r="AN10" s="136"/>
      <c r="AO10" s="137"/>
      <c r="AP10" s="138"/>
    </row>
    <row r="11" ht="67.5" customHeight="1">
      <c r="A11" s="118"/>
      <c r="B11" s="177"/>
      <c r="C11" s="178"/>
      <c r="D11" s="178"/>
      <c r="E11" s="178"/>
      <c r="F11" s="179"/>
      <c r="G11" s="180"/>
      <c r="H11" s="178"/>
      <c r="I11" s="178"/>
      <c r="J11" s="178"/>
      <c r="K11" s="181"/>
      <c r="L11" s="181"/>
      <c r="M11" s="181"/>
      <c r="N11" s="182"/>
      <c r="O11" s="183"/>
      <c r="P11" s="190"/>
      <c r="Q11" s="185"/>
      <c r="R11" s="186"/>
      <c r="S11" s="190"/>
      <c r="T11" s="190"/>
      <c r="U11" s="190"/>
      <c r="V11" s="190"/>
      <c r="W11" s="187"/>
      <c r="X11" s="180"/>
      <c r="Y11" s="178"/>
      <c r="Z11" s="180"/>
      <c r="AA11" s="178"/>
      <c r="AB11" s="178"/>
      <c r="AC11" s="178"/>
      <c r="AD11" s="178"/>
      <c r="AE11" s="178"/>
      <c r="AF11" s="188"/>
      <c r="AG11" s="146"/>
      <c r="AH11" s="147"/>
      <c r="AI11" s="148"/>
      <c r="AJ11" s="149"/>
      <c r="AK11" s="133"/>
      <c r="AL11" s="134"/>
      <c r="AM11" s="135"/>
      <c r="AN11" s="136"/>
      <c r="AO11" s="137"/>
      <c r="AP11" s="138"/>
    </row>
    <row r="12" ht="67.5" customHeight="1">
      <c r="A12" s="118"/>
      <c r="B12" s="177"/>
      <c r="C12" s="178"/>
      <c r="D12" s="178"/>
      <c r="E12" s="178"/>
      <c r="F12" s="179"/>
      <c r="G12" s="180"/>
      <c r="H12" s="178"/>
      <c r="I12" s="178"/>
      <c r="J12" s="178"/>
      <c r="K12" s="181"/>
      <c r="L12" s="181"/>
      <c r="M12" s="181"/>
      <c r="N12" s="182"/>
      <c r="O12" s="183"/>
      <c r="P12" s="190"/>
      <c r="Q12" s="185"/>
      <c r="R12" s="186"/>
      <c r="S12" s="190"/>
      <c r="T12" s="190"/>
      <c r="U12" s="190"/>
      <c r="V12" s="190"/>
      <c r="W12" s="187"/>
      <c r="X12" s="180"/>
      <c r="Y12" s="178"/>
      <c r="Z12" s="180"/>
      <c r="AA12" s="178"/>
      <c r="AB12" s="178"/>
      <c r="AC12" s="178"/>
      <c r="AD12" s="178"/>
      <c r="AE12" s="178"/>
      <c r="AF12" s="188"/>
      <c r="AG12" s="146"/>
      <c r="AH12" s="147"/>
      <c r="AI12" s="148"/>
      <c r="AJ12" s="149"/>
      <c r="AK12" s="133"/>
      <c r="AL12" s="134"/>
      <c r="AM12" s="135"/>
      <c r="AN12" s="136"/>
      <c r="AO12" s="137"/>
      <c r="AP12" s="138"/>
    </row>
    <row r="13" ht="67.5" customHeight="1">
      <c r="A13" s="118"/>
      <c r="B13" s="177"/>
      <c r="C13" s="178"/>
      <c r="D13" s="178"/>
      <c r="E13" s="178"/>
      <c r="F13" s="179"/>
      <c r="G13" s="180"/>
      <c r="H13" s="178"/>
      <c r="I13" s="178"/>
      <c r="J13" s="178"/>
      <c r="K13" s="181"/>
      <c r="L13" s="181"/>
      <c r="M13" s="181"/>
      <c r="N13" s="182"/>
      <c r="O13" s="183"/>
      <c r="P13" s="190"/>
      <c r="Q13" s="185"/>
      <c r="R13" s="186"/>
      <c r="S13" s="190"/>
      <c r="T13" s="190"/>
      <c r="U13" s="190"/>
      <c r="V13" s="190"/>
      <c r="W13" s="187"/>
      <c r="X13" s="180"/>
      <c r="Y13" s="178"/>
      <c r="Z13" s="180"/>
      <c r="AA13" s="178"/>
      <c r="AB13" s="178"/>
      <c r="AC13" s="178"/>
      <c r="AD13" s="178"/>
      <c r="AE13" s="178"/>
      <c r="AF13" s="188"/>
      <c r="AG13" s="146"/>
      <c r="AH13" s="147"/>
      <c r="AI13" s="148"/>
      <c r="AJ13" s="149"/>
      <c r="AK13" s="133"/>
      <c r="AL13" s="134"/>
      <c r="AM13" s="135"/>
      <c r="AN13" s="136"/>
      <c r="AO13" s="137"/>
      <c r="AP13" s="138"/>
    </row>
    <row r="14" ht="67.5" customHeight="1">
      <c r="A14" s="118"/>
      <c r="B14" s="177"/>
      <c r="C14" s="178"/>
      <c r="D14" s="178"/>
      <c r="E14" s="178"/>
      <c r="F14" s="179"/>
      <c r="G14" s="180"/>
      <c r="H14" s="178"/>
      <c r="I14" s="178"/>
      <c r="J14" s="178"/>
      <c r="K14" s="181"/>
      <c r="L14" s="181"/>
      <c r="M14" s="181"/>
      <c r="N14" s="182"/>
      <c r="O14" s="183"/>
      <c r="P14" s="190"/>
      <c r="Q14" s="185"/>
      <c r="R14" s="186"/>
      <c r="S14" s="190"/>
      <c r="T14" s="190"/>
      <c r="U14" s="190"/>
      <c r="V14" s="190"/>
      <c r="W14" s="187"/>
      <c r="X14" s="180"/>
      <c r="Y14" s="178"/>
      <c r="Z14" s="180"/>
      <c r="AA14" s="178"/>
      <c r="AB14" s="178"/>
      <c r="AC14" s="178"/>
      <c r="AD14" s="178"/>
      <c r="AE14" s="178"/>
      <c r="AF14" s="188"/>
      <c r="AG14" s="146"/>
      <c r="AH14" s="147"/>
      <c r="AI14" s="148"/>
      <c r="AJ14" s="149"/>
      <c r="AK14" s="133"/>
      <c r="AL14" s="134"/>
      <c r="AM14" s="135"/>
      <c r="AN14" s="136"/>
      <c r="AO14" s="137"/>
      <c r="AP14" s="138"/>
    </row>
    <row r="15" ht="67.5" customHeight="1">
      <c r="A15" s="118"/>
      <c r="B15" s="177"/>
      <c r="C15" s="178"/>
      <c r="D15" s="178"/>
      <c r="E15" s="178"/>
      <c r="F15" s="179"/>
      <c r="G15" s="180"/>
      <c r="H15" s="178"/>
      <c r="I15" s="178"/>
      <c r="J15" s="178"/>
      <c r="K15" s="181"/>
      <c r="L15" s="181"/>
      <c r="M15" s="181"/>
      <c r="N15" s="182"/>
      <c r="O15" s="183"/>
      <c r="P15" s="190"/>
      <c r="Q15" s="185"/>
      <c r="R15" s="186"/>
      <c r="S15" s="190"/>
      <c r="T15" s="190"/>
      <c r="U15" s="190"/>
      <c r="V15" s="190"/>
      <c r="W15" s="187"/>
      <c r="X15" s="180"/>
      <c r="Y15" s="178"/>
      <c r="Z15" s="180"/>
      <c r="AA15" s="178"/>
      <c r="AB15" s="178"/>
      <c r="AC15" s="178"/>
      <c r="AD15" s="178"/>
      <c r="AE15" s="178"/>
      <c r="AF15" s="188"/>
      <c r="AG15" s="146"/>
      <c r="AH15" s="147"/>
      <c r="AI15" s="148"/>
      <c r="AJ15" s="149"/>
      <c r="AK15" s="133"/>
      <c r="AL15" s="134"/>
      <c r="AM15" s="135"/>
      <c r="AN15" s="136"/>
      <c r="AO15" s="137"/>
      <c r="AP15" s="138"/>
    </row>
    <row r="16" ht="67.5" customHeight="1">
      <c r="A16" s="118"/>
      <c r="B16" s="177"/>
      <c r="C16" s="178"/>
      <c r="D16" s="178"/>
      <c r="E16" s="178"/>
      <c r="F16" s="179"/>
      <c r="G16" s="180"/>
      <c r="H16" s="178"/>
      <c r="I16" s="178"/>
      <c r="J16" s="178"/>
      <c r="K16" s="181"/>
      <c r="L16" s="181"/>
      <c r="M16" s="181"/>
      <c r="N16" s="182"/>
      <c r="O16" s="183"/>
      <c r="P16" s="190"/>
      <c r="Q16" s="185"/>
      <c r="R16" s="186"/>
      <c r="S16" s="190"/>
      <c r="T16" s="190"/>
      <c r="U16" s="190"/>
      <c r="V16" s="190"/>
      <c r="W16" s="187"/>
      <c r="X16" s="180"/>
      <c r="Y16" s="178"/>
      <c r="Z16" s="180"/>
      <c r="AA16" s="178"/>
      <c r="AB16" s="178"/>
      <c r="AC16" s="178"/>
      <c r="AD16" s="178"/>
      <c r="AE16" s="178"/>
      <c r="AF16" s="188"/>
      <c r="AG16" s="146"/>
      <c r="AH16" s="147"/>
      <c r="AI16" s="148"/>
      <c r="AJ16" s="149"/>
      <c r="AK16" s="133"/>
      <c r="AL16" s="134"/>
      <c r="AM16" s="135"/>
      <c r="AN16" s="136"/>
      <c r="AO16" s="137"/>
      <c r="AP16" s="138"/>
    </row>
    <row r="17" ht="67.5" customHeight="1">
      <c r="A17" s="118"/>
      <c r="B17" s="192"/>
      <c r="C17" s="193"/>
      <c r="D17" s="193"/>
      <c r="E17" s="193"/>
      <c r="F17" s="194"/>
      <c r="G17" s="195"/>
      <c r="H17" s="193"/>
      <c r="I17" s="193"/>
      <c r="J17" s="193"/>
      <c r="K17" s="196"/>
      <c r="L17" s="196"/>
      <c r="M17" s="196"/>
      <c r="N17" s="197"/>
      <c r="O17" s="198"/>
      <c r="P17" s="199"/>
      <c r="Q17" s="200"/>
      <c r="R17" s="201"/>
      <c r="S17" s="199"/>
      <c r="T17" s="199"/>
      <c r="U17" s="199"/>
      <c r="V17" s="199"/>
      <c r="W17" s="202"/>
      <c r="X17" s="195"/>
      <c r="Y17" s="193"/>
      <c r="Z17" s="195"/>
      <c r="AA17" s="193"/>
      <c r="AB17" s="193"/>
      <c r="AC17" s="193"/>
      <c r="AD17" s="193"/>
      <c r="AE17" s="193"/>
      <c r="AF17" s="203"/>
      <c r="AG17" s="161"/>
      <c r="AH17" s="162"/>
      <c r="AI17" s="163"/>
      <c r="AJ17" s="164"/>
      <c r="AK17" s="165"/>
      <c r="AL17" s="166"/>
      <c r="AM17" s="167"/>
      <c r="AN17" s="168"/>
      <c r="AO17" s="169"/>
      <c r="AP17" s="138"/>
    </row>
    <row r="18" ht="15.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170"/>
      <c r="AH18" s="170"/>
      <c r="AI18" s="170"/>
      <c r="AJ18" s="88"/>
      <c r="AK18" s="88"/>
      <c r="AL18" s="88"/>
      <c r="AM18" s="88"/>
      <c r="AN18" s="88"/>
      <c r="AO18" s="88"/>
      <c r="AP18" s="88"/>
    </row>
  </sheetData>
  <autoFilter ref="$A$3:$AP$6"/>
  <mergeCells count="4">
    <mergeCell ref="B1:C1"/>
    <mergeCell ref="AG2:AI2"/>
    <mergeCell ref="AJ2:AK2"/>
    <mergeCell ref="AL2:AO2"/>
  </mergeCells>
  <conditionalFormatting sqref="AK4:AK17 AM4:AM17">
    <cfRule type="cellIs" dxfId="2" priority="1" operator="greaterThan">
      <formula>0</formula>
    </cfRule>
  </conditionalFormatting>
  <conditionalFormatting sqref="AK4:AK17 AM4:AM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AJ4:AJ17">
      <formula1>0.0</formula1>
      <formula2>5000000.0</formula2>
    </dataValidation>
  </dataValidations>
  <hyperlinks>
    <hyperlink display="Home" location="Home!A1" ref="B1"/>
    <hyperlink r:id="rId1" ref="AI5"/>
  </hyperlinks>
  <printOptions gridLines="1" horizontalCentered="1"/>
  <pageMargins bottom="0.75" footer="0.0" header="0.0" left="0.7" right="0.7" top="0.75"/>
  <pageSetup cellComments="atEnd" orientation="portrait" pageOrder="overThenDown"/>
  <drawing r:id="rId2"/>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21" width="15.75"/>
    <col customWidth="1" min="22" max="22" width="15.75"/>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4" width="21.0"/>
    <col customWidth="1" min="35" max="35" width="22.88"/>
    <col customWidth="1" min="36" max="36" width="21.75"/>
    <col customWidth="1" min="37" max="37" width="20.25"/>
    <col customWidth="1" min="38" max="38" width="15.75"/>
    <col customWidth="1" min="39" max="39" width="15.63"/>
    <col customWidth="1" min="40" max="40" width="16.38"/>
    <col customWidth="1" min="41" max="41" width="18.25"/>
    <col customWidth="1" min="42" max="42" width="3.88"/>
  </cols>
  <sheetData>
    <row r="1" ht="33.75" customHeight="1">
      <c r="A1" s="85"/>
      <c r="B1" s="86" t="s">
        <v>108</v>
      </c>
      <c r="C1" s="87"/>
      <c r="D1" s="88"/>
      <c r="E1" s="89"/>
      <c r="F1" s="90"/>
      <c r="G1" s="90"/>
      <c r="H1" s="90"/>
      <c r="I1" s="90"/>
      <c r="J1" s="90"/>
      <c r="K1" s="90"/>
      <c r="L1" s="90"/>
      <c r="M1" s="90"/>
      <c r="N1" s="90"/>
      <c r="O1" s="90"/>
      <c r="P1" s="90"/>
      <c r="Q1" s="90"/>
      <c r="R1" s="90"/>
      <c r="S1" s="90"/>
      <c r="T1" s="90"/>
      <c r="U1" s="90"/>
      <c r="V1" s="90"/>
      <c r="W1" s="90"/>
      <c r="X1" s="90"/>
      <c r="Y1" s="90"/>
      <c r="Z1" s="90"/>
      <c r="AA1" s="90"/>
      <c r="AB1" s="90"/>
      <c r="AC1" s="90"/>
      <c r="AD1" s="90"/>
      <c r="AE1" s="90"/>
      <c r="AF1" s="88"/>
      <c r="AG1" s="91" t="s">
        <v>109</v>
      </c>
      <c r="AH1" s="92">
        <v>1.0</v>
      </c>
      <c r="AI1" s="93" t="s">
        <v>110</v>
      </c>
      <c r="AJ1" s="94"/>
      <c r="AK1" s="95"/>
      <c r="AL1" s="96">
        <v>43466.0</v>
      </c>
      <c r="AM1" s="97">
        <f>Alertas!B6</f>
        <v>44582</v>
      </c>
      <c r="AN1" s="96">
        <f>TODAY()-1</f>
        <v>44714</v>
      </c>
      <c r="AO1" s="93"/>
      <c r="AP1" s="93"/>
    </row>
    <row r="2" ht="33.75" customHeight="1">
      <c r="A2" s="85"/>
      <c r="B2" s="88"/>
      <c r="C2" s="98"/>
      <c r="D2" s="99"/>
      <c r="E2" s="88"/>
      <c r="F2" s="100"/>
      <c r="G2" s="88"/>
      <c r="H2" s="88"/>
      <c r="I2" s="88"/>
      <c r="J2" s="88"/>
      <c r="K2" s="88"/>
      <c r="L2" s="88"/>
      <c r="M2" s="88"/>
      <c r="N2" s="88"/>
      <c r="O2" s="88"/>
      <c r="P2" s="88"/>
      <c r="Q2" s="88"/>
      <c r="R2" s="88"/>
      <c r="S2" s="88"/>
      <c r="T2" s="88"/>
      <c r="U2" s="88"/>
      <c r="V2" s="88"/>
      <c r="W2" s="88"/>
      <c r="X2" s="88"/>
      <c r="Y2" s="88"/>
      <c r="Z2" s="88"/>
      <c r="AA2" s="88"/>
      <c r="AB2" s="88"/>
      <c r="AC2" s="88"/>
      <c r="AD2" s="88"/>
      <c r="AE2" s="88"/>
      <c r="AF2" s="17"/>
      <c r="AG2" s="101" t="s">
        <v>111</v>
      </c>
      <c r="AH2" s="102"/>
      <c r="AI2" s="103"/>
      <c r="AJ2" s="104" t="s">
        <v>112</v>
      </c>
      <c r="AK2" s="103"/>
      <c r="AL2" s="104" t="s">
        <v>113</v>
      </c>
      <c r="AM2" s="102"/>
      <c r="AN2" s="102"/>
      <c r="AO2" s="103"/>
      <c r="AP2" s="105"/>
    </row>
    <row r="3" ht="33.75" customHeight="1">
      <c r="A3" s="106"/>
      <c r="B3" s="171" t="s">
        <v>40</v>
      </c>
      <c r="C3" s="172" t="s">
        <v>41</v>
      </c>
      <c r="D3" s="173" t="s">
        <v>42</v>
      </c>
      <c r="E3" s="173" t="s">
        <v>43</v>
      </c>
      <c r="F3" s="174" t="s">
        <v>44</v>
      </c>
      <c r="G3" s="175" t="s">
        <v>45</v>
      </c>
      <c r="H3" s="173" t="s">
        <v>46</v>
      </c>
      <c r="I3" s="175" t="s">
        <v>47</v>
      </c>
      <c r="J3" s="175" t="s">
        <v>48</v>
      </c>
      <c r="K3" s="175" t="s">
        <v>49</v>
      </c>
      <c r="L3" s="175" t="s">
        <v>50</v>
      </c>
      <c r="M3" s="173" t="s">
        <v>51</v>
      </c>
      <c r="N3" s="173" t="s">
        <v>52</v>
      </c>
      <c r="O3" s="175" t="s">
        <v>53</v>
      </c>
      <c r="P3" s="175" t="s">
        <v>54</v>
      </c>
      <c r="Q3" s="173" t="s">
        <v>55</v>
      </c>
      <c r="R3" s="173" t="s">
        <v>56</v>
      </c>
      <c r="S3" s="175" t="s">
        <v>57</v>
      </c>
      <c r="T3" s="175" t="s">
        <v>58</v>
      </c>
      <c r="U3" s="175" t="s">
        <v>59</v>
      </c>
      <c r="V3" s="175" t="s">
        <v>60</v>
      </c>
      <c r="W3" s="173" t="s">
        <v>61</v>
      </c>
      <c r="X3" s="172" t="s">
        <v>62</v>
      </c>
      <c r="Y3" s="172" t="s">
        <v>63</v>
      </c>
      <c r="Z3" s="172" t="s">
        <v>64</v>
      </c>
      <c r="AA3" s="172" t="s">
        <v>65</v>
      </c>
      <c r="AB3" s="172" t="s">
        <v>66</v>
      </c>
      <c r="AC3" s="172" t="s">
        <v>67</v>
      </c>
      <c r="AD3" s="172" t="s">
        <v>68</v>
      </c>
      <c r="AE3" s="172" t="s">
        <v>69</v>
      </c>
      <c r="AF3" s="176" t="s">
        <v>70</v>
      </c>
      <c r="AG3" s="113" t="s">
        <v>71</v>
      </c>
      <c r="AH3" s="114" t="s">
        <v>72</v>
      </c>
      <c r="AI3" s="115" t="s">
        <v>73</v>
      </c>
      <c r="AJ3" s="116" t="s">
        <v>114</v>
      </c>
      <c r="AK3" s="117" t="s">
        <v>115</v>
      </c>
      <c r="AL3" s="113" t="s">
        <v>74</v>
      </c>
      <c r="AM3" s="114" t="s">
        <v>116</v>
      </c>
      <c r="AN3" s="114" t="s">
        <v>76</v>
      </c>
      <c r="AO3" s="117" t="s">
        <v>117</v>
      </c>
      <c r="AP3" s="105"/>
    </row>
    <row r="4" ht="67.5" customHeight="1">
      <c r="A4" s="118"/>
      <c r="B4" s="177">
        <v>4.0</v>
      </c>
      <c r="C4" s="178" t="s">
        <v>173</v>
      </c>
      <c r="D4" s="178" t="s">
        <v>7</v>
      </c>
      <c r="E4" s="178" t="s">
        <v>119</v>
      </c>
      <c r="F4" s="179">
        <v>2.018011000241E12</v>
      </c>
      <c r="G4" s="180" t="s">
        <v>120</v>
      </c>
      <c r="H4" s="178" t="s">
        <v>144</v>
      </c>
      <c r="I4" s="178" t="s">
        <v>145</v>
      </c>
      <c r="J4" s="178" t="s">
        <v>146</v>
      </c>
      <c r="K4" s="181" t="s">
        <v>147</v>
      </c>
      <c r="L4" s="181" t="s">
        <v>125</v>
      </c>
      <c r="M4" s="181" t="s">
        <v>126</v>
      </c>
      <c r="N4" s="182" t="s">
        <v>174</v>
      </c>
      <c r="O4" s="183"/>
      <c r="P4" s="190">
        <v>22.0</v>
      </c>
      <c r="Q4" s="185" t="s">
        <v>175</v>
      </c>
      <c r="R4" s="186" t="s">
        <v>176</v>
      </c>
      <c r="S4" s="190">
        <v>4.0</v>
      </c>
      <c r="T4" s="190">
        <v>6.0</v>
      </c>
      <c r="U4" s="190">
        <v>6.0</v>
      </c>
      <c r="V4" s="190">
        <v>6.0</v>
      </c>
      <c r="W4" s="187" t="s">
        <v>7</v>
      </c>
      <c r="X4" s="180" t="s">
        <v>177</v>
      </c>
      <c r="Y4" s="178" t="s">
        <v>178</v>
      </c>
      <c r="Z4" s="180" t="s">
        <v>179</v>
      </c>
      <c r="AA4" s="178" t="s">
        <v>159</v>
      </c>
      <c r="AB4" s="178" t="s">
        <v>180</v>
      </c>
      <c r="AC4" s="178" t="s">
        <v>135</v>
      </c>
      <c r="AD4" s="178" t="s">
        <v>181</v>
      </c>
      <c r="AE4" s="178" t="s">
        <v>182</v>
      </c>
      <c r="AF4" s="188" t="s">
        <v>183</v>
      </c>
      <c r="AG4" s="191">
        <v>6.0</v>
      </c>
      <c r="AH4" s="139" t="s">
        <v>184</v>
      </c>
      <c r="AI4" s="204" t="s">
        <v>185</v>
      </c>
      <c r="AJ4" s="191">
        <v>22.0</v>
      </c>
      <c r="AK4" s="133" t="s">
        <v>186</v>
      </c>
      <c r="AL4" s="134">
        <f t="shared" ref="AL4:AL6" si="1">$AM$1</f>
        <v>44582</v>
      </c>
      <c r="AM4" s="135">
        <f t="shared" ref="AM4:AM6" si="2">AL4-$AN$1</f>
        <v>-132</v>
      </c>
      <c r="AN4" s="136" t="str">
        <f t="shared" ref="AN4:AN6" si="3">IF(ISBLANK(AG4),"Pend. Ejec. Trim."&amp;CHAR(10),)&amp;
IF(ISBLANK(AH4),"Pend. Just. Trim."&amp;CHAR(10),)&amp;
IF(ISBLANK(AI4),"Pend. Evid. Trim."&amp;CHAR(10),)&amp;
IF(ISBLANK(AJ4),"Pend. Ejec. Año"&amp;CHAR(10),)&amp;
IF(ISBLANK(AK4),"Pend. Evid. Año",)&amp;
IF(OR(ISBLANK(AG4),ISBLANK(AH4),ISBLANK(AI4),ISBLANK(AJ4),ISBLANK(AK4)),,"Reporte ok")</f>
        <v>Reporte ok</v>
      </c>
      <c r="AO4" s="137"/>
      <c r="AP4" s="138"/>
    </row>
    <row r="5" ht="67.5" customHeight="1">
      <c r="A5" s="118"/>
      <c r="B5" s="177">
        <v>5.0</v>
      </c>
      <c r="C5" s="178" t="s">
        <v>173</v>
      </c>
      <c r="D5" s="178" t="s">
        <v>7</v>
      </c>
      <c r="E5" s="178" t="s">
        <v>119</v>
      </c>
      <c r="F5" s="179">
        <v>2.018011000241E12</v>
      </c>
      <c r="G5" s="180" t="s">
        <v>120</v>
      </c>
      <c r="H5" s="178" t="s">
        <v>144</v>
      </c>
      <c r="I5" s="178" t="s">
        <v>145</v>
      </c>
      <c r="J5" s="178" t="s">
        <v>146</v>
      </c>
      <c r="K5" s="181" t="s">
        <v>147</v>
      </c>
      <c r="L5" s="181" t="s">
        <v>125</v>
      </c>
      <c r="M5" s="181" t="s">
        <v>148</v>
      </c>
      <c r="N5" s="182" t="s">
        <v>187</v>
      </c>
      <c r="O5" s="183"/>
      <c r="P5" s="184">
        <v>1.0</v>
      </c>
      <c r="Q5" s="185" t="s">
        <v>188</v>
      </c>
      <c r="R5" s="186" t="s">
        <v>176</v>
      </c>
      <c r="S5" s="184">
        <v>1.0</v>
      </c>
      <c r="T5" s="184">
        <v>1.0</v>
      </c>
      <c r="U5" s="184">
        <v>1.0</v>
      </c>
      <c r="V5" s="184">
        <v>1.0</v>
      </c>
      <c r="W5" s="187" t="s">
        <v>7</v>
      </c>
      <c r="X5" s="180" t="s">
        <v>177</v>
      </c>
      <c r="Y5" s="178" t="s">
        <v>178</v>
      </c>
      <c r="Z5" s="180" t="s">
        <v>179</v>
      </c>
      <c r="AA5" s="178" t="s">
        <v>159</v>
      </c>
      <c r="AB5" s="178" t="s">
        <v>180</v>
      </c>
      <c r="AC5" s="178" t="s">
        <v>135</v>
      </c>
      <c r="AD5" s="178" t="s">
        <v>181</v>
      </c>
      <c r="AE5" s="178" t="s">
        <v>182</v>
      </c>
      <c r="AF5" s="188" t="s">
        <v>183</v>
      </c>
      <c r="AG5" s="189">
        <v>1.0</v>
      </c>
      <c r="AH5" s="139" t="s">
        <v>189</v>
      </c>
      <c r="AI5" s="204" t="s">
        <v>190</v>
      </c>
      <c r="AJ5" s="189">
        <v>1.0</v>
      </c>
      <c r="AK5" s="133" t="s">
        <v>191</v>
      </c>
      <c r="AL5" s="134">
        <f t="shared" si="1"/>
        <v>44582</v>
      </c>
      <c r="AM5" s="135">
        <f t="shared" si="2"/>
        <v>-132</v>
      </c>
      <c r="AN5" s="136" t="str">
        <f t="shared" si="3"/>
        <v>Reporte ok</v>
      </c>
      <c r="AO5" s="137"/>
      <c r="AP5" s="138"/>
    </row>
    <row r="6" ht="67.5" customHeight="1">
      <c r="A6" s="118"/>
      <c r="B6" s="177">
        <v>6.0</v>
      </c>
      <c r="C6" s="178" t="s">
        <v>173</v>
      </c>
      <c r="D6" s="178" t="s">
        <v>7</v>
      </c>
      <c r="E6" s="178" t="s">
        <v>119</v>
      </c>
      <c r="F6" s="179">
        <v>2.018011000241E12</v>
      </c>
      <c r="G6" s="180" t="s">
        <v>120</v>
      </c>
      <c r="H6" s="178" t="s">
        <v>144</v>
      </c>
      <c r="I6" s="178" t="s">
        <v>145</v>
      </c>
      <c r="J6" s="178" t="s">
        <v>146</v>
      </c>
      <c r="K6" s="181" t="s">
        <v>147</v>
      </c>
      <c r="L6" s="181" t="s">
        <v>192</v>
      </c>
      <c r="M6" s="181" t="s">
        <v>126</v>
      </c>
      <c r="N6" s="182" t="s">
        <v>193</v>
      </c>
      <c r="O6" s="183"/>
      <c r="P6" s="190">
        <v>20.0</v>
      </c>
      <c r="Q6" s="185" t="s">
        <v>194</v>
      </c>
      <c r="R6" s="186" t="s">
        <v>176</v>
      </c>
      <c r="S6" s="190">
        <v>3.0</v>
      </c>
      <c r="T6" s="190">
        <v>6.0</v>
      </c>
      <c r="U6" s="190">
        <v>6.0</v>
      </c>
      <c r="V6" s="190">
        <v>5.0</v>
      </c>
      <c r="W6" s="187" t="s">
        <v>7</v>
      </c>
      <c r="X6" s="180" t="s">
        <v>177</v>
      </c>
      <c r="Y6" s="178" t="s">
        <v>178</v>
      </c>
      <c r="Z6" s="180" t="s">
        <v>179</v>
      </c>
      <c r="AA6" s="178" t="s">
        <v>159</v>
      </c>
      <c r="AB6" s="178" t="s">
        <v>180</v>
      </c>
      <c r="AC6" s="178" t="s">
        <v>135</v>
      </c>
      <c r="AD6" s="178" t="s">
        <v>181</v>
      </c>
      <c r="AE6" s="178" t="s">
        <v>182</v>
      </c>
      <c r="AF6" s="188" t="s">
        <v>183</v>
      </c>
      <c r="AG6" s="191">
        <v>5.0</v>
      </c>
      <c r="AH6" s="144" t="s">
        <v>195</v>
      </c>
      <c r="AI6" s="205" t="s">
        <v>196</v>
      </c>
      <c r="AJ6" s="191">
        <v>20.0</v>
      </c>
      <c r="AK6" s="133" t="s">
        <v>197</v>
      </c>
      <c r="AL6" s="134">
        <f t="shared" si="1"/>
        <v>44582</v>
      </c>
      <c r="AM6" s="135">
        <f t="shared" si="2"/>
        <v>-132</v>
      </c>
      <c r="AN6" s="136" t="str">
        <f t="shared" si="3"/>
        <v>Reporte ok</v>
      </c>
      <c r="AO6" s="137"/>
      <c r="AP6" s="138"/>
    </row>
    <row r="7" ht="67.5" customHeight="1">
      <c r="A7" s="118"/>
      <c r="B7" s="177">
        <v>7.0</v>
      </c>
      <c r="C7" s="178" t="s">
        <v>173</v>
      </c>
      <c r="D7" s="178" t="s">
        <v>7</v>
      </c>
      <c r="E7" s="178" t="s">
        <v>119</v>
      </c>
      <c r="F7" s="179">
        <v>2.018011000241E12</v>
      </c>
      <c r="G7" s="180" t="s">
        <v>120</v>
      </c>
      <c r="H7" s="178" t="s">
        <v>144</v>
      </c>
      <c r="I7" s="178" t="s">
        <v>145</v>
      </c>
      <c r="J7" s="178" t="s">
        <v>146</v>
      </c>
      <c r="K7" s="181" t="s">
        <v>147</v>
      </c>
      <c r="L7" s="181" t="s">
        <v>125</v>
      </c>
      <c r="M7" s="181" t="s">
        <v>126</v>
      </c>
      <c r="N7" s="182" t="s">
        <v>198</v>
      </c>
      <c r="O7" s="183"/>
      <c r="P7" s="190">
        <v>70.0</v>
      </c>
      <c r="Q7" s="185" t="s">
        <v>199</v>
      </c>
      <c r="R7" s="186" t="s">
        <v>170</v>
      </c>
      <c r="S7" s="190">
        <v>0.0</v>
      </c>
      <c r="T7" s="190">
        <v>20.0</v>
      </c>
      <c r="U7" s="190">
        <v>30.0</v>
      </c>
      <c r="V7" s="190">
        <v>20.0</v>
      </c>
      <c r="W7" s="187" t="s">
        <v>7</v>
      </c>
      <c r="X7" s="180" t="s">
        <v>177</v>
      </c>
      <c r="Y7" s="178" t="s">
        <v>178</v>
      </c>
      <c r="Z7" s="180" t="s">
        <v>179</v>
      </c>
      <c r="AA7" s="178" t="s">
        <v>159</v>
      </c>
      <c r="AB7" s="178" t="s">
        <v>180</v>
      </c>
      <c r="AC7" s="178" t="s">
        <v>135</v>
      </c>
      <c r="AD7" s="178" t="s">
        <v>181</v>
      </c>
      <c r="AE7" s="178" t="s">
        <v>182</v>
      </c>
      <c r="AF7" s="188" t="s">
        <v>183</v>
      </c>
      <c r="AG7" s="191">
        <v>20.0</v>
      </c>
      <c r="AH7" s="144" t="s">
        <v>200</v>
      </c>
      <c r="AI7" s="205" t="s">
        <v>201</v>
      </c>
      <c r="AJ7" s="191">
        <v>70.0</v>
      </c>
      <c r="AK7" s="133" t="s">
        <v>202</v>
      </c>
      <c r="AL7" s="134"/>
      <c r="AM7" s="135"/>
      <c r="AN7" s="136"/>
      <c r="AO7" s="137"/>
      <c r="AP7" s="138"/>
    </row>
    <row r="8" ht="67.5" customHeight="1">
      <c r="A8" s="118"/>
      <c r="B8" s="177">
        <v>8.0</v>
      </c>
      <c r="C8" s="178" t="s">
        <v>173</v>
      </c>
      <c r="D8" s="178" t="s">
        <v>7</v>
      </c>
      <c r="E8" s="178" t="s">
        <v>119</v>
      </c>
      <c r="F8" s="179">
        <v>2.018011000241E12</v>
      </c>
      <c r="G8" s="180" t="s">
        <v>120</v>
      </c>
      <c r="H8" s="178" t="s">
        <v>144</v>
      </c>
      <c r="I8" s="178" t="s">
        <v>145</v>
      </c>
      <c r="J8" s="178" t="s">
        <v>146</v>
      </c>
      <c r="K8" s="181" t="s">
        <v>147</v>
      </c>
      <c r="L8" s="181" t="s">
        <v>125</v>
      </c>
      <c r="M8" s="181" t="s">
        <v>126</v>
      </c>
      <c r="N8" s="182" t="s">
        <v>203</v>
      </c>
      <c r="O8" s="183"/>
      <c r="P8" s="190">
        <v>15.0</v>
      </c>
      <c r="Q8" s="185" t="s">
        <v>204</v>
      </c>
      <c r="R8" s="186" t="s">
        <v>157</v>
      </c>
      <c r="S8" s="190">
        <v>0.0</v>
      </c>
      <c r="T8" s="190">
        <v>3.0</v>
      </c>
      <c r="U8" s="190">
        <v>6.0</v>
      </c>
      <c r="V8" s="190">
        <v>6.0</v>
      </c>
      <c r="W8" s="187" t="s">
        <v>7</v>
      </c>
      <c r="X8" s="180" t="s">
        <v>177</v>
      </c>
      <c r="Y8" s="178" t="s">
        <v>178</v>
      </c>
      <c r="Z8" s="180" t="s">
        <v>179</v>
      </c>
      <c r="AA8" s="178" t="s">
        <v>159</v>
      </c>
      <c r="AB8" s="178" t="s">
        <v>180</v>
      </c>
      <c r="AC8" s="178" t="s">
        <v>135</v>
      </c>
      <c r="AD8" s="178" t="s">
        <v>181</v>
      </c>
      <c r="AE8" s="178" t="s">
        <v>205</v>
      </c>
      <c r="AF8" s="188" t="s">
        <v>183</v>
      </c>
      <c r="AG8" s="191">
        <v>6.0</v>
      </c>
      <c r="AH8" s="144" t="s">
        <v>206</v>
      </c>
      <c r="AI8" s="205" t="s">
        <v>207</v>
      </c>
      <c r="AJ8" s="191">
        <v>15.0</v>
      </c>
      <c r="AK8" s="133" t="s">
        <v>208</v>
      </c>
      <c r="AL8" s="134"/>
      <c r="AM8" s="135"/>
      <c r="AN8" s="136"/>
      <c r="AO8" s="137"/>
      <c r="AP8" s="138"/>
    </row>
    <row r="9" ht="67.5" customHeight="1">
      <c r="A9" s="118"/>
      <c r="B9" s="177">
        <v>9.0</v>
      </c>
      <c r="C9" s="178" t="s">
        <v>173</v>
      </c>
      <c r="D9" s="178" t="s">
        <v>7</v>
      </c>
      <c r="E9" s="178" t="s">
        <v>119</v>
      </c>
      <c r="F9" s="179">
        <v>2.018011000241E12</v>
      </c>
      <c r="G9" s="180" t="s">
        <v>120</v>
      </c>
      <c r="H9" s="178" t="s">
        <v>144</v>
      </c>
      <c r="I9" s="178" t="s">
        <v>145</v>
      </c>
      <c r="J9" s="178" t="s">
        <v>146</v>
      </c>
      <c r="K9" s="181" t="s">
        <v>147</v>
      </c>
      <c r="L9" s="181" t="s">
        <v>125</v>
      </c>
      <c r="M9" s="181" t="s">
        <v>126</v>
      </c>
      <c r="N9" s="182" t="s">
        <v>209</v>
      </c>
      <c r="O9" s="183"/>
      <c r="P9" s="190">
        <v>15.0</v>
      </c>
      <c r="Q9" s="185" t="s">
        <v>210</v>
      </c>
      <c r="R9" s="186" t="s">
        <v>170</v>
      </c>
      <c r="S9" s="190">
        <v>0.0</v>
      </c>
      <c r="T9" s="190">
        <v>4.0</v>
      </c>
      <c r="U9" s="190">
        <v>7.0</v>
      </c>
      <c r="V9" s="190">
        <v>4.0</v>
      </c>
      <c r="W9" s="187" t="s">
        <v>7</v>
      </c>
      <c r="X9" s="180" t="s">
        <v>177</v>
      </c>
      <c r="Y9" s="178" t="s">
        <v>178</v>
      </c>
      <c r="Z9" s="180" t="s">
        <v>179</v>
      </c>
      <c r="AA9" s="178" t="s">
        <v>159</v>
      </c>
      <c r="AB9" s="178" t="s">
        <v>180</v>
      </c>
      <c r="AC9" s="178" t="s">
        <v>135</v>
      </c>
      <c r="AD9" s="178" t="s">
        <v>181</v>
      </c>
      <c r="AE9" s="178" t="s">
        <v>182</v>
      </c>
      <c r="AF9" s="188" t="s">
        <v>183</v>
      </c>
      <c r="AG9" s="191">
        <v>4.0</v>
      </c>
      <c r="AH9" s="144" t="s">
        <v>211</v>
      </c>
      <c r="AI9" s="206" t="s">
        <v>212</v>
      </c>
      <c r="AJ9" s="191">
        <v>15.0</v>
      </c>
      <c r="AK9" s="133" t="s">
        <v>213</v>
      </c>
      <c r="AL9" s="134"/>
      <c r="AM9" s="135"/>
      <c r="AN9" s="136"/>
      <c r="AO9" s="137"/>
      <c r="AP9" s="138"/>
    </row>
    <row r="10" ht="67.5" customHeight="1">
      <c r="A10" s="118"/>
      <c r="B10" s="177">
        <v>10.0</v>
      </c>
      <c r="C10" s="178" t="s">
        <v>173</v>
      </c>
      <c r="D10" s="178" t="s">
        <v>7</v>
      </c>
      <c r="E10" s="178" t="s">
        <v>119</v>
      </c>
      <c r="F10" s="179">
        <v>2.018011000241E12</v>
      </c>
      <c r="G10" s="180" t="s">
        <v>120</v>
      </c>
      <c r="H10" s="178" t="s">
        <v>144</v>
      </c>
      <c r="I10" s="178" t="s">
        <v>145</v>
      </c>
      <c r="J10" s="178" t="s">
        <v>146</v>
      </c>
      <c r="K10" s="181" t="s">
        <v>147</v>
      </c>
      <c r="L10" s="181" t="s">
        <v>125</v>
      </c>
      <c r="M10" s="181" t="s">
        <v>126</v>
      </c>
      <c r="N10" s="182" t="s">
        <v>214</v>
      </c>
      <c r="O10" s="183"/>
      <c r="P10" s="190">
        <v>1.0</v>
      </c>
      <c r="Q10" s="185" t="s">
        <v>215</v>
      </c>
      <c r="R10" s="186" t="s">
        <v>157</v>
      </c>
      <c r="S10" s="190">
        <v>0.0</v>
      </c>
      <c r="T10" s="190">
        <v>1.0</v>
      </c>
      <c r="U10" s="190">
        <v>0.0</v>
      </c>
      <c r="V10" s="190">
        <v>0.0</v>
      </c>
      <c r="W10" s="187" t="s">
        <v>7</v>
      </c>
      <c r="X10" s="180" t="s">
        <v>177</v>
      </c>
      <c r="Y10" s="178" t="s">
        <v>178</v>
      </c>
      <c r="Z10" s="180" t="s">
        <v>179</v>
      </c>
      <c r="AA10" s="178" t="s">
        <v>159</v>
      </c>
      <c r="AB10" s="178" t="s">
        <v>160</v>
      </c>
      <c r="AC10" s="178" t="s">
        <v>135</v>
      </c>
      <c r="AD10" s="178" t="s">
        <v>181</v>
      </c>
      <c r="AE10" s="178" t="s">
        <v>182</v>
      </c>
      <c r="AF10" s="188" t="s">
        <v>183</v>
      </c>
      <c r="AG10" s="191">
        <v>0.0</v>
      </c>
      <c r="AH10" s="147"/>
      <c r="AI10" s="148"/>
      <c r="AJ10" s="191"/>
      <c r="AK10" s="133"/>
      <c r="AL10" s="134"/>
      <c r="AM10" s="135"/>
      <c r="AN10" s="136"/>
      <c r="AO10" s="137"/>
      <c r="AP10" s="138"/>
    </row>
    <row r="11" ht="67.5" customHeight="1">
      <c r="A11" s="118"/>
      <c r="B11" s="177">
        <v>11.0</v>
      </c>
      <c r="C11" s="178" t="s">
        <v>173</v>
      </c>
      <c r="D11" s="178" t="s">
        <v>7</v>
      </c>
      <c r="E11" s="178" t="s">
        <v>119</v>
      </c>
      <c r="F11" s="179">
        <v>2.018011000241E12</v>
      </c>
      <c r="G11" s="180" t="s">
        <v>120</v>
      </c>
      <c r="H11" s="178" t="s">
        <v>144</v>
      </c>
      <c r="I11" s="178" t="s">
        <v>145</v>
      </c>
      <c r="J11" s="178" t="s">
        <v>146</v>
      </c>
      <c r="K11" s="181" t="s">
        <v>147</v>
      </c>
      <c r="L11" s="181" t="s">
        <v>125</v>
      </c>
      <c r="M11" s="181" t="s">
        <v>148</v>
      </c>
      <c r="N11" s="182" t="s">
        <v>216</v>
      </c>
      <c r="O11" s="183"/>
      <c r="P11" s="184">
        <v>1.0</v>
      </c>
      <c r="Q11" s="185" t="s">
        <v>217</v>
      </c>
      <c r="R11" s="186" t="s">
        <v>157</v>
      </c>
      <c r="S11" s="184">
        <v>0.0</v>
      </c>
      <c r="T11" s="184">
        <v>0.0</v>
      </c>
      <c r="U11" s="184">
        <v>0.5</v>
      </c>
      <c r="V11" s="184">
        <v>0.5</v>
      </c>
      <c r="W11" s="187" t="s">
        <v>7</v>
      </c>
      <c r="X11" s="180" t="s">
        <v>177</v>
      </c>
      <c r="Y11" s="178" t="s">
        <v>178</v>
      </c>
      <c r="Z11" s="180" t="s">
        <v>179</v>
      </c>
      <c r="AA11" s="178" t="s">
        <v>159</v>
      </c>
      <c r="AB11" s="178" t="s">
        <v>160</v>
      </c>
      <c r="AC11" s="178" t="s">
        <v>135</v>
      </c>
      <c r="AD11" s="178" t="s">
        <v>181</v>
      </c>
      <c r="AE11" s="178" t="s">
        <v>182</v>
      </c>
      <c r="AF11" s="188" t="s">
        <v>183</v>
      </c>
      <c r="AG11" s="189">
        <v>0.5</v>
      </c>
      <c r="AH11" s="144" t="s">
        <v>218</v>
      </c>
      <c r="AI11" s="205" t="s">
        <v>219</v>
      </c>
      <c r="AJ11" s="189">
        <v>1.0</v>
      </c>
      <c r="AK11" s="133" t="s">
        <v>220</v>
      </c>
      <c r="AL11" s="134"/>
      <c r="AM11" s="135"/>
      <c r="AN11" s="136"/>
      <c r="AO11" s="137"/>
      <c r="AP11" s="138"/>
    </row>
    <row r="12" ht="67.5" customHeight="1">
      <c r="A12" s="118"/>
      <c r="B12" s="177"/>
      <c r="C12" s="178"/>
      <c r="D12" s="178"/>
      <c r="E12" s="178"/>
      <c r="F12" s="179"/>
      <c r="G12" s="180"/>
      <c r="H12" s="178"/>
      <c r="I12" s="178"/>
      <c r="J12" s="178"/>
      <c r="K12" s="181"/>
      <c r="L12" s="181"/>
      <c r="M12" s="181"/>
      <c r="N12" s="182"/>
      <c r="O12" s="183"/>
      <c r="P12" s="190"/>
      <c r="Q12" s="185"/>
      <c r="R12" s="186"/>
      <c r="S12" s="190"/>
      <c r="T12" s="190"/>
      <c r="U12" s="190"/>
      <c r="V12" s="190"/>
      <c r="W12" s="187"/>
      <c r="X12" s="180"/>
      <c r="Y12" s="178"/>
      <c r="Z12" s="180"/>
      <c r="AA12" s="178"/>
      <c r="AB12" s="178"/>
      <c r="AC12" s="178"/>
      <c r="AD12" s="178"/>
      <c r="AE12" s="178"/>
      <c r="AF12" s="188"/>
      <c r="AG12" s="146"/>
      <c r="AH12" s="147"/>
      <c r="AI12" s="148"/>
      <c r="AJ12" s="149"/>
      <c r="AK12" s="133"/>
      <c r="AL12" s="134"/>
      <c r="AM12" s="135"/>
      <c r="AN12" s="136"/>
      <c r="AO12" s="137"/>
      <c r="AP12" s="138"/>
    </row>
    <row r="13" ht="67.5" customHeight="1">
      <c r="A13" s="118"/>
      <c r="B13" s="177"/>
      <c r="C13" s="178"/>
      <c r="D13" s="178"/>
      <c r="E13" s="178"/>
      <c r="F13" s="179"/>
      <c r="G13" s="180"/>
      <c r="H13" s="178"/>
      <c r="I13" s="178"/>
      <c r="J13" s="178"/>
      <c r="K13" s="181"/>
      <c r="L13" s="181"/>
      <c r="M13" s="181"/>
      <c r="N13" s="182"/>
      <c r="O13" s="183"/>
      <c r="P13" s="190"/>
      <c r="Q13" s="185"/>
      <c r="R13" s="186"/>
      <c r="S13" s="190"/>
      <c r="T13" s="190"/>
      <c r="U13" s="190"/>
      <c r="V13" s="190"/>
      <c r="W13" s="187"/>
      <c r="X13" s="180"/>
      <c r="Y13" s="178"/>
      <c r="Z13" s="180"/>
      <c r="AA13" s="178"/>
      <c r="AB13" s="178"/>
      <c r="AC13" s="178"/>
      <c r="AD13" s="178"/>
      <c r="AE13" s="178"/>
      <c r="AF13" s="188"/>
      <c r="AG13" s="146"/>
      <c r="AH13" s="147"/>
      <c r="AI13" s="148"/>
      <c r="AJ13" s="149"/>
      <c r="AK13" s="133"/>
      <c r="AL13" s="134"/>
      <c r="AM13" s="135"/>
      <c r="AN13" s="136"/>
      <c r="AO13" s="137"/>
      <c r="AP13" s="138"/>
    </row>
    <row r="14" ht="67.5" customHeight="1">
      <c r="A14" s="118"/>
      <c r="B14" s="177"/>
      <c r="C14" s="178"/>
      <c r="D14" s="178"/>
      <c r="E14" s="178"/>
      <c r="F14" s="179"/>
      <c r="G14" s="180"/>
      <c r="H14" s="178"/>
      <c r="I14" s="178"/>
      <c r="J14" s="178"/>
      <c r="K14" s="181"/>
      <c r="L14" s="181"/>
      <c r="M14" s="181"/>
      <c r="N14" s="182"/>
      <c r="O14" s="183"/>
      <c r="P14" s="190"/>
      <c r="Q14" s="185"/>
      <c r="R14" s="186"/>
      <c r="S14" s="190"/>
      <c r="T14" s="190"/>
      <c r="U14" s="190"/>
      <c r="V14" s="190"/>
      <c r="W14" s="187"/>
      <c r="X14" s="180"/>
      <c r="Y14" s="178"/>
      <c r="Z14" s="180"/>
      <c r="AA14" s="178"/>
      <c r="AB14" s="178"/>
      <c r="AC14" s="178"/>
      <c r="AD14" s="178"/>
      <c r="AE14" s="178"/>
      <c r="AF14" s="188"/>
      <c r="AG14" s="146"/>
      <c r="AH14" s="147"/>
      <c r="AI14" s="148"/>
      <c r="AJ14" s="149"/>
      <c r="AK14" s="133"/>
      <c r="AL14" s="134"/>
      <c r="AM14" s="135"/>
      <c r="AN14" s="136"/>
      <c r="AO14" s="137"/>
      <c r="AP14" s="138"/>
    </row>
    <row r="15" ht="67.5" customHeight="1">
      <c r="A15" s="118"/>
      <c r="B15" s="177"/>
      <c r="C15" s="178"/>
      <c r="D15" s="178"/>
      <c r="E15" s="178"/>
      <c r="F15" s="179"/>
      <c r="G15" s="180"/>
      <c r="H15" s="178"/>
      <c r="I15" s="178"/>
      <c r="J15" s="178"/>
      <c r="K15" s="181"/>
      <c r="L15" s="181"/>
      <c r="M15" s="181"/>
      <c r="N15" s="182"/>
      <c r="O15" s="183"/>
      <c r="P15" s="190"/>
      <c r="Q15" s="185"/>
      <c r="R15" s="186"/>
      <c r="S15" s="190"/>
      <c r="T15" s="190"/>
      <c r="U15" s="190"/>
      <c r="V15" s="190"/>
      <c r="W15" s="187"/>
      <c r="X15" s="180"/>
      <c r="Y15" s="178"/>
      <c r="Z15" s="180"/>
      <c r="AA15" s="178"/>
      <c r="AB15" s="178"/>
      <c r="AC15" s="178"/>
      <c r="AD15" s="178"/>
      <c r="AE15" s="178"/>
      <c r="AF15" s="188"/>
      <c r="AG15" s="146"/>
      <c r="AH15" s="147"/>
      <c r="AI15" s="148"/>
      <c r="AJ15" s="149"/>
      <c r="AK15" s="133"/>
      <c r="AL15" s="134"/>
      <c r="AM15" s="135"/>
      <c r="AN15" s="136"/>
      <c r="AO15" s="137"/>
      <c r="AP15" s="138"/>
    </row>
    <row r="16" ht="67.5" customHeight="1">
      <c r="A16" s="118"/>
      <c r="B16" s="177"/>
      <c r="C16" s="178"/>
      <c r="D16" s="178"/>
      <c r="E16" s="178"/>
      <c r="F16" s="179"/>
      <c r="G16" s="180"/>
      <c r="H16" s="178"/>
      <c r="I16" s="178"/>
      <c r="J16" s="178"/>
      <c r="K16" s="181"/>
      <c r="L16" s="181"/>
      <c r="M16" s="181"/>
      <c r="N16" s="182"/>
      <c r="O16" s="183"/>
      <c r="P16" s="190"/>
      <c r="Q16" s="185"/>
      <c r="R16" s="186"/>
      <c r="S16" s="190"/>
      <c r="T16" s="190"/>
      <c r="U16" s="190"/>
      <c r="V16" s="190"/>
      <c r="W16" s="187"/>
      <c r="X16" s="180"/>
      <c r="Y16" s="178"/>
      <c r="Z16" s="180"/>
      <c r="AA16" s="178"/>
      <c r="AB16" s="178"/>
      <c r="AC16" s="178"/>
      <c r="AD16" s="178"/>
      <c r="AE16" s="178"/>
      <c r="AF16" s="188"/>
      <c r="AG16" s="146"/>
      <c r="AH16" s="147"/>
      <c r="AI16" s="148"/>
      <c r="AJ16" s="149"/>
      <c r="AK16" s="133"/>
      <c r="AL16" s="134"/>
      <c r="AM16" s="135"/>
      <c r="AN16" s="136"/>
      <c r="AO16" s="137"/>
      <c r="AP16" s="138"/>
    </row>
    <row r="17" ht="67.5" customHeight="1">
      <c r="A17" s="118"/>
      <c r="B17" s="192"/>
      <c r="C17" s="193"/>
      <c r="D17" s="193"/>
      <c r="E17" s="193"/>
      <c r="F17" s="194"/>
      <c r="G17" s="195"/>
      <c r="H17" s="193"/>
      <c r="I17" s="193"/>
      <c r="J17" s="193"/>
      <c r="K17" s="196"/>
      <c r="L17" s="196"/>
      <c r="M17" s="196"/>
      <c r="N17" s="197"/>
      <c r="O17" s="198"/>
      <c r="P17" s="199"/>
      <c r="Q17" s="200"/>
      <c r="R17" s="201"/>
      <c r="S17" s="199"/>
      <c r="T17" s="199"/>
      <c r="U17" s="199"/>
      <c r="V17" s="199"/>
      <c r="W17" s="202"/>
      <c r="X17" s="195"/>
      <c r="Y17" s="193"/>
      <c r="Z17" s="195"/>
      <c r="AA17" s="193"/>
      <c r="AB17" s="193"/>
      <c r="AC17" s="193"/>
      <c r="AD17" s="193"/>
      <c r="AE17" s="193"/>
      <c r="AF17" s="203"/>
      <c r="AG17" s="161"/>
      <c r="AH17" s="162"/>
      <c r="AI17" s="163"/>
      <c r="AJ17" s="164"/>
      <c r="AK17" s="165"/>
      <c r="AL17" s="166"/>
      <c r="AM17" s="167"/>
      <c r="AN17" s="168"/>
      <c r="AO17" s="169"/>
      <c r="AP17" s="138"/>
    </row>
    <row r="18" ht="15.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170"/>
      <c r="AH18" s="170"/>
      <c r="AI18" s="170"/>
      <c r="AJ18" s="88"/>
      <c r="AK18" s="88"/>
      <c r="AL18" s="88"/>
      <c r="AM18" s="88"/>
      <c r="AN18" s="88"/>
      <c r="AO18" s="88"/>
      <c r="AP18" s="88"/>
    </row>
  </sheetData>
  <autoFilter ref="$A$3:$AP$11"/>
  <mergeCells count="4">
    <mergeCell ref="B1:C1"/>
    <mergeCell ref="AG2:AI2"/>
    <mergeCell ref="AJ2:AK2"/>
    <mergeCell ref="AL2:AO2"/>
  </mergeCells>
  <conditionalFormatting sqref="AK4:AK17 AM4:AM17">
    <cfRule type="cellIs" dxfId="2" priority="1" operator="greaterThan">
      <formula>0</formula>
    </cfRule>
  </conditionalFormatting>
  <conditionalFormatting sqref="AK4:AK17 AM4:AM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AJ4:AJ17">
      <formula1>0.0</formula1>
      <formula2>5000000.0</formula2>
    </dataValidation>
  </dataValidations>
  <hyperlinks>
    <hyperlink display="Home" location="Home!A1" ref="B1"/>
    <hyperlink r:id="rId1" ref="AI4"/>
    <hyperlink r:id="rId2" ref="AI5"/>
    <hyperlink r:id="rId3" ref="AI6"/>
    <hyperlink r:id="rId4" ref="AI7"/>
    <hyperlink r:id="rId5" ref="AI8"/>
    <hyperlink r:id="rId6" ref="AI9"/>
    <hyperlink r:id="rId7" ref="AI11"/>
  </hyperlinks>
  <printOptions gridLines="1" horizontalCentered="1"/>
  <pageMargins bottom="0.75" footer="0.0" header="0.0" left="0.7" right="0.7" top="0.75"/>
  <pageSetup cellComments="atEnd" orientation="portrait" pageOrder="overThenDown"/>
  <drawing r:id="rId8"/>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21" width="15.75"/>
    <col customWidth="1" min="22" max="22" width="15.75"/>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4" width="21.0"/>
    <col customWidth="1" min="35" max="35" width="22.88"/>
    <col customWidth="1" min="36" max="36" width="21.75"/>
    <col customWidth="1" min="37" max="37" width="20.25"/>
    <col customWidth="1" min="38" max="38" width="15.75"/>
    <col customWidth="1" min="39" max="39" width="15.63"/>
    <col customWidth="1" min="40" max="40" width="16.38"/>
    <col customWidth="1" min="41" max="41" width="18.25"/>
    <col customWidth="1" min="42" max="42" width="3.88"/>
  </cols>
  <sheetData>
    <row r="1" ht="33.75" customHeight="1">
      <c r="A1" s="85"/>
      <c r="B1" s="86" t="s">
        <v>108</v>
      </c>
      <c r="C1" s="87"/>
      <c r="D1" s="88"/>
      <c r="E1" s="89"/>
      <c r="F1" s="90"/>
      <c r="G1" s="90"/>
      <c r="H1" s="90"/>
      <c r="I1" s="90"/>
      <c r="J1" s="90"/>
      <c r="K1" s="90"/>
      <c r="L1" s="90"/>
      <c r="M1" s="90"/>
      <c r="N1" s="90"/>
      <c r="O1" s="90"/>
      <c r="P1" s="90"/>
      <c r="Q1" s="90"/>
      <c r="R1" s="90"/>
      <c r="S1" s="90"/>
      <c r="T1" s="90"/>
      <c r="U1" s="90"/>
      <c r="V1" s="90"/>
      <c r="W1" s="90"/>
      <c r="X1" s="90"/>
      <c r="Y1" s="90"/>
      <c r="Z1" s="90"/>
      <c r="AA1" s="90"/>
      <c r="AB1" s="90"/>
      <c r="AC1" s="90"/>
      <c r="AD1" s="90"/>
      <c r="AE1" s="90"/>
      <c r="AF1" s="88"/>
      <c r="AG1" s="91" t="s">
        <v>109</v>
      </c>
      <c r="AH1" s="207">
        <v>1.0</v>
      </c>
      <c r="AI1" s="93" t="s">
        <v>110</v>
      </c>
      <c r="AJ1" s="94"/>
      <c r="AK1" s="95"/>
      <c r="AL1" s="96">
        <v>43466.0</v>
      </c>
      <c r="AM1" s="97">
        <f>Alertas!B6</f>
        <v>44582</v>
      </c>
      <c r="AN1" s="96">
        <f>TODAY()-1</f>
        <v>44714</v>
      </c>
      <c r="AO1" s="93"/>
      <c r="AP1" s="93"/>
    </row>
    <row r="2" ht="33.75" customHeight="1">
      <c r="A2" s="85"/>
      <c r="B2" s="88"/>
      <c r="C2" s="98"/>
      <c r="D2" s="99"/>
      <c r="E2" s="88"/>
      <c r="F2" s="100"/>
      <c r="G2" s="88"/>
      <c r="H2" s="88"/>
      <c r="I2" s="88"/>
      <c r="J2" s="88"/>
      <c r="K2" s="88"/>
      <c r="L2" s="88"/>
      <c r="M2" s="88"/>
      <c r="N2" s="88"/>
      <c r="O2" s="88"/>
      <c r="P2" s="88"/>
      <c r="Q2" s="88"/>
      <c r="R2" s="88"/>
      <c r="S2" s="88"/>
      <c r="T2" s="88"/>
      <c r="U2" s="88"/>
      <c r="V2" s="88"/>
      <c r="W2" s="88"/>
      <c r="X2" s="88"/>
      <c r="Y2" s="88"/>
      <c r="Z2" s="88"/>
      <c r="AA2" s="88"/>
      <c r="AB2" s="88"/>
      <c r="AC2" s="88"/>
      <c r="AD2" s="88"/>
      <c r="AE2" s="88"/>
      <c r="AF2" s="17"/>
      <c r="AG2" s="101" t="s">
        <v>111</v>
      </c>
      <c r="AH2" s="102"/>
      <c r="AI2" s="103"/>
      <c r="AJ2" s="104" t="s">
        <v>112</v>
      </c>
      <c r="AK2" s="103"/>
      <c r="AL2" s="104" t="s">
        <v>113</v>
      </c>
      <c r="AM2" s="102"/>
      <c r="AN2" s="102"/>
      <c r="AO2" s="103"/>
      <c r="AP2" s="105"/>
    </row>
    <row r="3" ht="33.75" customHeight="1">
      <c r="A3" s="106"/>
      <c r="B3" s="171" t="s">
        <v>40</v>
      </c>
      <c r="C3" s="172" t="s">
        <v>41</v>
      </c>
      <c r="D3" s="173" t="s">
        <v>42</v>
      </c>
      <c r="E3" s="173" t="s">
        <v>43</v>
      </c>
      <c r="F3" s="174" t="s">
        <v>44</v>
      </c>
      <c r="G3" s="175" t="s">
        <v>45</v>
      </c>
      <c r="H3" s="173" t="s">
        <v>46</v>
      </c>
      <c r="I3" s="175" t="s">
        <v>47</v>
      </c>
      <c r="J3" s="175" t="s">
        <v>48</v>
      </c>
      <c r="K3" s="175" t="s">
        <v>49</v>
      </c>
      <c r="L3" s="175" t="s">
        <v>50</v>
      </c>
      <c r="M3" s="173" t="s">
        <v>51</v>
      </c>
      <c r="N3" s="173" t="s">
        <v>52</v>
      </c>
      <c r="O3" s="175" t="s">
        <v>53</v>
      </c>
      <c r="P3" s="175" t="s">
        <v>54</v>
      </c>
      <c r="Q3" s="173" t="s">
        <v>55</v>
      </c>
      <c r="R3" s="173" t="s">
        <v>56</v>
      </c>
      <c r="S3" s="175" t="s">
        <v>57</v>
      </c>
      <c r="T3" s="175" t="s">
        <v>58</v>
      </c>
      <c r="U3" s="175" t="s">
        <v>59</v>
      </c>
      <c r="V3" s="175" t="s">
        <v>60</v>
      </c>
      <c r="W3" s="173" t="s">
        <v>61</v>
      </c>
      <c r="X3" s="172" t="s">
        <v>62</v>
      </c>
      <c r="Y3" s="172" t="s">
        <v>63</v>
      </c>
      <c r="Z3" s="172" t="s">
        <v>64</v>
      </c>
      <c r="AA3" s="172" t="s">
        <v>65</v>
      </c>
      <c r="AB3" s="172" t="s">
        <v>66</v>
      </c>
      <c r="AC3" s="172" t="s">
        <v>67</v>
      </c>
      <c r="AD3" s="172" t="s">
        <v>68</v>
      </c>
      <c r="AE3" s="172" t="s">
        <v>69</v>
      </c>
      <c r="AF3" s="176" t="s">
        <v>70</v>
      </c>
      <c r="AG3" s="113" t="s">
        <v>71</v>
      </c>
      <c r="AH3" s="208" t="s">
        <v>72</v>
      </c>
      <c r="AI3" s="115" t="s">
        <v>73</v>
      </c>
      <c r="AJ3" s="116" t="s">
        <v>114</v>
      </c>
      <c r="AK3" s="117" t="s">
        <v>115</v>
      </c>
      <c r="AL3" s="113" t="s">
        <v>74</v>
      </c>
      <c r="AM3" s="114" t="s">
        <v>116</v>
      </c>
      <c r="AN3" s="114" t="s">
        <v>76</v>
      </c>
      <c r="AO3" s="117" t="s">
        <v>117</v>
      </c>
      <c r="AP3" s="105"/>
    </row>
    <row r="4" ht="67.5" customHeight="1">
      <c r="A4" s="118"/>
      <c r="B4" s="177">
        <v>15.0</v>
      </c>
      <c r="C4" s="178" t="s">
        <v>221</v>
      </c>
      <c r="D4" s="178" t="s">
        <v>10</v>
      </c>
      <c r="E4" s="178" t="s">
        <v>119</v>
      </c>
      <c r="F4" s="179">
        <v>2.018011000241E12</v>
      </c>
      <c r="G4" s="180" t="s">
        <v>120</v>
      </c>
      <c r="H4" s="178" t="s">
        <v>144</v>
      </c>
      <c r="I4" s="178" t="s">
        <v>145</v>
      </c>
      <c r="J4" s="178" t="s">
        <v>146</v>
      </c>
      <c r="K4" s="181" t="s">
        <v>147</v>
      </c>
      <c r="L4" s="181" t="s">
        <v>222</v>
      </c>
      <c r="M4" s="181" t="s">
        <v>148</v>
      </c>
      <c r="N4" s="182" t="s">
        <v>223</v>
      </c>
      <c r="O4" s="183"/>
      <c r="P4" s="184">
        <v>1.0</v>
      </c>
      <c r="Q4" s="185" t="s">
        <v>224</v>
      </c>
      <c r="R4" s="186" t="s">
        <v>170</v>
      </c>
      <c r="S4" s="184">
        <v>1.0</v>
      </c>
      <c r="T4" s="184">
        <v>1.0</v>
      </c>
      <c r="U4" s="184">
        <v>1.0</v>
      </c>
      <c r="V4" s="184">
        <v>1.0</v>
      </c>
      <c r="W4" s="187" t="s">
        <v>10</v>
      </c>
      <c r="X4" s="180" t="s">
        <v>225</v>
      </c>
      <c r="Y4" s="178" t="s">
        <v>226</v>
      </c>
      <c r="Z4" s="180" t="s">
        <v>227</v>
      </c>
      <c r="AA4" s="178" t="s">
        <v>159</v>
      </c>
      <c r="AB4" s="178" t="s">
        <v>180</v>
      </c>
      <c r="AC4" s="178" t="s">
        <v>135</v>
      </c>
      <c r="AD4" s="178" t="s">
        <v>228</v>
      </c>
      <c r="AE4" s="178" t="s">
        <v>228</v>
      </c>
      <c r="AF4" s="188" t="s">
        <v>138</v>
      </c>
      <c r="AG4" s="189">
        <v>1.0</v>
      </c>
      <c r="AH4" s="209" t="s">
        <v>229</v>
      </c>
      <c r="AI4" s="210" t="s">
        <v>230</v>
      </c>
      <c r="AJ4" s="189">
        <v>1.0</v>
      </c>
      <c r="AK4" s="211" t="s">
        <v>231</v>
      </c>
      <c r="AL4" s="134">
        <f t="shared" ref="AL4:AL6" si="1">$AM$1</f>
        <v>44582</v>
      </c>
      <c r="AM4" s="135">
        <f t="shared" ref="AM4:AM6" si="2">AL4-$AN$1</f>
        <v>-132</v>
      </c>
      <c r="AN4" s="136" t="str">
        <f t="shared" ref="AN4:AN6" si="3">IF(ISBLANK(AG4),"Pend. Ejec. Trim."&amp;CHAR(10),)&amp;
IF(ISBLANK(AH4),"Pend. Just. Trim."&amp;CHAR(10),)&amp;
IF(ISBLANK(AI4),"Pend. Evid. Trim."&amp;CHAR(10),)&amp;
IF(ISBLANK(AJ4),"Pend. Ejec. Año"&amp;CHAR(10),)&amp;
IF(ISBLANK(AK4),"Pend. Evid. Año",)&amp;
IF(OR(ISBLANK(AG4),ISBLANK(AH4),ISBLANK(AI4),ISBLANK(AJ4),ISBLANK(AK4)),,"Reporte ok")</f>
        <v>Reporte ok</v>
      </c>
      <c r="AO4" s="137"/>
      <c r="AP4" s="138"/>
    </row>
    <row r="5" ht="67.5" customHeight="1">
      <c r="A5" s="118"/>
      <c r="B5" s="177">
        <v>16.0</v>
      </c>
      <c r="C5" s="178" t="s">
        <v>221</v>
      </c>
      <c r="D5" s="178" t="s">
        <v>10</v>
      </c>
      <c r="E5" s="178" t="s">
        <v>119</v>
      </c>
      <c r="F5" s="179">
        <v>2.018011000241E12</v>
      </c>
      <c r="G5" s="180" t="s">
        <v>120</v>
      </c>
      <c r="H5" s="178" t="s">
        <v>144</v>
      </c>
      <c r="I5" s="178" t="s">
        <v>145</v>
      </c>
      <c r="J5" s="178" t="s">
        <v>146</v>
      </c>
      <c r="K5" s="181" t="s">
        <v>147</v>
      </c>
      <c r="L5" s="181" t="s">
        <v>222</v>
      </c>
      <c r="M5" s="181" t="s">
        <v>148</v>
      </c>
      <c r="N5" s="182" t="s">
        <v>232</v>
      </c>
      <c r="O5" s="183"/>
      <c r="P5" s="184">
        <v>1.0</v>
      </c>
      <c r="Q5" s="185" t="s">
        <v>233</v>
      </c>
      <c r="R5" s="186" t="s">
        <v>170</v>
      </c>
      <c r="S5" s="184">
        <v>1.0</v>
      </c>
      <c r="T5" s="184">
        <v>1.0</v>
      </c>
      <c r="U5" s="184">
        <v>1.0</v>
      </c>
      <c r="V5" s="184">
        <v>1.0</v>
      </c>
      <c r="W5" s="187" t="s">
        <v>10</v>
      </c>
      <c r="X5" s="180" t="s">
        <v>225</v>
      </c>
      <c r="Y5" s="178" t="s">
        <v>226</v>
      </c>
      <c r="Z5" s="180" t="s">
        <v>227</v>
      </c>
      <c r="AA5" s="178" t="s">
        <v>159</v>
      </c>
      <c r="AB5" s="178" t="s">
        <v>180</v>
      </c>
      <c r="AC5" s="178" t="s">
        <v>135</v>
      </c>
      <c r="AD5" s="178" t="s">
        <v>228</v>
      </c>
      <c r="AE5" s="178" t="s">
        <v>228</v>
      </c>
      <c r="AF5" s="188" t="s">
        <v>138</v>
      </c>
      <c r="AG5" s="189">
        <v>1.0</v>
      </c>
      <c r="AH5" s="212" t="s">
        <v>234</v>
      </c>
      <c r="AI5" s="210" t="s">
        <v>230</v>
      </c>
      <c r="AJ5" s="189">
        <v>1.0</v>
      </c>
      <c r="AK5" s="211" t="s">
        <v>235</v>
      </c>
      <c r="AL5" s="134">
        <f t="shared" si="1"/>
        <v>44582</v>
      </c>
      <c r="AM5" s="135">
        <f t="shared" si="2"/>
        <v>-132</v>
      </c>
      <c r="AN5" s="136" t="str">
        <f t="shared" si="3"/>
        <v>Reporte ok</v>
      </c>
      <c r="AO5" s="137"/>
      <c r="AP5" s="138"/>
    </row>
    <row r="6" ht="67.5" customHeight="1">
      <c r="A6" s="118"/>
      <c r="B6" s="177">
        <v>17.0</v>
      </c>
      <c r="C6" s="178" t="s">
        <v>221</v>
      </c>
      <c r="D6" s="178" t="s">
        <v>10</v>
      </c>
      <c r="E6" s="178" t="s">
        <v>119</v>
      </c>
      <c r="F6" s="179">
        <v>2.018011000241E12</v>
      </c>
      <c r="G6" s="180" t="s">
        <v>120</v>
      </c>
      <c r="H6" s="178" t="s">
        <v>144</v>
      </c>
      <c r="I6" s="178" t="s">
        <v>145</v>
      </c>
      <c r="J6" s="178" t="s">
        <v>146</v>
      </c>
      <c r="K6" s="181" t="s">
        <v>147</v>
      </c>
      <c r="L6" s="181" t="s">
        <v>222</v>
      </c>
      <c r="M6" s="181" t="s">
        <v>148</v>
      </c>
      <c r="N6" s="182" t="s">
        <v>236</v>
      </c>
      <c r="O6" s="183"/>
      <c r="P6" s="184">
        <v>1.0</v>
      </c>
      <c r="Q6" s="185" t="s">
        <v>237</v>
      </c>
      <c r="R6" s="186" t="s">
        <v>170</v>
      </c>
      <c r="S6" s="184">
        <v>1.0</v>
      </c>
      <c r="T6" s="184">
        <v>1.0</v>
      </c>
      <c r="U6" s="184">
        <v>1.0</v>
      </c>
      <c r="V6" s="184">
        <v>1.0</v>
      </c>
      <c r="W6" s="187" t="s">
        <v>10</v>
      </c>
      <c r="X6" s="180" t="s">
        <v>225</v>
      </c>
      <c r="Y6" s="178" t="s">
        <v>226</v>
      </c>
      <c r="Z6" s="180" t="s">
        <v>227</v>
      </c>
      <c r="AA6" s="178" t="s">
        <v>159</v>
      </c>
      <c r="AB6" s="178" t="s">
        <v>180</v>
      </c>
      <c r="AC6" s="178" t="s">
        <v>135</v>
      </c>
      <c r="AD6" s="178" t="s">
        <v>228</v>
      </c>
      <c r="AE6" s="178" t="s">
        <v>228</v>
      </c>
      <c r="AF6" s="188" t="s">
        <v>138</v>
      </c>
      <c r="AG6" s="189">
        <v>1.0</v>
      </c>
      <c r="AH6" s="213" t="s">
        <v>238</v>
      </c>
      <c r="AI6" s="214" t="s">
        <v>230</v>
      </c>
      <c r="AJ6" s="189">
        <v>1.0</v>
      </c>
      <c r="AK6" s="211" t="s">
        <v>239</v>
      </c>
      <c r="AL6" s="134">
        <f t="shared" si="1"/>
        <v>44582</v>
      </c>
      <c r="AM6" s="135">
        <f t="shared" si="2"/>
        <v>-132</v>
      </c>
      <c r="AN6" s="136" t="str">
        <f t="shared" si="3"/>
        <v>Reporte ok</v>
      </c>
      <c r="AO6" s="137"/>
      <c r="AP6" s="138"/>
    </row>
    <row r="7" ht="67.5" customHeight="1">
      <c r="A7" s="118"/>
      <c r="B7" s="177">
        <v>18.0</v>
      </c>
      <c r="C7" s="178" t="s">
        <v>221</v>
      </c>
      <c r="D7" s="178" t="s">
        <v>10</v>
      </c>
      <c r="E7" s="178" t="s">
        <v>119</v>
      </c>
      <c r="F7" s="179">
        <v>2.018011000241E12</v>
      </c>
      <c r="G7" s="180" t="s">
        <v>120</v>
      </c>
      <c r="H7" s="178" t="s">
        <v>144</v>
      </c>
      <c r="I7" s="178" t="s">
        <v>145</v>
      </c>
      <c r="J7" s="178" t="s">
        <v>146</v>
      </c>
      <c r="K7" s="181" t="s">
        <v>147</v>
      </c>
      <c r="L7" s="181" t="s">
        <v>222</v>
      </c>
      <c r="M7" s="181" t="s">
        <v>148</v>
      </c>
      <c r="N7" s="182" t="s">
        <v>240</v>
      </c>
      <c r="O7" s="183"/>
      <c r="P7" s="184">
        <v>1.0</v>
      </c>
      <c r="Q7" s="185" t="s">
        <v>241</v>
      </c>
      <c r="R7" s="186" t="s">
        <v>170</v>
      </c>
      <c r="S7" s="184">
        <v>1.0</v>
      </c>
      <c r="T7" s="184">
        <v>1.0</v>
      </c>
      <c r="U7" s="184">
        <v>1.0</v>
      </c>
      <c r="V7" s="184">
        <v>1.0</v>
      </c>
      <c r="W7" s="187" t="s">
        <v>10</v>
      </c>
      <c r="X7" s="180" t="s">
        <v>225</v>
      </c>
      <c r="Y7" s="178" t="s">
        <v>226</v>
      </c>
      <c r="Z7" s="180" t="s">
        <v>227</v>
      </c>
      <c r="AA7" s="178" t="s">
        <v>159</v>
      </c>
      <c r="AB7" s="178" t="s">
        <v>180</v>
      </c>
      <c r="AC7" s="178" t="s">
        <v>135</v>
      </c>
      <c r="AD7" s="178" t="s">
        <v>228</v>
      </c>
      <c r="AE7" s="178" t="s">
        <v>228</v>
      </c>
      <c r="AF7" s="188" t="s">
        <v>138</v>
      </c>
      <c r="AG7" s="189">
        <v>1.0</v>
      </c>
      <c r="AH7" s="213" t="s">
        <v>242</v>
      </c>
      <c r="AI7" s="214" t="s">
        <v>230</v>
      </c>
      <c r="AJ7" s="189">
        <v>1.0</v>
      </c>
      <c r="AK7" s="211" t="s">
        <v>243</v>
      </c>
      <c r="AL7" s="134"/>
      <c r="AM7" s="135"/>
      <c r="AN7" s="136"/>
      <c r="AO7" s="137"/>
      <c r="AP7" s="138"/>
    </row>
    <row r="8" ht="67.5" customHeight="1">
      <c r="A8" s="118"/>
      <c r="B8" s="177">
        <v>19.0</v>
      </c>
      <c r="C8" s="178" t="s">
        <v>221</v>
      </c>
      <c r="D8" s="178" t="s">
        <v>10</v>
      </c>
      <c r="E8" s="178" t="s">
        <v>119</v>
      </c>
      <c r="F8" s="179">
        <v>2.018011000241E12</v>
      </c>
      <c r="G8" s="180" t="s">
        <v>120</v>
      </c>
      <c r="H8" s="178" t="s">
        <v>144</v>
      </c>
      <c r="I8" s="178" t="s">
        <v>145</v>
      </c>
      <c r="J8" s="178" t="s">
        <v>146</v>
      </c>
      <c r="K8" s="181" t="s">
        <v>147</v>
      </c>
      <c r="L8" s="181" t="s">
        <v>222</v>
      </c>
      <c r="M8" s="181" t="s">
        <v>148</v>
      </c>
      <c r="N8" s="182" t="s">
        <v>244</v>
      </c>
      <c r="O8" s="183"/>
      <c r="P8" s="184">
        <v>1.0</v>
      </c>
      <c r="Q8" s="185" t="s">
        <v>245</v>
      </c>
      <c r="R8" s="186" t="s">
        <v>170</v>
      </c>
      <c r="S8" s="184">
        <v>1.0</v>
      </c>
      <c r="T8" s="184">
        <v>1.0</v>
      </c>
      <c r="U8" s="184">
        <v>1.0</v>
      </c>
      <c r="V8" s="184">
        <v>1.0</v>
      </c>
      <c r="W8" s="187" t="s">
        <v>10</v>
      </c>
      <c r="X8" s="180" t="s">
        <v>225</v>
      </c>
      <c r="Y8" s="178" t="s">
        <v>226</v>
      </c>
      <c r="Z8" s="180" t="s">
        <v>227</v>
      </c>
      <c r="AA8" s="178" t="s">
        <v>159</v>
      </c>
      <c r="AB8" s="178" t="s">
        <v>180</v>
      </c>
      <c r="AC8" s="178" t="s">
        <v>135</v>
      </c>
      <c r="AD8" s="178" t="s">
        <v>228</v>
      </c>
      <c r="AE8" s="178" t="s">
        <v>228</v>
      </c>
      <c r="AF8" s="188" t="s">
        <v>138</v>
      </c>
      <c r="AG8" s="189">
        <v>1.0</v>
      </c>
      <c r="AH8" s="215" t="s">
        <v>246</v>
      </c>
      <c r="AI8" s="214" t="s">
        <v>230</v>
      </c>
      <c r="AJ8" s="189">
        <v>1.0</v>
      </c>
      <c r="AK8" s="211" t="s">
        <v>247</v>
      </c>
      <c r="AL8" s="134"/>
      <c r="AM8" s="135"/>
      <c r="AN8" s="136"/>
      <c r="AO8" s="137"/>
      <c r="AP8" s="138"/>
    </row>
    <row r="9" ht="67.5" customHeight="1">
      <c r="A9" s="118"/>
      <c r="B9" s="177">
        <v>20.0</v>
      </c>
      <c r="C9" s="178" t="s">
        <v>221</v>
      </c>
      <c r="D9" s="178" t="s">
        <v>10</v>
      </c>
      <c r="E9" s="178" t="s">
        <v>119</v>
      </c>
      <c r="F9" s="179">
        <v>2.018011000241E12</v>
      </c>
      <c r="G9" s="180" t="s">
        <v>120</v>
      </c>
      <c r="H9" s="178" t="s">
        <v>144</v>
      </c>
      <c r="I9" s="178" t="s">
        <v>145</v>
      </c>
      <c r="J9" s="178" t="s">
        <v>146</v>
      </c>
      <c r="K9" s="181" t="s">
        <v>147</v>
      </c>
      <c r="L9" s="181" t="s">
        <v>222</v>
      </c>
      <c r="M9" s="181" t="s">
        <v>148</v>
      </c>
      <c r="N9" s="182" t="s">
        <v>248</v>
      </c>
      <c r="O9" s="183"/>
      <c r="P9" s="184">
        <v>1.0</v>
      </c>
      <c r="Q9" s="185" t="s">
        <v>249</v>
      </c>
      <c r="R9" s="186" t="s">
        <v>170</v>
      </c>
      <c r="S9" s="184">
        <v>1.0</v>
      </c>
      <c r="T9" s="184">
        <v>1.0</v>
      </c>
      <c r="U9" s="184">
        <v>1.0</v>
      </c>
      <c r="V9" s="184">
        <v>1.0</v>
      </c>
      <c r="W9" s="187" t="s">
        <v>10</v>
      </c>
      <c r="X9" s="180" t="s">
        <v>225</v>
      </c>
      <c r="Y9" s="178" t="s">
        <v>226</v>
      </c>
      <c r="Z9" s="180" t="s">
        <v>227</v>
      </c>
      <c r="AA9" s="178" t="s">
        <v>159</v>
      </c>
      <c r="AB9" s="178" t="s">
        <v>180</v>
      </c>
      <c r="AC9" s="178" t="s">
        <v>135</v>
      </c>
      <c r="AD9" s="178" t="s">
        <v>228</v>
      </c>
      <c r="AE9" s="178" t="s">
        <v>228</v>
      </c>
      <c r="AF9" s="188" t="s">
        <v>138</v>
      </c>
      <c r="AG9" s="189">
        <v>1.0</v>
      </c>
      <c r="AH9" s="216" t="s">
        <v>250</v>
      </c>
      <c r="AI9" s="214" t="s">
        <v>230</v>
      </c>
      <c r="AJ9" s="189">
        <v>1.0</v>
      </c>
      <c r="AK9" s="211" t="s">
        <v>251</v>
      </c>
      <c r="AL9" s="134"/>
      <c r="AM9" s="135"/>
      <c r="AN9" s="136"/>
      <c r="AO9" s="137"/>
      <c r="AP9" s="138"/>
    </row>
    <row r="10" ht="67.5" customHeight="1">
      <c r="A10" s="118"/>
      <c r="B10" s="177">
        <v>21.0</v>
      </c>
      <c r="C10" s="178" t="s">
        <v>221</v>
      </c>
      <c r="D10" s="178" t="s">
        <v>10</v>
      </c>
      <c r="E10" s="178" t="s">
        <v>119</v>
      </c>
      <c r="F10" s="179">
        <v>2.018011000241E12</v>
      </c>
      <c r="G10" s="180" t="s">
        <v>120</v>
      </c>
      <c r="H10" s="178" t="s">
        <v>144</v>
      </c>
      <c r="I10" s="178" t="s">
        <v>145</v>
      </c>
      <c r="J10" s="178" t="s">
        <v>146</v>
      </c>
      <c r="K10" s="181" t="s">
        <v>147</v>
      </c>
      <c r="L10" s="181" t="s">
        <v>222</v>
      </c>
      <c r="M10" s="181" t="s">
        <v>148</v>
      </c>
      <c r="N10" s="182" t="s">
        <v>252</v>
      </c>
      <c r="O10" s="183"/>
      <c r="P10" s="184">
        <v>1.0</v>
      </c>
      <c r="Q10" s="185" t="s">
        <v>253</v>
      </c>
      <c r="R10" s="186" t="s">
        <v>170</v>
      </c>
      <c r="S10" s="184">
        <v>1.0</v>
      </c>
      <c r="T10" s="184">
        <v>1.0</v>
      </c>
      <c r="U10" s="184">
        <v>1.0</v>
      </c>
      <c r="V10" s="184">
        <v>1.0</v>
      </c>
      <c r="W10" s="187" t="s">
        <v>10</v>
      </c>
      <c r="X10" s="180" t="s">
        <v>225</v>
      </c>
      <c r="Y10" s="178" t="s">
        <v>226</v>
      </c>
      <c r="Z10" s="180" t="s">
        <v>227</v>
      </c>
      <c r="AA10" s="178" t="s">
        <v>159</v>
      </c>
      <c r="AB10" s="178" t="s">
        <v>180</v>
      </c>
      <c r="AC10" s="178" t="s">
        <v>135</v>
      </c>
      <c r="AD10" s="178" t="s">
        <v>228</v>
      </c>
      <c r="AE10" s="178" t="s">
        <v>228</v>
      </c>
      <c r="AF10" s="188" t="s">
        <v>138</v>
      </c>
      <c r="AG10" s="189">
        <v>0.41</v>
      </c>
      <c r="AH10" s="217" t="s">
        <v>254</v>
      </c>
      <c r="AI10" s="214" t="s">
        <v>230</v>
      </c>
      <c r="AJ10" s="189">
        <v>0.82</v>
      </c>
      <c r="AK10" s="211" t="s">
        <v>255</v>
      </c>
      <c r="AL10" s="134"/>
      <c r="AM10" s="135"/>
      <c r="AN10" s="136"/>
      <c r="AO10" s="137"/>
      <c r="AP10" s="138"/>
    </row>
    <row r="11" ht="67.5" customHeight="1">
      <c r="A11" s="118"/>
      <c r="B11" s="177"/>
      <c r="C11" s="178"/>
      <c r="D11" s="178"/>
      <c r="E11" s="178"/>
      <c r="F11" s="179"/>
      <c r="G11" s="180"/>
      <c r="H11" s="178"/>
      <c r="I11" s="178"/>
      <c r="J11" s="178"/>
      <c r="K11" s="181"/>
      <c r="L11" s="181"/>
      <c r="M11" s="181"/>
      <c r="N11" s="182"/>
      <c r="O11" s="183"/>
      <c r="P11" s="190"/>
      <c r="Q11" s="185"/>
      <c r="R11" s="186"/>
      <c r="S11" s="190"/>
      <c r="T11" s="190"/>
      <c r="U11" s="190"/>
      <c r="V11" s="190"/>
      <c r="W11" s="187"/>
      <c r="X11" s="180"/>
      <c r="Y11" s="178"/>
      <c r="Z11" s="180"/>
      <c r="AA11" s="178"/>
      <c r="AB11" s="178"/>
      <c r="AC11" s="178"/>
      <c r="AD11" s="178"/>
      <c r="AE11" s="178"/>
      <c r="AF11" s="188"/>
      <c r="AG11" s="146"/>
      <c r="AH11" s="218"/>
      <c r="AI11" s="148"/>
      <c r="AJ11" s="149"/>
      <c r="AK11" s="133"/>
      <c r="AL11" s="134"/>
      <c r="AM11" s="135"/>
      <c r="AN11" s="136"/>
      <c r="AO11" s="137"/>
      <c r="AP11" s="138"/>
    </row>
    <row r="12" ht="67.5" customHeight="1">
      <c r="A12" s="118"/>
      <c r="B12" s="177"/>
      <c r="C12" s="178"/>
      <c r="D12" s="178"/>
      <c r="E12" s="178"/>
      <c r="F12" s="179"/>
      <c r="G12" s="180"/>
      <c r="H12" s="178"/>
      <c r="I12" s="178"/>
      <c r="J12" s="178"/>
      <c r="K12" s="181"/>
      <c r="L12" s="181"/>
      <c r="M12" s="181"/>
      <c r="N12" s="182"/>
      <c r="O12" s="183"/>
      <c r="P12" s="190"/>
      <c r="Q12" s="185"/>
      <c r="R12" s="186"/>
      <c r="S12" s="190"/>
      <c r="T12" s="190"/>
      <c r="U12" s="190"/>
      <c r="V12" s="190"/>
      <c r="W12" s="187"/>
      <c r="X12" s="180"/>
      <c r="Y12" s="178"/>
      <c r="Z12" s="180"/>
      <c r="AA12" s="178"/>
      <c r="AB12" s="178"/>
      <c r="AC12" s="178"/>
      <c r="AD12" s="178"/>
      <c r="AE12" s="178"/>
      <c r="AF12" s="188"/>
      <c r="AG12" s="146"/>
      <c r="AH12" s="218"/>
      <c r="AI12" s="148"/>
      <c r="AJ12" s="149"/>
      <c r="AK12" s="133"/>
      <c r="AL12" s="134"/>
      <c r="AM12" s="135"/>
      <c r="AN12" s="136"/>
      <c r="AO12" s="137"/>
      <c r="AP12" s="138"/>
    </row>
    <row r="13" ht="67.5" customHeight="1">
      <c r="A13" s="118"/>
      <c r="B13" s="177"/>
      <c r="C13" s="178"/>
      <c r="D13" s="178"/>
      <c r="E13" s="178"/>
      <c r="F13" s="179"/>
      <c r="G13" s="180"/>
      <c r="H13" s="178"/>
      <c r="I13" s="178"/>
      <c r="J13" s="178"/>
      <c r="K13" s="181"/>
      <c r="L13" s="181"/>
      <c r="M13" s="181"/>
      <c r="N13" s="182"/>
      <c r="O13" s="183"/>
      <c r="P13" s="190"/>
      <c r="Q13" s="185"/>
      <c r="R13" s="186"/>
      <c r="S13" s="190"/>
      <c r="T13" s="190"/>
      <c r="U13" s="190"/>
      <c r="V13" s="190"/>
      <c r="W13" s="187"/>
      <c r="X13" s="180"/>
      <c r="Y13" s="178"/>
      <c r="Z13" s="180"/>
      <c r="AA13" s="178"/>
      <c r="AB13" s="178"/>
      <c r="AC13" s="178"/>
      <c r="AD13" s="178"/>
      <c r="AE13" s="178"/>
      <c r="AF13" s="188"/>
      <c r="AG13" s="146"/>
      <c r="AH13" s="218"/>
      <c r="AI13" s="148"/>
      <c r="AJ13" s="149"/>
      <c r="AK13" s="133"/>
      <c r="AL13" s="134"/>
      <c r="AM13" s="135"/>
      <c r="AN13" s="136"/>
      <c r="AO13" s="137"/>
      <c r="AP13" s="138"/>
    </row>
    <row r="14" ht="67.5" customHeight="1">
      <c r="A14" s="118"/>
      <c r="B14" s="177"/>
      <c r="C14" s="178"/>
      <c r="D14" s="178"/>
      <c r="E14" s="178"/>
      <c r="F14" s="179"/>
      <c r="G14" s="180"/>
      <c r="H14" s="178"/>
      <c r="I14" s="178"/>
      <c r="J14" s="178"/>
      <c r="K14" s="181"/>
      <c r="L14" s="181"/>
      <c r="M14" s="181"/>
      <c r="N14" s="182"/>
      <c r="O14" s="183"/>
      <c r="P14" s="190"/>
      <c r="Q14" s="185"/>
      <c r="R14" s="186"/>
      <c r="S14" s="190"/>
      <c r="T14" s="190"/>
      <c r="U14" s="190"/>
      <c r="V14" s="190"/>
      <c r="W14" s="187"/>
      <c r="X14" s="180"/>
      <c r="Y14" s="178"/>
      <c r="Z14" s="180"/>
      <c r="AA14" s="178"/>
      <c r="AB14" s="178"/>
      <c r="AC14" s="178"/>
      <c r="AD14" s="178"/>
      <c r="AE14" s="178"/>
      <c r="AF14" s="188"/>
      <c r="AG14" s="146"/>
      <c r="AH14" s="218"/>
      <c r="AI14" s="148"/>
      <c r="AJ14" s="149"/>
      <c r="AK14" s="133"/>
      <c r="AL14" s="134"/>
      <c r="AM14" s="135"/>
      <c r="AN14" s="136"/>
      <c r="AO14" s="137"/>
      <c r="AP14" s="138"/>
    </row>
    <row r="15" ht="67.5" customHeight="1">
      <c r="A15" s="118"/>
      <c r="B15" s="177"/>
      <c r="C15" s="178"/>
      <c r="D15" s="178"/>
      <c r="E15" s="178"/>
      <c r="F15" s="179"/>
      <c r="G15" s="180"/>
      <c r="H15" s="178"/>
      <c r="I15" s="178"/>
      <c r="J15" s="178"/>
      <c r="K15" s="181"/>
      <c r="L15" s="181"/>
      <c r="M15" s="181"/>
      <c r="N15" s="182"/>
      <c r="O15" s="183"/>
      <c r="P15" s="190"/>
      <c r="Q15" s="185"/>
      <c r="R15" s="186"/>
      <c r="S15" s="190"/>
      <c r="T15" s="190"/>
      <c r="U15" s="190"/>
      <c r="V15" s="190"/>
      <c r="W15" s="187"/>
      <c r="X15" s="180"/>
      <c r="Y15" s="178"/>
      <c r="Z15" s="180"/>
      <c r="AA15" s="178"/>
      <c r="AB15" s="178"/>
      <c r="AC15" s="178"/>
      <c r="AD15" s="178"/>
      <c r="AE15" s="178"/>
      <c r="AF15" s="188"/>
      <c r="AG15" s="146"/>
      <c r="AH15" s="218"/>
      <c r="AI15" s="148"/>
      <c r="AJ15" s="149"/>
      <c r="AK15" s="133"/>
      <c r="AL15" s="134"/>
      <c r="AM15" s="135"/>
      <c r="AN15" s="136"/>
      <c r="AO15" s="137"/>
      <c r="AP15" s="138"/>
    </row>
    <row r="16" ht="67.5" customHeight="1">
      <c r="A16" s="118"/>
      <c r="B16" s="177"/>
      <c r="C16" s="178"/>
      <c r="D16" s="178"/>
      <c r="E16" s="178"/>
      <c r="F16" s="179"/>
      <c r="G16" s="180"/>
      <c r="H16" s="178"/>
      <c r="I16" s="178"/>
      <c r="J16" s="178"/>
      <c r="K16" s="181"/>
      <c r="L16" s="181"/>
      <c r="M16" s="181"/>
      <c r="N16" s="182"/>
      <c r="O16" s="183"/>
      <c r="P16" s="190"/>
      <c r="Q16" s="185"/>
      <c r="R16" s="186"/>
      <c r="S16" s="190"/>
      <c r="T16" s="190"/>
      <c r="U16" s="190"/>
      <c r="V16" s="190"/>
      <c r="W16" s="187"/>
      <c r="X16" s="180"/>
      <c r="Y16" s="178"/>
      <c r="Z16" s="180"/>
      <c r="AA16" s="178"/>
      <c r="AB16" s="178"/>
      <c r="AC16" s="178"/>
      <c r="AD16" s="178"/>
      <c r="AE16" s="178"/>
      <c r="AF16" s="188"/>
      <c r="AG16" s="146"/>
      <c r="AH16" s="218"/>
      <c r="AI16" s="148"/>
      <c r="AJ16" s="149"/>
      <c r="AK16" s="133"/>
      <c r="AL16" s="134"/>
      <c r="AM16" s="135"/>
      <c r="AN16" s="136"/>
      <c r="AO16" s="137"/>
      <c r="AP16" s="138"/>
    </row>
    <row r="17" ht="67.5" customHeight="1">
      <c r="A17" s="118"/>
      <c r="B17" s="192"/>
      <c r="C17" s="193"/>
      <c r="D17" s="193"/>
      <c r="E17" s="193"/>
      <c r="F17" s="194"/>
      <c r="G17" s="195"/>
      <c r="H17" s="193"/>
      <c r="I17" s="193"/>
      <c r="J17" s="193"/>
      <c r="K17" s="196"/>
      <c r="L17" s="196"/>
      <c r="M17" s="196"/>
      <c r="N17" s="197"/>
      <c r="O17" s="198"/>
      <c r="P17" s="199"/>
      <c r="Q17" s="200"/>
      <c r="R17" s="201"/>
      <c r="S17" s="199"/>
      <c r="T17" s="199"/>
      <c r="U17" s="199"/>
      <c r="V17" s="199"/>
      <c r="W17" s="202"/>
      <c r="X17" s="195"/>
      <c r="Y17" s="193"/>
      <c r="Z17" s="195"/>
      <c r="AA17" s="193"/>
      <c r="AB17" s="193"/>
      <c r="AC17" s="193"/>
      <c r="AD17" s="193"/>
      <c r="AE17" s="193"/>
      <c r="AF17" s="203"/>
      <c r="AG17" s="161"/>
      <c r="AH17" s="219"/>
      <c r="AI17" s="163"/>
      <c r="AJ17" s="164"/>
      <c r="AK17" s="165"/>
      <c r="AL17" s="166"/>
      <c r="AM17" s="167"/>
      <c r="AN17" s="168"/>
      <c r="AO17" s="169"/>
      <c r="AP17" s="138"/>
    </row>
    <row r="18" ht="15.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170"/>
      <c r="AH18" s="220"/>
      <c r="AI18" s="170"/>
      <c r="AJ18" s="88"/>
      <c r="AK18" s="88"/>
      <c r="AL18" s="88"/>
      <c r="AM18" s="88"/>
      <c r="AN18" s="88"/>
      <c r="AO18" s="88"/>
      <c r="AP18" s="88"/>
    </row>
  </sheetData>
  <autoFilter ref="$A$3:$AP$10"/>
  <mergeCells count="4">
    <mergeCell ref="B1:C1"/>
    <mergeCell ref="AG2:AI2"/>
    <mergeCell ref="AJ2:AK2"/>
    <mergeCell ref="AL2:AO2"/>
  </mergeCells>
  <conditionalFormatting sqref="AK4:AK17 AM4:AM17">
    <cfRule type="cellIs" dxfId="2" priority="1" operator="greaterThan">
      <formula>0</formula>
    </cfRule>
  </conditionalFormatting>
  <conditionalFormatting sqref="AK4:AK17 AM4:AM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AJ4:AJ17">
      <formula1>0.0</formula1>
      <formula2>5000000.0</formula2>
    </dataValidation>
  </dataValidations>
  <hyperlinks>
    <hyperlink display="Home" location="Home!A1" ref="B1"/>
    <hyperlink r:id="rId1" ref="AI4"/>
    <hyperlink r:id="rId2" ref="AK4"/>
    <hyperlink r:id="rId3" ref="AI5"/>
    <hyperlink r:id="rId4" ref="AK5"/>
    <hyperlink r:id="rId5" ref="AI6"/>
    <hyperlink r:id="rId6" ref="AK6"/>
    <hyperlink r:id="rId7" ref="AI7"/>
    <hyperlink r:id="rId8" ref="AK7"/>
    <hyperlink r:id="rId9" ref="AI8"/>
    <hyperlink r:id="rId10" ref="AK8"/>
    <hyperlink r:id="rId11" ref="AI9"/>
    <hyperlink r:id="rId12" ref="AK9"/>
    <hyperlink r:id="rId13" ref="AI10"/>
    <hyperlink r:id="rId14" ref="AK10"/>
  </hyperlinks>
  <printOptions gridLines="1" horizontalCentered="1"/>
  <pageMargins bottom="0.75" footer="0.0" header="0.0" left="0.7" right="0.7" top="0.75"/>
  <pageSetup cellComments="atEnd" orientation="portrait" pageOrder="overThenDown"/>
  <drawing r:id="rId15"/>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6.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hidden="1" min="19" max="21" width="15.75"/>
    <col customWidth="1" min="22" max="22" width="15.75"/>
    <col customWidth="1" min="23" max="23" width="17.25"/>
    <col customWidth="1" min="24" max="24" width="26.5"/>
    <col customWidth="1" min="25" max="25" width="23.63"/>
    <col customWidth="1" min="26" max="26" width="27.88"/>
    <col customWidth="1" min="27" max="27" width="26.63"/>
    <col customWidth="1" min="28" max="28" width="18.75"/>
    <col customWidth="1" min="29" max="29" width="31.88"/>
    <col customWidth="1" min="30" max="30" width="22.63"/>
    <col customWidth="1" min="31" max="31" width="29.13"/>
    <col customWidth="1" min="32" max="32" width="27.13"/>
    <col customWidth="1" min="33" max="34" width="21.0"/>
    <col customWidth="1" min="35" max="35" width="22.88"/>
    <col customWidth="1" min="36" max="36" width="21.75"/>
    <col customWidth="1" min="37" max="37" width="20.25"/>
    <col customWidth="1" min="38" max="38" width="15.75"/>
    <col customWidth="1" min="39" max="39" width="15.63"/>
    <col customWidth="1" min="40" max="40" width="16.38"/>
    <col customWidth="1" min="41" max="41" width="18.25"/>
    <col customWidth="1" min="42" max="42" width="3.88"/>
  </cols>
  <sheetData>
    <row r="1" ht="33.75" customHeight="1">
      <c r="A1" s="85"/>
      <c r="B1" s="86" t="s">
        <v>108</v>
      </c>
      <c r="C1" s="87"/>
      <c r="D1" s="88"/>
      <c r="E1" s="89"/>
      <c r="F1" s="90"/>
      <c r="G1" s="90"/>
      <c r="H1" s="90"/>
      <c r="I1" s="90"/>
      <c r="J1" s="90"/>
      <c r="K1" s="90"/>
      <c r="L1" s="90"/>
      <c r="M1" s="90"/>
      <c r="N1" s="90"/>
      <c r="O1" s="90"/>
      <c r="P1" s="90"/>
      <c r="Q1" s="90"/>
      <c r="R1" s="90"/>
      <c r="S1" s="90"/>
      <c r="T1" s="90"/>
      <c r="U1" s="90"/>
      <c r="V1" s="90"/>
      <c r="W1" s="90"/>
      <c r="X1" s="90"/>
      <c r="Y1" s="90"/>
      <c r="Z1" s="90"/>
      <c r="AA1" s="90"/>
      <c r="AB1" s="90"/>
      <c r="AC1" s="90"/>
      <c r="AD1" s="90"/>
      <c r="AE1" s="90"/>
      <c r="AF1" s="88"/>
      <c r="AG1" s="91" t="s">
        <v>109</v>
      </c>
      <c r="AH1" s="92">
        <v>1.0</v>
      </c>
      <c r="AI1" s="93" t="s">
        <v>110</v>
      </c>
      <c r="AJ1" s="94"/>
      <c r="AK1" s="95"/>
      <c r="AL1" s="96">
        <v>43466.0</v>
      </c>
      <c r="AM1" s="97">
        <f>Alertas!B6</f>
        <v>44582</v>
      </c>
      <c r="AN1" s="96">
        <f>TODAY()-1</f>
        <v>44714</v>
      </c>
      <c r="AO1" s="93"/>
      <c r="AP1" s="93"/>
    </row>
    <row r="2" ht="33.75" customHeight="1">
      <c r="A2" s="85"/>
      <c r="B2" s="88"/>
      <c r="C2" s="98"/>
      <c r="D2" s="99"/>
      <c r="E2" s="88"/>
      <c r="F2" s="100"/>
      <c r="G2" s="88"/>
      <c r="H2" s="88"/>
      <c r="I2" s="88"/>
      <c r="J2" s="88"/>
      <c r="K2" s="88"/>
      <c r="L2" s="88"/>
      <c r="M2" s="88"/>
      <c r="N2" s="88"/>
      <c r="O2" s="88"/>
      <c r="P2" s="88"/>
      <c r="Q2" s="88"/>
      <c r="R2" s="88"/>
      <c r="S2" s="88"/>
      <c r="T2" s="88"/>
      <c r="U2" s="88"/>
      <c r="V2" s="88"/>
      <c r="W2" s="88"/>
      <c r="X2" s="88"/>
      <c r="Y2" s="88"/>
      <c r="Z2" s="88"/>
      <c r="AA2" s="88"/>
      <c r="AB2" s="88"/>
      <c r="AC2" s="88"/>
      <c r="AD2" s="88"/>
      <c r="AE2" s="88"/>
      <c r="AF2" s="17"/>
      <c r="AG2" s="101" t="s">
        <v>111</v>
      </c>
      <c r="AH2" s="102"/>
      <c r="AI2" s="103"/>
      <c r="AJ2" s="104" t="s">
        <v>112</v>
      </c>
      <c r="AK2" s="103"/>
      <c r="AL2" s="104" t="s">
        <v>113</v>
      </c>
      <c r="AM2" s="102"/>
      <c r="AN2" s="102"/>
      <c r="AO2" s="103"/>
      <c r="AP2" s="105"/>
    </row>
    <row r="3" ht="33.75" customHeight="1">
      <c r="A3" s="106"/>
      <c r="B3" s="171" t="s">
        <v>40</v>
      </c>
      <c r="C3" s="172" t="s">
        <v>41</v>
      </c>
      <c r="D3" s="173" t="s">
        <v>42</v>
      </c>
      <c r="E3" s="173" t="s">
        <v>43</v>
      </c>
      <c r="F3" s="174" t="s">
        <v>44</v>
      </c>
      <c r="G3" s="175" t="s">
        <v>45</v>
      </c>
      <c r="H3" s="173" t="s">
        <v>46</v>
      </c>
      <c r="I3" s="175" t="s">
        <v>47</v>
      </c>
      <c r="J3" s="175" t="s">
        <v>48</v>
      </c>
      <c r="K3" s="175" t="s">
        <v>49</v>
      </c>
      <c r="L3" s="175" t="s">
        <v>50</v>
      </c>
      <c r="M3" s="173" t="s">
        <v>51</v>
      </c>
      <c r="N3" s="173" t="s">
        <v>52</v>
      </c>
      <c r="O3" s="175" t="s">
        <v>53</v>
      </c>
      <c r="P3" s="175" t="s">
        <v>54</v>
      </c>
      <c r="Q3" s="173" t="s">
        <v>55</v>
      </c>
      <c r="R3" s="173" t="s">
        <v>56</v>
      </c>
      <c r="S3" s="175" t="s">
        <v>57</v>
      </c>
      <c r="T3" s="175" t="s">
        <v>58</v>
      </c>
      <c r="U3" s="175" t="s">
        <v>59</v>
      </c>
      <c r="V3" s="175" t="s">
        <v>60</v>
      </c>
      <c r="W3" s="173" t="s">
        <v>61</v>
      </c>
      <c r="X3" s="172" t="s">
        <v>62</v>
      </c>
      <c r="Y3" s="172" t="s">
        <v>63</v>
      </c>
      <c r="Z3" s="172" t="s">
        <v>64</v>
      </c>
      <c r="AA3" s="172" t="s">
        <v>65</v>
      </c>
      <c r="AB3" s="172" t="s">
        <v>66</v>
      </c>
      <c r="AC3" s="172" t="s">
        <v>67</v>
      </c>
      <c r="AD3" s="172" t="s">
        <v>68</v>
      </c>
      <c r="AE3" s="172" t="s">
        <v>69</v>
      </c>
      <c r="AF3" s="176" t="s">
        <v>70</v>
      </c>
      <c r="AG3" s="113" t="s">
        <v>71</v>
      </c>
      <c r="AH3" s="114" t="s">
        <v>72</v>
      </c>
      <c r="AI3" s="115" t="s">
        <v>73</v>
      </c>
      <c r="AJ3" s="116" t="s">
        <v>114</v>
      </c>
      <c r="AK3" s="117" t="s">
        <v>115</v>
      </c>
      <c r="AL3" s="113" t="s">
        <v>74</v>
      </c>
      <c r="AM3" s="114" t="s">
        <v>116</v>
      </c>
      <c r="AN3" s="114" t="s">
        <v>76</v>
      </c>
      <c r="AO3" s="117" t="s">
        <v>117</v>
      </c>
      <c r="AP3" s="105"/>
    </row>
    <row r="4" ht="67.5" customHeight="1">
      <c r="A4" s="118"/>
      <c r="B4" s="177">
        <v>22.0</v>
      </c>
      <c r="C4" s="178" t="s">
        <v>256</v>
      </c>
      <c r="D4" s="178" t="s">
        <v>257</v>
      </c>
      <c r="E4" s="178" t="s">
        <v>119</v>
      </c>
      <c r="F4" s="179">
        <v>2.018011000241E12</v>
      </c>
      <c r="G4" s="180" t="s">
        <v>120</v>
      </c>
      <c r="H4" s="178" t="s">
        <v>144</v>
      </c>
      <c r="I4" s="178" t="s">
        <v>145</v>
      </c>
      <c r="J4" s="178" t="s">
        <v>258</v>
      </c>
      <c r="K4" s="181" t="s">
        <v>147</v>
      </c>
      <c r="L4" s="181" t="s">
        <v>259</v>
      </c>
      <c r="M4" s="181" t="s">
        <v>148</v>
      </c>
      <c r="N4" s="182" t="s">
        <v>260</v>
      </c>
      <c r="O4" s="183"/>
      <c r="P4" s="184">
        <v>1.0</v>
      </c>
      <c r="Q4" s="185" t="s">
        <v>261</v>
      </c>
      <c r="R4" s="186" t="s">
        <v>157</v>
      </c>
      <c r="S4" s="184">
        <v>0.0</v>
      </c>
      <c r="T4" s="184">
        <v>0.4</v>
      </c>
      <c r="U4" s="184">
        <v>0.0</v>
      </c>
      <c r="V4" s="184">
        <v>0.6</v>
      </c>
      <c r="W4" s="187" t="s">
        <v>262</v>
      </c>
      <c r="X4" s="180" t="s">
        <v>263</v>
      </c>
      <c r="Y4" s="178" t="s">
        <v>264</v>
      </c>
      <c r="Z4" s="180" t="s">
        <v>265</v>
      </c>
      <c r="AA4" s="178" t="s">
        <v>266</v>
      </c>
      <c r="AB4" s="178" t="s">
        <v>160</v>
      </c>
      <c r="AC4" s="178" t="s">
        <v>135</v>
      </c>
      <c r="AD4" s="178" t="s">
        <v>257</v>
      </c>
      <c r="AE4" s="178" t="s">
        <v>257</v>
      </c>
      <c r="AF4" s="188" t="s">
        <v>138</v>
      </c>
      <c r="AG4" s="189">
        <v>0.6</v>
      </c>
      <c r="AH4" s="221" t="s">
        <v>267</v>
      </c>
      <c r="AI4" s="210" t="s">
        <v>268</v>
      </c>
      <c r="AJ4" s="189">
        <v>1.0</v>
      </c>
      <c r="AK4" s="221" t="s">
        <v>267</v>
      </c>
      <c r="AL4" s="134">
        <f t="shared" ref="AL4:AL6" si="1">$AM$1</f>
        <v>44582</v>
      </c>
      <c r="AM4" s="135">
        <f t="shared" ref="AM4:AM6" si="2">AL4-$AN$1</f>
        <v>-132</v>
      </c>
      <c r="AN4" s="136" t="str">
        <f t="shared" ref="AN4:AN6" si="3">IF(ISBLANK(AG4),"Pend. Ejec. Trim."&amp;CHAR(10),)&amp;
IF(ISBLANK(AH4),"Pend. Just. Trim."&amp;CHAR(10),)&amp;
IF(ISBLANK(AI4),"Pend. Evid. Trim."&amp;CHAR(10),)&amp;
IF(ISBLANK(AJ4),"Pend. Ejec. Año"&amp;CHAR(10),)&amp;
IF(ISBLANK(AK4),"Pend. Evid. Año",)&amp;
IF(OR(ISBLANK(AG4),ISBLANK(AH4),ISBLANK(AI4),ISBLANK(AJ4),ISBLANK(AK4)),,"Reporte ok")</f>
        <v>Reporte ok</v>
      </c>
      <c r="AO4" s="137"/>
      <c r="AP4" s="138"/>
    </row>
    <row r="5" ht="67.5" customHeight="1">
      <c r="A5" s="118"/>
      <c r="B5" s="177"/>
      <c r="C5" s="178"/>
      <c r="D5" s="178"/>
      <c r="E5" s="178"/>
      <c r="F5" s="179"/>
      <c r="G5" s="180"/>
      <c r="H5" s="178"/>
      <c r="I5" s="178"/>
      <c r="J5" s="178"/>
      <c r="K5" s="181"/>
      <c r="L5" s="181"/>
      <c r="M5" s="181"/>
      <c r="N5" s="182"/>
      <c r="O5" s="183"/>
      <c r="P5" s="190"/>
      <c r="Q5" s="185"/>
      <c r="R5" s="186"/>
      <c r="S5" s="190"/>
      <c r="T5" s="190"/>
      <c r="U5" s="190"/>
      <c r="V5" s="190"/>
      <c r="W5" s="187"/>
      <c r="X5" s="180"/>
      <c r="Y5" s="178"/>
      <c r="Z5" s="180"/>
      <c r="AA5" s="178"/>
      <c r="AB5" s="178"/>
      <c r="AC5" s="178"/>
      <c r="AD5" s="178"/>
      <c r="AE5" s="178"/>
      <c r="AF5" s="188"/>
      <c r="AG5" s="222"/>
      <c r="AH5" s="131"/>
      <c r="AI5" s="132"/>
      <c r="AJ5" s="223"/>
      <c r="AK5" s="133"/>
      <c r="AL5" s="134">
        <f t="shared" si="1"/>
        <v>44582</v>
      </c>
      <c r="AM5" s="135">
        <f t="shared" si="2"/>
        <v>-132</v>
      </c>
      <c r="AN5" s="136" t="str">
        <f t="shared" si="3"/>
        <v>Pend. Ejec. Trim.
Pend. Just. Trim.
Pend. Evid. Trim.
Pend. Ejec. Año
Pend. Evid. Año</v>
      </c>
      <c r="AO5" s="137"/>
      <c r="AP5" s="138"/>
    </row>
    <row r="6" ht="67.5" customHeight="1">
      <c r="A6" s="118"/>
      <c r="B6" s="177"/>
      <c r="C6" s="178"/>
      <c r="D6" s="178"/>
      <c r="E6" s="178"/>
      <c r="F6" s="179"/>
      <c r="G6" s="180"/>
      <c r="H6" s="178"/>
      <c r="I6" s="178"/>
      <c r="J6" s="178"/>
      <c r="K6" s="181"/>
      <c r="L6" s="181"/>
      <c r="M6" s="181"/>
      <c r="N6" s="182"/>
      <c r="O6" s="183"/>
      <c r="P6" s="190"/>
      <c r="Q6" s="185"/>
      <c r="R6" s="186"/>
      <c r="S6" s="190"/>
      <c r="T6" s="190"/>
      <c r="U6" s="190"/>
      <c r="V6" s="190"/>
      <c r="W6" s="187"/>
      <c r="X6" s="180"/>
      <c r="Y6" s="178"/>
      <c r="Z6" s="180"/>
      <c r="AA6" s="178"/>
      <c r="AB6" s="178"/>
      <c r="AC6" s="178"/>
      <c r="AD6" s="178"/>
      <c r="AE6" s="178"/>
      <c r="AF6" s="188"/>
      <c r="AG6" s="146"/>
      <c r="AH6" s="147"/>
      <c r="AI6" s="148"/>
      <c r="AJ6" s="149"/>
      <c r="AK6" s="133"/>
      <c r="AL6" s="134">
        <f t="shared" si="1"/>
        <v>44582</v>
      </c>
      <c r="AM6" s="135">
        <f t="shared" si="2"/>
        <v>-132</v>
      </c>
      <c r="AN6" s="136" t="str">
        <f t="shared" si="3"/>
        <v>Pend. Ejec. Trim.
Pend. Just. Trim.
Pend. Evid. Trim.
Pend. Ejec. Año
Pend. Evid. Año</v>
      </c>
      <c r="AO6" s="137"/>
      <c r="AP6" s="138"/>
    </row>
    <row r="7" ht="67.5" customHeight="1">
      <c r="A7" s="118"/>
      <c r="B7" s="177"/>
      <c r="C7" s="178"/>
      <c r="D7" s="178"/>
      <c r="E7" s="178"/>
      <c r="F7" s="179"/>
      <c r="G7" s="180"/>
      <c r="H7" s="178"/>
      <c r="I7" s="178"/>
      <c r="J7" s="178"/>
      <c r="K7" s="181"/>
      <c r="L7" s="181"/>
      <c r="M7" s="181"/>
      <c r="N7" s="182"/>
      <c r="O7" s="183"/>
      <c r="P7" s="190"/>
      <c r="Q7" s="185"/>
      <c r="R7" s="186"/>
      <c r="S7" s="190"/>
      <c r="T7" s="190"/>
      <c r="U7" s="190"/>
      <c r="V7" s="190"/>
      <c r="W7" s="187"/>
      <c r="X7" s="180"/>
      <c r="Y7" s="178"/>
      <c r="Z7" s="180"/>
      <c r="AA7" s="178"/>
      <c r="AB7" s="178"/>
      <c r="AC7" s="178"/>
      <c r="AD7" s="178"/>
      <c r="AE7" s="178"/>
      <c r="AF7" s="188"/>
      <c r="AG7" s="146"/>
      <c r="AH7" s="147"/>
      <c r="AI7" s="148"/>
      <c r="AJ7" s="149"/>
      <c r="AK7" s="133"/>
      <c r="AL7" s="134"/>
      <c r="AM7" s="135"/>
      <c r="AN7" s="136"/>
      <c r="AO7" s="137"/>
      <c r="AP7" s="138"/>
    </row>
    <row r="8" ht="67.5" customHeight="1">
      <c r="A8" s="118"/>
      <c r="B8" s="177"/>
      <c r="C8" s="178"/>
      <c r="D8" s="178"/>
      <c r="E8" s="178"/>
      <c r="F8" s="179"/>
      <c r="G8" s="180"/>
      <c r="H8" s="178"/>
      <c r="I8" s="178"/>
      <c r="J8" s="178"/>
      <c r="K8" s="181"/>
      <c r="L8" s="181"/>
      <c r="M8" s="181"/>
      <c r="N8" s="182"/>
      <c r="O8" s="183"/>
      <c r="P8" s="190"/>
      <c r="Q8" s="185"/>
      <c r="R8" s="186"/>
      <c r="S8" s="190"/>
      <c r="T8" s="190"/>
      <c r="U8" s="190"/>
      <c r="V8" s="190"/>
      <c r="W8" s="187"/>
      <c r="X8" s="180"/>
      <c r="Y8" s="178"/>
      <c r="Z8" s="180"/>
      <c r="AA8" s="178"/>
      <c r="AB8" s="178"/>
      <c r="AC8" s="178"/>
      <c r="AD8" s="178"/>
      <c r="AE8" s="178"/>
      <c r="AF8" s="188"/>
      <c r="AG8" s="146"/>
      <c r="AH8" s="147"/>
      <c r="AI8" s="148"/>
      <c r="AJ8" s="149"/>
      <c r="AK8" s="133"/>
      <c r="AL8" s="134"/>
      <c r="AM8" s="135"/>
      <c r="AN8" s="136"/>
      <c r="AO8" s="137"/>
      <c r="AP8" s="138"/>
    </row>
    <row r="9" ht="67.5" customHeight="1">
      <c r="A9" s="118"/>
      <c r="B9" s="177"/>
      <c r="C9" s="178"/>
      <c r="D9" s="178"/>
      <c r="E9" s="178"/>
      <c r="F9" s="179"/>
      <c r="G9" s="180"/>
      <c r="H9" s="178"/>
      <c r="I9" s="178"/>
      <c r="J9" s="178"/>
      <c r="K9" s="181"/>
      <c r="L9" s="181"/>
      <c r="M9" s="181"/>
      <c r="N9" s="182"/>
      <c r="O9" s="183"/>
      <c r="P9" s="190"/>
      <c r="Q9" s="185"/>
      <c r="R9" s="186"/>
      <c r="S9" s="190"/>
      <c r="T9" s="190"/>
      <c r="U9" s="190"/>
      <c r="V9" s="190"/>
      <c r="W9" s="187"/>
      <c r="X9" s="180"/>
      <c r="Y9" s="178"/>
      <c r="Z9" s="180"/>
      <c r="AA9" s="178"/>
      <c r="AB9" s="178"/>
      <c r="AC9" s="178"/>
      <c r="AD9" s="178"/>
      <c r="AE9" s="178"/>
      <c r="AF9" s="188"/>
      <c r="AG9" s="146"/>
      <c r="AH9" s="147"/>
      <c r="AI9" s="148"/>
      <c r="AJ9" s="149"/>
      <c r="AK9" s="133"/>
      <c r="AL9" s="134"/>
      <c r="AM9" s="135"/>
      <c r="AN9" s="136"/>
      <c r="AO9" s="137"/>
      <c r="AP9" s="138"/>
    </row>
    <row r="10" ht="67.5" customHeight="1">
      <c r="A10" s="118"/>
      <c r="B10" s="177"/>
      <c r="C10" s="178"/>
      <c r="D10" s="178"/>
      <c r="E10" s="178"/>
      <c r="F10" s="179"/>
      <c r="G10" s="180"/>
      <c r="H10" s="178"/>
      <c r="I10" s="178"/>
      <c r="J10" s="178"/>
      <c r="K10" s="181"/>
      <c r="L10" s="181"/>
      <c r="M10" s="181"/>
      <c r="N10" s="182"/>
      <c r="O10" s="183"/>
      <c r="P10" s="190"/>
      <c r="Q10" s="185"/>
      <c r="R10" s="186"/>
      <c r="S10" s="190"/>
      <c r="T10" s="190"/>
      <c r="U10" s="190"/>
      <c r="V10" s="190"/>
      <c r="W10" s="187"/>
      <c r="X10" s="180"/>
      <c r="Y10" s="178"/>
      <c r="Z10" s="180"/>
      <c r="AA10" s="178"/>
      <c r="AB10" s="178"/>
      <c r="AC10" s="178"/>
      <c r="AD10" s="178"/>
      <c r="AE10" s="178"/>
      <c r="AF10" s="188"/>
      <c r="AG10" s="146"/>
      <c r="AH10" s="147"/>
      <c r="AI10" s="148"/>
      <c r="AJ10" s="149"/>
      <c r="AK10" s="133"/>
      <c r="AL10" s="134"/>
      <c r="AM10" s="135"/>
      <c r="AN10" s="136"/>
      <c r="AO10" s="137"/>
      <c r="AP10" s="138"/>
    </row>
    <row r="11" ht="67.5" customHeight="1">
      <c r="A11" s="118"/>
      <c r="B11" s="177"/>
      <c r="C11" s="178"/>
      <c r="D11" s="178"/>
      <c r="E11" s="178"/>
      <c r="F11" s="179"/>
      <c r="G11" s="180"/>
      <c r="H11" s="178"/>
      <c r="I11" s="178"/>
      <c r="J11" s="178"/>
      <c r="K11" s="181"/>
      <c r="L11" s="181"/>
      <c r="M11" s="181"/>
      <c r="N11" s="182"/>
      <c r="O11" s="183"/>
      <c r="P11" s="190"/>
      <c r="Q11" s="185"/>
      <c r="R11" s="186"/>
      <c r="S11" s="190"/>
      <c r="T11" s="190"/>
      <c r="U11" s="190"/>
      <c r="V11" s="190"/>
      <c r="W11" s="187"/>
      <c r="X11" s="180"/>
      <c r="Y11" s="178"/>
      <c r="Z11" s="180"/>
      <c r="AA11" s="178"/>
      <c r="AB11" s="178"/>
      <c r="AC11" s="178"/>
      <c r="AD11" s="178"/>
      <c r="AE11" s="178"/>
      <c r="AF11" s="188"/>
      <c r="AG11" s="146"/>
      <c r="AH11" s="147"/>
      <c r="AI11" s="148"/>
      <c r="AJ11" s="149"/>
      <c r="AK11" s="133"/>
      <c r="AL11" s="134"/>
      <c r="AM11" s="135"/>
      <c r="AN11" s="136"/>
      <c r="AO11" s="137"/>
      <c r="AP11" s="138"/>
    </row>
    <row r="12" ht="67.5" customHeight="1">
      <c r="A12" s="118"/>
      <c r="B12" s="177"/>
      <c r="C12" s="178"/>
      <c r="D12" s="178"/>
      <c r="E12" s="178"/>
      <c r="F12" s="179"/>
      <c r="G12" s="180"/>
      <c r="H12" s="178"/>
      <c r="I12" s="178"/>
      <c r="J12" s="178"/>
      <c r="K12" s="181"/>
      <c r="L12" s="181"/>
      <c r="M12" s="181"/>
      <c r="N12" s="182"/>
      <c r="O12" s="183"/>
      <c r="P12" s="190"/>
      <c r="Q12" s="185"/>
      <c r="R12" s="186"/>
      <c r="S12" s="190"/>
      <c r="T12" s="190"/>
      <c r="U12" s="190"/>
      <c r="V12" s="190"/>
      <c r="W12" s="187"/>
      <c r="X12" s="180"/>
      <c r="Y12" s="178"/>
      <c r="Z12" s="180"/>
      <c r="AA12" s="178"/>
      <c r="AB12" s="178"/>
      <c r="AC12" s="178"/>
      <c r="AD12" s="178"/>
      <c r="AE12" s="178"/>
      <c r="AF12" s="188"/>
      <c r="AG12" s="146"/>
      <c r="AH12" s="147"/>
      <c r="AI12" s="148"/>
      <c r="AJ12" s="149"/>
      <c r="AK12" s="133"/>
      <c r="AL12" s="134"/>
      <c r="AM12" s="135"/>
      <c r="AN12" s="136"/>
      <c r="AO12" s="137"/>
      <c r="AP12" s="138"/>
    </row>
    <row r="13" ht="67.5" customHeight="1">
      <c r="A13" s="118"/>
      <c r="B13" s="177"/>
      <c r="C13" s="178"/>
      <c r="D13" s="178"/>
      <c r="E13" s="178"/>
      <c r="F13" s="179"/>
      <c r="G13" s="180"/>
      <c r="H13" s="178"/>
      <c r="I13" s="178"/>
      <c r="J13" s="178"/>
      <c r="K13" s="181"/>
      <c r="L13" s="181"/>
      <c r="M13" s="181"/>
      <c r="N13" s="182"/>
      <c r="O13" s="183"/>
      <c r="P13" s="190"/>
      <c r="Q13" s="185"/>
      <c r="R13" s="186"/>
      <c r="S13" s="190"/>
      <c r="T13" s="190"/>
      <c r="U13" s="190"/>
      <c r="V13" s="190"/>
      <c r="W13" s="187"/>
      <c r="X13" s="180"/>
      <c r="Y13" s="178"/>
      <c r="Z13" s="180"/>
      <c r="AA13" s="178"/>
      <c r="AB13" s="178"/>
      <c r="AC13" s="178"/>
      <c r="AD13" s="178"/>
      <c r="AE13" s="178"/>
      <c r="AF13" s="188"/>
      <c r="AG13" s="146"/>
      <c r="AH13" s="147"/>
      <c r="AI13" s="148"/>
      <c r="AJ13" s="149"/>
      <c r="AK13" s="133"/>
      <c r="AL13" s="134"/>
      <c r="AM13" s="135"/>
      <c r="AN13" s="136"/>
      <c r="AO13" s="137"/>
      <c r="AP13" s="138"/>
    </row>
    <row r="14" ht="67.5" customHeight="1">
      <c r="A14" s="118"/>
      <c r="B14" s="177"/>
      <c r="C14" s="178"/>
      <c r="D14" s="178"/>
      <c r="E14" s="178"/>
      <c r="F14" s="179"/>
      <c r="G14" s="180"/>
      <c r="H14" s="178"/>
      <c r="I14" s="178"/>
      <c r="J14" s="178"/>
      <c r="K14" s="181"/>
      <c r="L14" s="181"/>
      <c r="M14" s="181"/>
      <c r="N14" s="182"/>
      <c r="O14" s="183"/>
      <c r="P14" s="190"/>
      <c r="Q14" s="185"/>
      <c r="R14" s="186"/>
      <c r="S14" s="190"/>
      <c r="T14" s="190"/>
      <c r="U14" s="190"/>
      <c r="V14" s="190"/>
      <c r="W14" s="187"/>
      <c r="X14" s="180"/>
      <c r="Y14" s="178"/>
      <c r="Z14" s="180"/>
      <c r="AA14" s="178"/>
      <c r="AB14" s="178"/>
      <c r="AC14" s="178"/>
      <c r="AD14" s="178"/>
      <c r="AE14" s="178"/>
      <c r="AF14" s="188"/>
      <c r="AG14" s="146"/>
      <c r="AH14" s="147"/>
      <c r="AI14" s="148"/>
      <c r="AJ14" s="149"/>
      <c r="AK14" s="133"/>
      <c r="AL14" s="134"/>
      <c r="AM14" s="135"/>
      <c r="AN14" s="136"/>
      <c r="AO14" s="137"/>
      <c r="AP14" s="138"/>
    </row>
    <row r="15" ht="67.5" customHeight="1">
      <c r="A15" s="118"/>
      <c r="B15" s="177"/>
      <c r="C15" s="178"/>
      <c r="D15" s="178"/>
      <c r="E15" s="178"/>
      <c r="F15" s="179"/>
      <c r="G15" s="180"/>
      <c r="H15" s="178"/>
      <c r="I15" s="178"/>
      <c r="J15" s="178"/>
      <c r="K15" s="181"/>
      <c r="L15" s="181"/>
      <c r="M15" s="181"/>
      <c r="N15" s="182"/>
      <c r="O15" s="183"/>
      <c r="P15" s="190"/>
      <c r="Q15" s="185"/>
      <c r="R15" s="186"/>
      <c r="S15" s="190"/>
      <c r="T15" s="190"/>
      <c r="U15" s="190"/>
      <c r="V15" s="190"/>
      <c r="W15" s="187"/>
      <c r="X15" s="180"/>
      <c r="Y15" s="178"/>
      <c r="Z15" s="180"/>
      <c r="AA15" s="178"/>
      <c r="AB15" s="178"/>
      <c r="AC15" s="178"/>
      <c r="AD15" s="178"/>
      <c r="AE15" s="178"/>
      <c r="AF15" s="188"/>
      <c r="AG15" s="146"/>
      <c r="AH15" s="147"/>
      <c r="AI15" s="148"/>
      <c r="AJ15" s="149"/>
      <c r="AK15" s="133"/>
      <c r="AL15" s="134"/>
      <c r="AM15" s="135"/>
      <c r="AN15" s="136"/>
      <c r="AO15" s="137"/>
      <c r="AP15" s="138"/>
    </row>
    <row r="16" ht="67.5" customHeight="1">
      <c r="A16" s="118"/>
      <c r="B16" s="177"/>
      <c r="C16" s="178"/>
      <c r="D16" s="178"/>
      <c r="E16" s="178"/>
      <c r="F16" s="179"/>
      <c r="G16" s="180"/>
      <c r="H16" s="178"/>
      <c r="I16" s="178"/>
      <c r="J16" s="178"/>
      <c r="K16" s="181"/>
      <c r="L16" s="181"/>
      <c r="M16" s="181"/>
      <c r="N16" s="182"/>
      <c r="O16" s="183"/>
      <c r="P16" s="190"/>
      <c r="Q16" s="185"/>
      <c r="R16" s="186"/>
      <c r="S16" s="190"/>
      <c r="T16" s="190"/>
      <c r="U16" s="190"/>
      <c r="V16" s="190"/>
      <c r="W16" s="187"/>
      <c r="X16" s="180"/>
      <c r="Y16" s="178"/>
      <c r="Z16" s="180"/>
      <c r="AA16" s="178"/>
      <c r="AB16" s="178"/>
      <c r="AC16" s="178"/>
      <c r="AD16" s="178"/>
      <c r="AE16" s="178"/>
      <c r="AF16" s="188"/>
      <c r="AG16" s="146"/>
      <c r="AH16" s="147"/>
      <c r="AI16" s="148"/>
      <c r="AJ16" s="149"/>
      <c r="AK16" s="133"/>
      <c r="AL16" s="134"/>
      <c r="AM16" s="135"/>
      <c r="AN16" s="136"/>
      <c r="AO16" s="137"/>
      <c r="AP16" s="138"/>
    </row>
    <row r="17" ht="67.5" customHeight="1">
      <c r="A17" s="118"/>
      <c r="B17" s="192"/>
      <c r="C17" s="193"/>
      <c r="D17" s="193"/>
      <c r="E17" s="193"/>
      <c r="F17" s="194"/>
      <c r="G17" s="195"/>
      <c r="H17" s="193"/>
      <c r="I17" s="193"/>
      <c r="J17" s="193"/>
      <c r="K17" s="196"/>
      <c r="L17" s="196"/>
      <c r="M17" s="196"/>
      <c r="N17" s="197"/>
      <c r="O17" s="198"/>
      <c r="P17" s="199"/>
      <c r="Q17" s="200"/>
      <c r="R17" s="201"/>
      <c r="S17" s="199"/>
      <c r="T17" s="199"/>
      <c r="U17" s="199"/>
      <c r="V17" s="199"/>
      <c r="W17" s="202"/>
      <c r="X17" s="195"/>
      <c r="Y17" s="193"/>
      <c r="Z17" s="195"/>
      <c r="AA17" s="193"/>
      <c r="AB17" s="193"/>
      <c r="AC17" s="193"/>
      <c r="AD17" s="193"/>
      <c r="AE17" s="193"/>
      <c r="AF17" s="203"/>
      <c r="AG17" s="161"/>
      <c r="AH17" s="162"/>
      <c r="AI17" s="163"/>
      <c r="AJ17" s="164"/>
      <c r="AK17" s="165"/>
      <c r="AL17" s="166"/>
      <c r="AM17" s="167"/>
      <c r="AN17" s="168"/>
      <c r="AO17" s="169"/>
      <c r="AP17" s="138"/>
    </row>
    <row r="18" ht="15.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170"/>
      <c r="AH18" s="170"/>
      <c r="AI18" s="170"/>
      <c r="AJ18" s="88"/>
      <c r="AK18" s="88"/>
      <c r="AL18" s="88"/>
      <c r="AM18" s="88"/>
      <c r="AN18" s="88"/>
      <c r="AO18" s="88"/>
      <c r="AP18" s="88"/>
    </row>
  </sheetData>
  <autoFilter ref="$A$3:$AP$6"/>
  <mergeCells count="4">
    <mergeCell ref="B1:C1"/>
    <mergeCell ref="AG2:AI2"/>
    <mergeCell ref="AJ2:AK2"/>
    <mergeCell ref="AL2:AO2"/>
  </mergeCells>
  <conditionalFormatting sqref="AM4:AM17 AK5:AK17">
    <cfRule type="cellIs" dxfId="2" priority="1" operator="greaterThan">
      <formula>0</formula>
    </cfRule>
  </conditionalFormatting>
  <conditionalFormatting sqref="AM4:AM17 AK5:AK17">
    <cfRule type="cellIs" dxfId="3" priority="2" operator="lessThan">
      <formula>0</formula>
    </cfRule>
  </conditionalFormatting>
  <dataValidations>
    <dataValidation type="decimal" allowBlank="1" showDropDown="1" showInputMessage="1" showErrorMessage="1" prompt="Recuerde que debe ingresar un valor numérico o porcentaje" sqref="AG4:AG17 AJ4:AJ17">
      <formula1>0.0</formula1>
      <formula2>5000000.0</formula2>
    </dataValidation>
  </dataValidations>
  <hyperlinks>
    <hyperlink display="Home" location="Home!A1" ref="B1"/>
    <hyperlink r:id="rId1" ref="AI4"/>
  </hyperlinks>
  <printOptions gridLines="1" horizontalCentered="1"/>
  <pageMargins bottom="0.75" footer="0.0" header="0.0" left="0.7" right="0.7" top="0.75"/>
  <pageSetup cellComments="atEnd" orientation="portrait" pageOrder="overThenDown"/>
  <drawing r:id="rId2"/>
</worksheet>
</file>