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Resumen publicado" sheetId="2" r:id="rId5"/>
    <sheet state="hidden" name="Alertas" sheetId="3" r:id="rId6"/>
    <sheet state="hidden" name="Consolidado" sheetId="4" r:id="rId7"/>
    <sheet state="visible" name="Administrativa" sheetId="5" r:id="rId8"/>
    <sheet state="visible" name="Comunicaciones" sheetId="6" r:id="rId9"/>
    <sheet state="visible" name="A_Ciudadano" sheetId="7" r:id="rId10"/>
    <sheet state="visible" name="Contratos" sheetId="8" r:id="rId11"/>
    <sheet state="visible" name="C_Interno" sheetId="9" r:id="rId12"/>
    <sheet state="visible" name="DTAF" sheetId="10" r:id="rId13"/>
    <sheet state="visible" name="CI_Disciplinario" sheetId="11" r:id="rId14"/>
    <sheet state="visible" name="DTIV" sheetId="12" r:id="rId15"/>
    <sheet state="visible" name="Financiera" sheetId="13" r:id="rId16"/>
    <sheet state="visible" name="G_Documental" sheetId="14" r:id="rId17"/>
    <sheet state="visible" name="OA_Juridica" sheetId="15" r:id="rId18"/>
    <sheet state="visible" name="OGCI" sheetId="16" r:id="rId19"/>
    <sheet state="visible" name="Planeación" sheetId="17" r:id="rId20"/>
    <sheet state="visible" name="Sistemas" sheetId="18" r:id="rId21"/>
    <sheet state="visible" name="T_Humano" sheetId="19" r:id="rId22"/>
    <sheet state="visible" name="R_Barrancabermeja" sheetId="20" r:id="rId23"/>
    <sheet state="visible" name="R_Barranquilla" sheetId="21" r:id="rId24"/>
    <sheet state="visible" name="R_Bogota" sheetId="22" r:id="rId25"/>
    <sheet state="visible" name="R_Cali" sheetId="23" r:id="rId26"/>
    <sheet state="visible" name="R_Magangue" sheetId="24" r:id="rId27"/>
    <sheet state="visible" name="R_Medellin" sheetId="25" r:id="rId28"/>
    <sheet state="visible" name="R_Villavicencio" sheetId="26" r:id="rId29"/>
  </sheets>
  <definedNames>
    <definedName hidden="1" localSheetId="3" name="_xlnm._FilterDatabase">Consolidado!$A$2:$BI$158</definedName>
    <definedName hidden="1" localSheetId="4" name="_xlnm._FilterDatabase">Administrativa!$A$3:$AN$17</definedName>
    <definedName hidden="1" localSheetId="5" name="_xlnm._FilterDatabase">Comunicaciones!$A$3:$AN$12</definedName>
    <definedName hidden="1" localSheetId="6" name="_xlnm._FilterDatabase">A_Ciudadano!$A$3:$AN$8</definedName>
    <definedName hidden="1" localSheetId="7" name="_xlnm._FilterDatabase">Contratos!$A$3:$AN$12</definedName>
    <definedName hidden="1" localSheetId="8" name="_xlnm._FilterDatabase">C_Interno!$A$3:$AN$6</definedName>
    <definedName hidden="1" localSheetId="9" name="_xlnm._FilterDatabase">DTAF!$A$3:$AN$18</definedName>
    <definedName hidden="1" localSheetId="10" name="_xlnm._FilterDatabase">CI_Disciplinario!$A$3:$AN$8</definedName>
    <definedName hidden="1" localSheetId="11" name="_xlnm._FilterDatabase">DTIV!$A$3:$AN$12</definedName>
    <definedName hidden="1" localSheetId="12" name="_xlnm._FilterDatabase">Financiera!$A$3:$AN$8</definedName>
    <definedName hidden="1" localSheetId="13" name="_xlnm._FilterDatabase">G_Documental!$A$3:$AN$8</definedName>
    <definedName hidden="1" localSheetId="14" name="_xlnm._FilterDatabase">OA_Juridica!$A$3:$AN$15</definedName>
    <definedName hidden="1" localSheetId="15" name="_xlnm._FilterDatabase">OGCI!$A$3:$AN$17</definedName>
    <definedName hidden="1" localSheetId="16" name="_xlnm._FilterDatabase">'Planeación'!$A$3:$AN$13</definedName>
    <definedName hidden="1" localSheetId="17" name="_xlnm._FilterDatabase">Sistemas!$A$3:$AN$10</definedName>
    <definedName hidden="1" localSheetId="18" name="_xlnm._FilterDatabase">T_Humano!$A$3:$AN$9</definedName>
    <definedName hidden="1" localSheetId="19" name="_xlnm._FilterDatabase">R_Barrancabermeja!$A$3:$AN$13</definedName>
    <definedName hidden="1" localSheetId="20" name="_xlnm._FilterDatabase">R_Barranquilla!$A$3:$AN$24</definedName>
    <definedName hidden="1" localSheetId="21" name="_xlnm._FilterDatabase">R_Bogota!$A$3:$AN$15</definedName>
    <definedName hidden="1" localSheetId="22" name="_xlnm._FilterDatabase">R_Cali!$A$3:$AN$17</definedName>
    <definedName hidden="1" localSheetId="23" name="_xlnm._FilterDatabase">R_Magangue!$A$3:$AN$11</definedName>
    <definedName hidden="1" localSheetId="24" name="_xlnm._FilterDatabase">R_Medellin!$A$3:$AN$15</definedName>
    <definedName hidden="1" localSheetId="25" name="_xlnm._FilterDatabase">R_Villavicencio!$A$3:$AN$13</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X43">
      <text>
        <t xml:space="preserve">======
ID#AAAALXFhJQs
Financiera    (2021-02-08 19:22:28)
https://www.aunap.gov.co/index.php/secretraria-general/financiera#estados-financieros
https://www.aunap.gov.co/index.php/secretraria-general/financiera#ejecucion-presupuesto-2019</t>
      </text>
    </comment>
    <comment authorId="0" ref="BE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<sst xmlns="http://schemas.openxmlformats.org/spreadsheetml/2006/main" count="4938" uniqueCount="822">
  <si>
    <t>x</t>
  </si>
  <si>
    <t>Administrativa</t>
  </si>
  <si>
    <t>Financiera</t>
  </si>
  <si>
    <t>R_Barrancabermeja</t>
  </si>
  <si>
    <t>A_Ciudadano</t>
  </si>
  <si>
    <t>G_Documental</t>
  </si>
  <si>
    <t>R_Barranquilla</t>
  </si>
  <si>
    <t>Comunicaciones</t>
  </si>
  <si>
    <t>OA_Juridica</t>
  </si>
  <si>
    <t>R_Bogota</t>
  </si>
  <si>
    <t>Contratos</t>
  </si>
  <si>
    <t>OGCI</t>
  </si>
  <si>
    <t>R_Cali</t>
  </si>
  <si>
    <t>C_Interno</t>
  </si>
  <si>
    <t>Planeación</t>
  </si>
  <si>
    <t>R_Magangue</t>
  </si>
  <si>
    <t>CI_Disciplinario</t>
  </si>
  <si>
    <t>Sistemas</t>
  </si>
  <si>
    <t>R_Medellin</t>
  </si>
  <si>
    <t>DTAF</t>
  </si>
  <si>
    <t>T_Humano</t>
  </si>
  <si>
    <t>R_Villavicencio</t>
  </si>
  <si>
    <t>DTIV</t>
  </si>
  <si>
    <t>Consolidado</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</si>
  <si>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</si>
  <si>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</si>
  <si>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</si>
  <si>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</si>
  <si>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</si>
  <si>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</si>
  <si>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</si>
  <si>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</si>
  <si>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</si>
  <si>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</si>
  <si>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</si>
  <si>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</si>
  <si>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</si>
  <si>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</si>
  <si>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</si>
  <si>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</si>
  <si>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</si>
  <si>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PROCESO ASOCIADO</t>
  </si>
  <si>
    <t>ÁREA LÍDER</t>
  </si>
  <si>
    <t>NOMBRE DEL PROYECTO</t>
  </si>
  <si>
    <t>CÓDIGO BPIN</t>
  </si>
  <si>
    <t>NOMBRE CORTO</t>
  </si>
  <si>
    <t>OBJETIVO ESPECÍFICO</t>
  </si>
  <si>
    <t>PRODUCTO</t>
  </si>
  <si>
    <t>ACTIVIDAD</t>
  </si>
  <si>
    <t>TIPO INDICADOR</t>
  </si>
  <si>
    <t>CATEGORÍA</t>
  </si>
  <si>
    <t>UNIDAD DE MEDIDA</t>
  </si>
  <si>
    <t>INDICADOR PRINCIPAL</t>
  </si>
  <si>
    <t>META RESTANTE</t>
  </si>
  <si>
    <t>META VIGENCIA</t>
  </si>
  <si>
    <t>ACCIÓN/ACTIVIDAD</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</si>
  <si>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</si>
  <si>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</si>
  <si>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</si>
  <si>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</si>
  <si>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</si>
  <si>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</si>
  <si>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</si>
  <si>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</si>
  <si>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</si>
  <si>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</si>
  <si>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</si>
  <si>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</si>
  <si>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</si>
  <si>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</si>
  <si>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</si>
  <si>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EJECUCIÓN DEL TRIMESTRE</t>
  </si>
  <si>
    <t>JUSTIFICACIÓN DEL AVANCE</t>
  </si>
  <si>
    <t>EVIDENCIA (INCLUIR EL LINK DEL REGISTRO)</t>
  </si>
  <si>
    <t>FECHA LIMITE PARA EL REPORTE</t>
  </si>
  <si>
    <t>CUMPLIMIENTO DE META %</t>
  </si>
  <si>
    <t>OBSERVACIONES DE PLANEACIÓN</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</si>
  <si>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</si>
  <si>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</si>
  <si>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</si>
  <si>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</si>
  <si>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</si>
  <si>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</si>
  <si>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</si>
  <si>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</si>
  <si>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</si>
  <si>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</si>
  <si>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</si>
  <si>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</si>
  <si>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</si>
  <si>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</si>
  <si>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</si>
  <si>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</si>
  <si>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</si>
  <si>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</si>
  <si>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</si>
  <si>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</si>
  <si>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</si>
  <si>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</si>
  <si>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</si>
  <si>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</si>
  <si>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</si>
  <si>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</si>
  <si>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</si>
  <si>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</si>
  <si>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</si>
  <si>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</si>
  <si>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</si>
  <si>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Home</t>
  </si>
  <si>
    <t>Avance de la vigencia</t>
  </si>
  <si>
    <t>Fecha inicial</t>
  </si>
  <si>
    <t>TRIMESTRE</t>
  </si>
  <si>
    <t>DIAS ANTES DEL VENCIMIENTO</t>
  </si>
  <si>
    <t>RECOMENDACIONES CONTROL INTERNO</t>
  </si>
  <si>
    <t>Gestión administrativa</t>
  </si>
  <si>
    <t>Fortalecimiento de la capacidad de gestión de la autoridad nacional de acuicultura y pesca - aunap nacional</t>
  </si>
  <si>
    <t>Fortalecimiento</t>
  </si>
  <si>
    <t>Mejorar las condiciones en la infraestructura física de las sedes de la AUNAP</t>
  </si>
  <si>
    <t>Sedes adecuadas</t>
  </si>
  <si>
    <t>Adecuar locativamente las sedes de la AUNAP, para ofrecer mejores condiciones a los servidores públicos y brindar una adecuada prestación del servicios</t>
  </si>
  <si>
    <t>Producto</t>
  </si>
  <si>
    <t>Eficacia</t>
  </si>
  <si>
    <t>Número</t>
  </si>
  <si>
    <t>Hacer una intervencion de Adecuación a un bien inmueble de la AUNAP</t>
  </si>
  <si>
    <t>Anual</t>
  </si>
  <si>
    <t>Coordinación Administrativa</t>
  </si>
  <si>
    <t>Gustavo Polo</t>
  </si>
  <si>
    <t>Coordinador Administrativa</t>
  </si>
  <si>
    <t>gustavo.polo@aunap.gov.co</t>
  </si>
  <si>
    <t>Humanos, fisicos, financieros</t>
  </si>
  <si>
    <t>Plan Anual de Adquisiciones - PAA</t>
  </si>
  <si>
    <t>Llegar con actividades de pesca y acuicultura a todas las regiones</t>
  </si>
  <si>
    <t>Direccionamiento Estratégico</t>
  </si>
  <si>
    <t>Gestión Presupuestal y Eficiencia del Gasto Público</t>
  </si>
  <si>
    <t>16. Paz, justicia e instituciones sólidas</t>
  </si>
  <si>
    <t>Sedes mantenidas</t>
  </si>
  <si>
    <t>Realizar mantenimiento preventivo y correctivo a las sedes de AUNAP, para brindar una mejor prestación del servicios de atención a la ciudadanía</t>
  </si>
  <si>
    <t>Realizar un mantenimiento a un bien inmueble de la AUNAP</t>
  </si>
  <si>
    <t>Fortalecer los sistemas de gestión de la Entidad</t>
  </si>
  <si>
    <t>Servicio de Implementación Sistemas de Gestión</t>
  </si>
  <si>
    <t>Optimizar la gestión administrativa, operativa, de planeación, seguimiento y control de la Entidad, para mejorar el desempeño institucional y la prestación del servicio a nivel nacional</t>
  </si>
  <si>
    <t>Gestión del área</t>
  </si>
  <si>
    <t>Porcentaje</t>
  </si>
  <si>
    <t>Inventarios nivel central realizados / Total de inventarios nivel central programados</t>
  </si>
  <si>
    <t>Hacer inventario de los bienes muebles a las oficinas Buenaventura, Magangue y Villavicencio</t>
  </si>
  <si>
    <t xml:space="preserve">Se realizaron los inventarios de las oficinas de Sede Central </t>
  </si>
  <si>
    <t>https://drive.google.com/drive/folders/1_2x575-FBknilG0yMkXREc6CIJCzbBUo</t>
  </si>
  <si>
    <t>Comunicación estratégica</t>
  </si>
  <si>
    <t>Publicaciones de contenido institucional divulgado en alguno de los canales dispuestos por la entidad</t>
  </si>
  <si>
    <t>Editar, adaptar y divulgar contenido institucional de la gestión realizada por la entidad para su posicionamiento externo ante los diferentes grupos de interés</t>
  </si>
  <si>
    <t>Mensual</t>
  </si>
  <si>
    <t>Leidy Hidalgo</t>
  </si>
  <si>
    <t>Profesional Especializado</t>
  </si>
  <si>
    <t>leidy.hidalgo@aunap.gov.co</t>
  </si>
  <si>
    <t>Humanos, Físicos, Financieros, Tecnológicos</t>
  </si>
  <si>
    <t>No asociado</t>
  </si>
  <si>
    <t>Información y comunicación</t>
  </si>
  <si>
    <t>Transparencia, acceso a la información pública y lucha contra la corrupción</t>
  </si>
  <si>
    <t>12. Producción y consumo responsable</t>
  </si>
  <si>
    <t>El proceso de comunicaciones editó, adaptó y divulgó contenido institucional de la gestión realizada por la entidad para su posicionamiento externo ante los diferentes grupos de interé</t>
  </si>
  <si>
    <t>https://drive.google.com/file/d/1aWRkg2PfEs8PIovP-wTHfPenzRjfYPa9/view?usp=sharing</t>
  </si>
  <si>
    <t>Número de piezas de comunicación interna diseñadas y divulgadas/Número de piezas de comunicación interna solicitadas</t>
  </si>
  <si>
    <t>Diseñar y divulgar piezas de comunicación internas con base a la información allegada por las diferentes dependencias de la entidad</t>
  </si>
  <si>
    <t>El proceso de comunicaciones diseñó y divulgó piezas de comunicación internas con base a la información allegada por las diferentes dependencias de la entidad</t>
  </si>
  <si>
    <t>https://drive.google.com/file/d/1-JV0g_iGRPsUrAF2GmmKpXDK3mJmL184/view?usp=sharing</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</si>
  <si>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</si>
  <si>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</si>
  <si>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</si>
  <si>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 xml:space="preserve">El proceso de comunicaciones creó y divulgo productos comunicativos internos y externos que permitan ampliar la difusión de la informacion institucional </t>
  </si>
  <si>
    <t>https://drive.google.com/file/d/14eKpi2S-qEF3SXDXruXMUSiGF8CyriFZ/view?usp=sharing</t>
  </si>
  <si>
    <t>Publicaciones en medios Free Press información de gestión institucional para los diferentes grupos de interés</t>
  </si>
  <si>
    <t>Publicar en medios Free Press información de gestión institucional para los diferentes grupos de interés</t>
  </si>
  <si>
    <t>Trimestral</t>
  </si>
  <si>
    <t>El proceso de comunicaciones publicó en medios Free Press información de gestión institucional para los diferentes grupos de interés</t>
  </si>
  <si>
    <t>https://drive.google.com/file/d/1MFlY0Slmf4uK70bNeJhTyrduyaW1XCX6/view?usp=sharing</t>
  </si>
  <si>
    <t>Acciones de comunicaciones en alianza con cooperantes, aliados y entiades adscritas</t>
  </si>
  <si>
    <t>Desarrolar acciones de comunicacion en alianza con cooperantes, aliados, entidades del sector para dar un mayor alcance de la gestion institucional</t>
  </si>
  <si>
    <t>Semestral</t>
  </si>
  <si>
    <t>Planeación Institucional</t>
  </si>
  <si>
    <t xml:space="preserve">El proceso de comunicaciones realizo acciones de comunicacion con aliados, cooperantes y demas actores de sector. </t>
  </si>
  <si>
    <t>https://drive.google.com/file/d/14vJcw2gkfns2wU9il00poRzbo7KE7XCF/view?usp=sharing</t>
  </si>
  <si>
    <t>Espacios de comunicaciòn desarrollados</t>
  </si>
  <si>
    <t>Realizar espacios de comunicacion que faciliten la interlocucion de la entidad con los diferentes usuarios para mejorar la gestión pública</t>
  </si>
  <si>
    <t xml:space="preserve">Durante el II trimestre el proceso de comunicacion para facilitar la interlocucion de la entidad con los diferentes usuarios para mejorar la gestión pública:
</t>
  </si>
  <si>
    <r>
      <rPr>
        <rFont val="Arial"/>
        <color rgb="FF1155CC"/>
        <sz val="10.0"/>
        <u/>
      </rPr>
      <t>https://www.youtube.com/watch?v=Mk9Jrq1s6pM</t>
    </r>
    <r>
      <rPr>
        <rFont val="Arial"/>
        <color rgb="FF1155CC"/>
        <sz val="10.0"/>
        <u/>
      </rPr>
      <t xml:space="preserve">
https://www.youtube.com/watch?v=tXrP-5eKor0&amp;t=21s
</t>
    </r>
    <r>
      <rPr>
        <rFont val="Arial"/>
        <color rgb="FF1155CC"/>
        <sz val="10.0"/>
        <u/>
      </rPr>
      <t>https://www.youtube.com/watch?v=ybrFKVYb_9I</t>
    </r>
  </si>
  <si>
    <t>Documento con el componente de comunicaciones para la estrategia de rendición de cuentas.</t>
  </si>
  <si>
    <t>Elaborar el componente de comunicaciones para la estrategia de rendición de cuentas adoptada por la entidad.</t>
  </si>
  <si>
    <t>Plan Anticorrupción y de Atención al Ciudadano - PAAC</t>
  </si>
  <si>
    <t xml:space="preserve">Durante el II trimestre el proceso de comunicaciones elaboro el componente de comunicaciones de la estrategia de Rendicion de Cuentas. 
</t>
  </si>
  <si>
    <r>
      <rPr>
        <rFont val="Arial"/>
        <color rgb="FF1155CC"/>
        <sz val="10.0"/>
      </rPr>
      <t>Documento: https://drive.google.com/file/d/17m4PN97tb177OsQ6bXzGoUwXdET_CC8n/view
Publicació</t>
    </r>
    <r>
      <rPr>
        <rFont val="Arial"/>
        <color rgb="FF1155CC"/>
        <sz val="10.0"/>
      </rPr>
      <t xml:space="preserve">n:
</t>
    </r>
    <r>
      <rPr>
        <rFont val="Arial"/>
        <color rgb="FF1155CC"/>
        <sz val="10.0"/>
        <u/>
      </rPr>
      <t>https://www.aunap.gov.co/index.php/atencion-al-ciudadano/rendicion-de-cue</t>
    </r>
    <r>
      <rPr>
        <rFont val="Arial"/>
        <color rgb="FF1155CC"/>
        <sz val="10.0"/>
        <u/>
      </rPr>
      <t xml:space="preserve">ntas
</t>
    </r>
  </si>
  <si>
    <t>Porcentaje de ejecuciòn del Desarrollo de las activividades contempladas en el componente de comunicaciones para la estrategia de rendición de cuentas.</t>
  </si>
  <si>
    <t>Implementar el componente de comunicaciones para la estrategia de rendición de cuentas adoptada por la entidad.</t>
  </si>
  <si>
    <t>No aplica</t>
  </si>
  <si>
    <t>Atención al ciudadano</t>
  </si>
  <si>
    <t>Implementar y mantener el Modelo Integrado de Planeación y Gestión V2, con sus siete (7) dimensiones operativas</t>
  </si>
  <si>
    <t>Número de actividades de la estrategia de Servicio al Ciudadano ejecutadas/Número de actividades de la estrategia de Servicio al Ciudadano * 100</t>
  </si>
  <si>
    <t>Ejecutar las actividades de la estrategia de  Servicio al Ciudadano.</t>
  </si>
  <si>
    <t>Coordinador Administrativo</t>
  </si>
  <si>
    <t>Gestión con valores para resultados</t>
  </si>
  <si>
    <t>Servicio al Ciudadano</t>
  </si>
  <si>
    <t>Se ejecuto a caballidad las actvividades</t>
  </si>
  <si>
    <t>https://drive.google.com/drive/u/0/folders/1ueDHg43A1arq0Yd7PUg_Yhmh0C1BhZwL</t>
  </si>
  <si>
    <t>Cantidad de PQRD´s con seguimiento atendidas en los terminos establecidos/cantidad total de PQRDs recibidas</t>
  </si>
  <si>
    <t>Hacer Seguimiento a las diferentes areas de la entidad con el fin de dar respuesta oportuna a las PQRD’s</t>
  </si>
  <si>
    <t>Se realizo el monitoreo pertinente</t>
  </si>
  <si>
    <t>Numero de actividades que realice la entidad donde se interactue con los ciudadanos apoyadas</t>
  </si>
  <si>
    <t>Apoyar en las diferentes actividades que haga la entidad donde se interactue conforme al plan de Participacion ciudadana</t>
  </si>
  <si>
    <t>Plan de Participación Ciudadana</t>
  </si>
  <si>
    <t>Segun la modificación su cumplimiento son para el 3 y 4 trimestres</t>
  </si>
  <si>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</si>
  <si>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</si>
  <si>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</si>
  <si>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</si>
  <si>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Milton Cuervo</t>
  </si>
  <si>
    <t>Asesor</t>
  </si>
  <si>
    <t>milton.cuervo@aunap.gov.co</t>
  </si>
  <si>
    <t>Talento Humano</t>
  </si>
  <si>
    <t>De 60 documentos de estudios previos radicados y revisados, 60documentos cumplían con la totalidad de requisitos para iniciar el trámite.</t>
  </si>
  <si>
    <r>
      <rPr>
        <rFont val="Arial"/>
        <color rgb="FF1155CC"/>
        <sz val="10.0"/>
      </rPr>
      <t>Hoja</t>
    </r>
    <r>
      <rPr>
        <rFont val="Arial"/>
        <i/>
        <color rgb="FF1155CC"/>
        <sz val="10.0"/>
      </rPr>
      <t xml:space="preserve"> "INDICADOR 1 ESTUDIOS PREVIOS" </t>
    </r>
    <r>
      <rPr>
        <rFont val="Arial"/>
        <color rgb="FF1155CC"/>
        <sz val="10.0"/>
      </rPr>
      <t>https://drive.google.com/file/d/1XoV4CWd9GUqA7LvuxlBXKcT4sGHpoohj/view?usp=sharing</t>
    </r>
  </si>
  <si>
    <t>N° de procesos publicados / N° de procesos radicados que cumplan con la totalidad los requisitos.</t>
  </si>
  <si>
    <t>Desarrollar los procesos públicos de selección de acuerdo con las modalidades de selección establecidas en la ley.</t>
  </si>
  <si>
    <t>De 10 solicitudes de procesos públicos de selección radicadas que cumplían con la totalidad de requisitos, se desarrollaron 10 procesos públicos de selección en SECOP.</t>
  </si>
  <si>
    <r>
      <rPr>
        <rFont val="Arial"/>
        <color rgb="FF1155CC"/>
        <sz val="10.0"/>
      </rPr>
      <t xml:space="preserve">Hoja </t>
    </r>
    <r>
      <rPr>
        <rFont val="Arial"/>
        <i/>
        <color rgb="FF1155CC"/>
        <sz val="10.0"/>
      </rPr>
      <t xml:space="preserve">"INDICADOR 2 PROCESOS PÚBLICOS" </t>
    </r>
    <r>
      <rPr>
        <rFont val="Arial"/>
        <color rgb="FF1155CC"/>
        <sz val="10.0"/>
        <u/>
      </rPr>
      <t>https://drive.google.com/file/d/1XoV4CWd9GUqA7LvuxlBXKcT4sGHpoohj/view?usp=sharing</t>
    </r>
  </si>
  <si>
    <t>N° contratos suscritos/N° contratos adjudicados.</t>
  </si>
  <si>
    <t>Elaborar y/o estructurar los contratos con todas las condiciones para su formalización</t>
  </si>
  <si>
    <t>se suscribieron y estructuraron 60 contratos de 60 que cumplían con todas las condiciones para su formalización.</t>
  </si>
  <si>
    <r>
      <rPr>
        <rFont val="Arial"/>
        <color rgb="FF1155CC"/>
        <sz val="10.0"/>
      </rPr>
      <t xml:space="preserve">Hoja "INDICADOR 3 CONTRATOS SUSCRITOS" </t>
    </r>
    <r>
      <rPr>
        <rFont val="Arial"/>
        <color rgb="FF1155CC"/>
        <sz val="10.0"/>
        <u/>
      </rPr>
      <t>https://drive.google.com/file/d/1XoV4CWd9GUqA7LvuxlBXKcT4sGHpoohj/view?usp=sharing</t>
    </r>
  </si>
  <si>
    <t>N° de contratos y/o convenios liquidados/N°contratos y/o convenios con solicitud de liquidación con la totalidad los requisitos..</t>
  </si>
  <si>
    <t>Revisar y aprobar actas de liquidación de contratos y convenios</t>
  </si>
  <si>
    <t>En el segundo trimestre 2021,se liquidaron 14 contratos y convenios, de los 14 solicitudes radicadas que cumplían con la totalidad de requisitos.</t>
  </si>
  <si>
    <r>
      <rPr>
        <rFont val="Arial"/>
        <color rgb="FF1155CC"/>
        <sz val="10.0"/>
      </rPr>
      <t xml:space="preserve">Hoja "INDICADOR 4 CTO LIQUIDADOS </t>
    </r>
    <r>
      <rPr>
        <rFont val="Arial"/>
        <color rgb="FF1155CC"/>
        <sz val="10.0"/>
        <u/>
      </rPr>
      <t>https://drive.google.com/file/d/1XoV4CWd9GUqA7LvuxlBXKcT4sGHpoohj/view?usp=sharing</t>
    </r>
  </si>
  <si>
    <t>N° de procesos publicados / N° de procesos desarrollados</t>
  </si>
  <si>
    <t>Publicar los procesos de contratación con la documentación derivada del mismo en el sistema electrónico de contratación pública</t>
  </si>
  <si>
    <t>En el segundo trimestre 2021, se publicaron 60 procesos junto con la documentación derivada del mismo, de los 60 procesos que se estaban desarrollando, esto incluyendo los procesos públicos de selección y los de contratación directa.</t>
  </si>
  <si>
    <r>
      <rPr>
        <rFont val="Arial"/>
        <color rgb="FF1155CC"/>
        <sz val="10.0"/>
      </rPr>
      <t xml:space="preserve">Hoja "INDICADOR 5 PROCESOS </t>
    </r>
    <r>
      <rPr>
        <rFont val="Arial"/>
        <color rgb="FF1155CC"/>
        <sz val="10.0"/>
        <u/>
      </rPr>
      <t>https://drive.google.com/file/d/1XoV4CWd9GUqA7LvuxlBXKcT4sGHpoohj/view?usp=sharing</t>
    </r>
  </si>
  <si>
    <t>N° de trámites adelantados /N° de solicitudes de incumplimiento</t>
  </si>
  <si>
    <t>Adelantar los trámites de incumplimientos de acuerdo con la normatividad vigente</t>
  </si>
  <si>
    <t>No se recibieron solicitudes de incumplimiento. Por ello no se ha tramitado ninguno</t>
  </si>
  <si>
    <t>No se reporta evidencia por lo expuesto en la justificación del avance.</t>
  </si>
  <si>
    <t>N° de certificaciones expedidas / N° de certificaciones solicitadas</t>
  </si>
  <si>
    <t>Expedir certificaciones de los contratos</t>
  </si>
  <si>
    <r>
      <rPr>
        <rFont val="Arial Narrow"/>
        <color rgb="FF000000"/>
        <sz val="9.0"/>
      </rPr>
      <t xml:space="preserve">
De 57 solicitudes recibidas al grupo de gestión contractual en el segundo trimestre ( donde se requerían la expedición de 78 certificados contractuales) se dio respuesta a 54 solicitudes en las que se certificaban </t>
    </r>
    <r>
      <rPr>
        <rFont val="Arial Narrow"/>
        <b/>
        <color rgb="FF000000"/>
        <sz val="9.0"/>
      </rPr>
      <t>72 contratos.</t>
    </r>
    <r>
      <rPr>
        <rFont val="Arial Narrow"/>
        <color rgb="FF000000"/>
        <sz val="9.0"/>
      </rPr>
      <t xml:space="preserve"> 
Nota 1: Hay peticiones donde a veces piden la certificación de más de 1 contrato. 
Nota 2: Las otras solicitudes restantes, donde requirieron la certificación de 6 contratos, se les dio respuesta conforme a los términos que exige la ley, sin embargo esta respuesta se dio excediendo el segundo trimestre, esto es, en julio de 2021. </t>
    </r>
  </si>
  <si>
    <r>
      <rPr>
        <rFont val="Arial"/>
        <color rgb="FF1155CC"/>
        <sz val="10.0"/>
      </rPr>
      <t>Hoja</t>
    </r>
    <r>
      <rPr>
        <rFont val="Arial"/>
        <i/>
        <color rgb="FF1155CC"/>
        <sz val="10.0"/>
      </rPr>
      <t xml:space="preserve"> "INDICADOR 7 CERTIFICADOS" </t>
    </r>
    <r>
      <rPr>
        <rFont val="Arial"/>
        <color rgb="FF1155CC"/>
        <sz val="10.0"/>
        <u/>
      </rPr>
      <t>https://drive.google.com/file/d/1XoV4CWd9GUqA7LvuxlBXKcT4sGHpoohj/view?usp=sharing</t>
    </r>
  </si>
  <si>
    <t>Evaluación Seguimiento y Control</t>
  </si>
  <si>
    <t>Control Interno</t>
  </si>
  <si>
    <t>Implementar y mantener el Sistema de Gestión de la Calidad (SGC) y Modelo Estándar de Control Interno (MECI)</t>
  </si>
  <si>
    <t>Eficiente</t>
  </si>
  <si>
    <t>Número de Acciones del plan anual de auditorias ejecutadas/Número de Acciones del plan anual de auditorias programadas</t>
  </si>
  <si>
    <t>Ejecución del plan Anual de Auditorias</t>
  </si>
  <si>
    <t>Control interno</t>
  </si>
  <si>
    <t>Euripides Gonzalez</t>
  </si>
  <si>
    <t>Asesor de control interno</t>
  </si>
  <si>
    <t>Euripides.gonzalez@aunap.gov.co</t>
  </si>
  <si>
    <t>humanos, Físicos, Financieros, Tecnológicos</t>
  </si>
  <si>
    <t>A 30 de junio se contempla una ejecución del 49% del Plan Anual de Auditoria</t>
  </si>
  <si>
    <t>https://drive.google.com/file/d/1kKL_0oJISDN0vqo3-1jRyZSbnd8NyImx/view?usp=sharing</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</si>
  <si>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</si>
  <si>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</si>
  <si>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</si>
  <si>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</si>
  <si>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</si>
  <si>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Servicios de administración de los recurso pesqueros y de la acuicultura</t>
  </si>
  <si>
    <t>Regular el manejo y el ejercicio de la actividad pesquera y de la acuicultura.</t>
  </si>
  <si>
    <t>Tramites atendidos</t>
  </si>
  <si>
    <t>Atender Tramites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</si>
  <si>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</si>
  <si>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</si>
  <si>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</si>
  <si>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</si>
  <si>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</si>
  <si>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</si>
  <si>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 xml:space="preserve">14.328 se registraron a junio de 2021 tramites </t>
  </si>
  <si>
    <t>https://drive.google.com/drive/folders/12Lrpnc5wY75LywqFEzSzVpucTP7XtSa5</t>
  </si>
  <si>
    <t>Servicio de ordenación pesquera y de la acuicultura</t>
  </si>
  <si>
    <t>Generar acuerdos de ordenación de la actividad pesquera y de la acuicultura.</t>
  </si>
  <si>
    <t>Acuerdos de ordenacion atendidos</t>
  </si>
  <si>
    <t>Se generaron 1 acuerdos de ordenación de la actividad pesquera y de la acuicultura.</t>
  </si>
  <si>
    <t>https://drive.google.com/drive/folders/1ig7yBCy_DBPgvB9yfx_8I7Frao3wytjW</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</si>
  <si>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</si>
  <si>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</si>
  <si>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</si>
  <si>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</si>
  <si>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</si>
  <si>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 xml:space="preserve">no se reporta </t>
  </si>
  <si>
    <t>1-Servicios de apoyo a las estaciones de acuicultura</t>
  </si>
  <si>
    <t>Producir alevinos para el sector productivo y/o con fines de repoblamiento.</t>
  </si>
  <si>
    <t>Estaciones de acuicultura apoyadas</t>
  </si>
  <si>
    <t xml:space="preserve">Apoyar a tres estaciones de acuicultura
</t>
  </si>
  <si>
    <t>Desarrollar acciones de extensión rural a través de las estaciones de acuicultura</t>
  </si>
  <si>
    <t>Gestión</t>
  </si>
  <si>
    <t>Efectividad</t>
  </si>
  <si>
    <t>Realizar eventos informativas y divulgativos de acuicultura a traves de las estaciones</t>
  </si>
  <si>
    <t>Desarrollar campañas informativas y divulgadas de acciones de acuicultura a traves de las estaciones</t>
  </si>
  <si>
    <t>Realizar seguimiento a los acuerdos de ordenación</t>
  </si>
  <si>
    <t>Seguimiento a los acuerdos de ordenación pesquera</t>
  </si>
  <si>
    <t>Realizar seguimiento a los acuerdos de ordenación pesquera</t>
  </si>
  <si>
    <t>Se realizaron 5 seguimientos a los acuerdos de ordenación pesquera</t>
  </si>
  <si>
    <t>https://drive.google.com/drive/folders/1gf8io1RgaFWHfj6c0JO9i4V1L-V-SRtq</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</si>
  <si>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</si>
  <si>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</si>
  <si>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Beneficiar a productores con estrategias de inclusión productiva</t>
  </si>
  <si>
    <t>Número de reportes realizados/Número de reporte programado</t>
  </si>
  <si>
    <t>Reportar información relacionada con las acciones de administración, ordenación y fomento de la pesca</t>
  </si>
  <si>
    <t>Se reportaron 1 información relacionada con las acciones de administración, ordenación y fomento de la pesca</t>
  </si>
  <si>
    <t>https://drive.google.com/drive/folders/1Q7U_unLOvk2VhsZZzPfCtwscIge_MKE9</t>
  </si>
  <si>
    <t>Realizar acciones de divulgación y formalización de la actividad pesquera y de la acuicultura.</t>
  </si>
  <si>
    <t>Número de congresos de pescadores realizados/Número de congresos de pescadores programados</t>
  </si>
  <si>
    <t>Realizar el Congreso de pescadores</t>
  </si>
  <si>
    <t>Número de estrategia de informacion realizadas</t>
  </si>
  <si>
    <t>Generar estrategia de informacion en los diferentes medios de comunicación, tradicionales, alternativos y digitales, que propendan por el fortalecimiento y la sostenibilidad de los recursos pesqueros y acuicolas en el territorio nacional</t>
  </si>
  <si>
    <t>Número de Documentos técnico realizados/Número de documentos técnicos programados</t>
  </si>
  <si>
    <t>Caracterizar a pescadores artesanales</t>
  </si>
  <si>
    <t>Actos Administrativos de caracter general publicados y comunicados</t>
  </si>
  <si>
    <t>Expedir actos administrativos de caracter general publicados y comunicados</t>
  </si>
  <si>
    <t>Se expedieron 7  actos administrativos de caracter general publicados y comunicados</t>
  </si>
  <si>
    <t>https://drive.google.com/drive/folders/1985i26SHHJMr8xeDwJVcaNMTDD263Bki</t>
  </si>
  <si>
    <t>Número de carnés de pescadores artesanales expedidos /Número de carnés de pescadores artesanales programados</t>
  </si>
  <si>
    <t>Formalizar pescadores artesanales.</t>
  </si>
  <si>
    <t>Gestión de control interno disciplinario</t>
  </si>
  <si>
    <t>Control Interno Disciplinario</t>
  </si>
  <si>
    <t>Número de informe sobre el estado de los procesos disciplinarios vigencia 2020 realizados/Número de informe sobre el estado de los procesos disciplinarios vigencia 2020 programados</t>
  </si>
  <si>
    <t>Elaboracion de un informe sobre el estado de los procesos disciplinarios vigencia 2020</t>
  </si>
  <si>
    <t>Secretaria General</t>
  </si>
  <si>
    <t>Daniel Ariza Heredia</t>
  </si>
  <si>
    <t>Secretario General</t>
  </si>
  <si>
    <t>daniel.ariza@aunap.gov.co</t>
  </si>
  <si>
    <t>No es exigible aún el informe</t>
  </si>
  <si>
    <t>Relación de la Ley 734 de 2002 y las normas que lo complementan en el 100% de las actuaciones generadas por CID.</t>
  </si>
  <si>
    <t>Aplicación de la Ley 734 de 2002 y las normas que lo complementan</t>
  </si>
  <si>
    <t>Se emitieron autos de impulso y se están esperando resultados de las pruebas ordenadas y practicadas en los trimestres anteriores</t>
  </si>
  <si>
    <t>https://drive.google.com/file/d/1V48tlSlvHAflIE3Ipved5hZ2ov1VrauB/view?usp=sharing</t>
  </si>
  <si>
    <t>Número de actividades de divulgación sobre derecho disciplinario realizadas/Número de actividades de divulgación sobre derecho disciplinario programadas</t>
  </si>
  <si>
    <t>Realizar actividades de divulgación sobre derecho disciplinario</t>
  </si>
  <si>
    <t>Se anunció el proyecto y aprobación de la reforma del Código General Disciplinario, del cual dependía la norma aplicable en los procesos disciplinarios. Una vez aprobada la actividad se dirigirá a explicar el régimen disciplinario entrante.</t>
  </si>
  <si>
    <t>https://drive.google.com/file/d/1ieOqmATG716cQZHvW0egPVAOp4hRGRug/view?usp=sharing</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</si>
  <si>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</si>
  <si>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</si>
  <si>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</si>
  <si>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</si>
  <si>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</si>
  <si>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</si>
  <si>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</si>
  <si>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</si>
  <si>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</si>
  <si>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Nelcy Villa</t>
  </si>
  <si>
    <t>Directora técnica de inspección y vigilancia</t>
  </si>
  <si>
    <t>nelcy.villa@aunap.gov.co</t>
  </si>
  <si>
    <t>Hacer ordenación de la actividad pesquera a nivel nacional fomentando la legalidad de la actividad pesquera y acuícola</t>
  </si>
  <si>
    <t>Se realizarom 18 talleres de socialización de normativa pesquera distribuidos así:                                                                                            En la D R Bogotá: 7                                      En la D R Barranquilla: 11</t>
  </si>
  <si>
    <t>https://drive.google.com/drive/folders/1vplUtCRjcKYYLzhJVC57AyX3_Hw32gZL</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</si>
  <si>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</si>
  <si>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</si>
  <si>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</si>
  <si>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</si>
  <si>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</si>
  <si>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Se realizaron los operativos de la siguiente manera:                                  Abril: 33                                                                                                           Mayo: 48                                                                                                      Junio: 46</t>
  </si>
  <si>
    <t>https://drive.google.com/drive/u/1/folders/1lfw5fH9Eh0n6JcZHZ_1pHqkTSJaOnMSJ</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</si>
  <si>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</si>
  <si>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</si>
  <si>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</si>
  <si>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 xml:space="preserve">se realizó una visita a la Dirección Regional Magangué </t>
  </si>
  <si>
    <t>https://drive.google.com/drive/u/1/folders/1talNgOubajKwuHUtAYuwVUe9rCVa6TGK</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</si>
  <si>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</si>
  <si>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</si>
  <si>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</si>
  <si>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No se presentaron metas para este trimestre</t>
  </si>
  <si>
    <t>N/A</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</si>
  <si>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</si>
  <si>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</si>
  <si>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</si>
  <si>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se actualizó la base de datos para el seguimiento de los permisionarios en el registro general de pesca - RGP</t>
  </si>
  <si>
    <t>https://drive.google.com/drive/u/1/folders/19pCCLgtnRbtZ15L-ZJumE-RmLwRCTwnF</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</si>
  <si>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</si>
  <si>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</si>
  <si>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</si>
  <si>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</si>
  <si>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</si>
  <si>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</si>
  <si>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Realizar el seguimiento de la actualización a las bases de datos, análisis generados de los componentes del Servicio Estadístico Pesquero Colombiano - SEPEC</t>
  </si>
  <si>
    <t>Bimestral</t>
  </si>
  <si>
    <t>se realizó seguimiento de la actualización a las bases de datos, análisis generados de los componentes del Servicio Estadístico Pesquero Colombiano - SEPEC</t>
  </si>
  <si>
    <t>https://drive.google.com/drive/u/1/folders/1fCg_caOR48Rxu54XDTZgbyi9lWjqEXPa</t>
  </si>
  <si>
    <t>Informes reportados a la oficina de comunicaciones sobre los operativos de inspección, vigilancia y control realizados.</t>
  </si>
  <si>
    <t>Reportar la información de los operativos de inspección, vigilancia y control realizados para su divulgacion.</t>
  </si>
  <si>
    <t>Gestión financiera</t>
  </si>
  <si>
    <t>Número de estados financieros elaborados, presentados, transmitidos y publicados/Número de Estados financieros programados para elaboración, presentación, transmición y publicación</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</si>
  <si>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</si>
  <si>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Sharol Natalia Mora</t>
  </si>
  <si>
    <t>Coordinador Financiero</t>
  </si>
  <si>
    <t>natalia.mora@aunap.gov.co</t>
  </si>
  <si>
    <t xml:space="preserve">Se cumplió con el avance de la actividad de acuerdo al tiempo establecido y la normatividad vigente. </t>
  </si>
  <si>
    <t>https://www.aunap.gov.co/index.php/secretraria-general/financiera#estados-financieros</t>
  </si>
  <si>
    <t>Número de publicaciones  de estados financieros realizadas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</si>
  <si>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</si>
  <si>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</si>
  <si>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https://www.aunap.gov.co/index.php/secretraria-general/financiera</t>
  </si>
  <si>
    <t>Gestión documental</t>
  </si>
  <si>
    <t>Gestión Documental</t>
  </si>
  <si>
    <t>Servicio de Gestión Documental</t>
  </si>
  <si>
    <t>Actualizar y mantener el Sistema de Gestión Documental</t>
  </si>
  <si>
    <t>Numero de intervenciones realizadas/Numero de intervenciones programadas</t>
  </si>
  <si>
    <t>Realizar los inventarios de Archivo de Nivel Central</t>
  </si>
  <si>
    <t>Funcionario</t>
  </si>
  <si>
    <t>Talento humano</t>
  </si>
  <si>
    <t>Plan Institucional de Archivos de la Entidad -PINAR</t>
  </si>
  <si>
    <t xml:space="preserve">Se realizó los inventarios documentales de las àreas de Administrativa, Contratos, Fomento y Financiera </t>
  </si>
  <si>
    <t>https://drive.google.com/drive/folders/1d7sseEbkAHVJiq9umaS9rpxBcrF6Qbf3?usp=sharing</t>
  </si>
  <si>
    <t>Realizar la organizacion de los archivos de Gestion</t>
  </si>
  <si>
    <t>Se realizo la organizaciòn documental a las areas de Administrativa, Contratos, Fomento y Financiera</t>
  </si>
  <si>
    <t>https://drive.google.com/drive/folders/1LjChXYjNNyxc9TolNsp0MwhDwhlsJH8p?usp=sharing</t>
  </si>
  <si>
    <t>Sensibilizacion a las areas de la AUNAP</t>
  </si>
  <si>
    <t>Se realizó la sensibilización a las Regionales de Bogotá, Barranquilla, Barranca y Villavicencio. Las inducciones e reinducciones a los funcionarios de la entidad con cooperacion de Talento Humano</t>
  </si>
  <si>
    <t>https://drive.google.com/drive/folders/1lRP69se5VGe85jyEwV6HiATudccwhcj1?usp=sharing</t>
  </si>
  <si>
    <t>Gestión jurídica</t>
  </si>
  <si>
    <t>Oficina Asesor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</si>
  <si>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</si>
  <si>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</si>
  <si>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Oficina Asesoria Juridica</t>
  </si>
  <si>
    <t>Miguel Angel Ardila</t>
  </si>
  <si>
    <t>Jefe Oficina Asesora Juridica</t>
  </si>
  <si>
    <t>miguel.ardila@aunap.gov.co</t>
  </si>
  <si>
    <t>Defensa Jurídica</t>
  </si>
  <si>
    <t>OPORTUNIDAD EN LAS RESPUESTAS DE LOS DERECHOS DE PETICIÓN EN LOS TÉRMINOS ESTABLECIDOS LEGALMENTE, ASI MISMO VIGILANCIA A LOS PROCESOS JUDICIALES POR PARTE DE LOS APODERADOS DE LA OAJ</t>
  </si>
  <si>
    <t>https://drive.google.com/drive/folders/1Yx7PgLI7Gm1EpLH64uLTGnWI3LCamwFn</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</si>
  <si>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</si>
  <si>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</si>
  <si>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ATENCION OPORTUNA Y SEGUIMIENTO EN CADA UNA DE LAS ETAPAS DEL PROCESO COACTIVO.</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</si>
  <si>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</si>
  <si>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</si>
  <si>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EJECUCIÓN  EN TIEMPOS, REVISIÓN Y ASISTENCIA DE LOS ACTOS ADMINISTRATIVOS JURIDICAMENTE  DANDO CUMPLIMIENTO A LAS FUNCIONES DE LA OAJ</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</si>
  <si>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</si>
  <si>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</si>
  <si>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CUMPLIMIENTO JURIDICO A LA DIRECCIÓN GENERAL Y DEMÁS ÁREAS DE LA AUTORIDAD JURIDICAMENTE.</t>
  </si>
  <si>
    <t xml:space="preserve">https://drive.google.com/drive/folders/1Yx7PgLI7Gm1EpLH64uLTGnWI3LCamwFn
</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</si>
  <si>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</si>
  <si>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</si>
  <si>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ATENCIÓN OPURTUNA POR PARTE DE LOS APODERADOS ASIGNADOS EN LOS PROCESOS JUDICIALES EN LA ALIMENTACIÓN DE LA PLATAFORMA EKOGUI.</t>
  </si>
  <si>
    <t>https://www.defensajuridica.gov.co/Paginas/Default.aspx</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</si>
  <si>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</si>
  <si>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</si>
  <si>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</si>
  <si>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</si>
  <si>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</si>
  <si>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</si>
  <si>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</si>
  <si>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</si>
  <si>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Construcción de documentos de investigacion con el fin de generar conocimiento sobre la evaluacion del recurso pesquero y de la actividad pesquera, realizadas desde la OGCI</t>
  </si>
  <si>
    <t>Maria Angarita Peñaranda</t>
  </si>
  <si>
    <t>Jefe Oficina</t>
  </si>
  <si>
    <t>maria.angarita@aunap.gov.co</t>
  </si>
  <si>
    <t>Humanos, fisicos, financieros y tecnologicos</t>
  </si>
  <si>
    <t>Gestión del conocimiento</t>
  </si>
  <si>
    <t>Gestión del Conocimiento y la Innovación</t>
  </si>
  <si>
    <t>El reporte de esta actividad es anual, por ende no se reporta en este trimestre</t>
  </si>
  <si>
    <t>Evaluar el estado de aprovechamiento de los recursos pesqueros marinos, continentales y ornamentales en las cuencas hidrográficas del país</t>
  </si>
  <si>
    <t>Conceptos técnicos atendidos/Conceptos tecnicos solicitados</t>
  </si>
  <si>
    <t>Emitir conceptos técnicos relacionados con la pesca, atendidos de acuerdo con las solicitudes recibidas.</t>
  </si>
  <si>
    <t>Para este trimestre se solicitaron 6 conceptos tecnicos y se atendieron todos estos 6 conceptos</t>
  </si>
  <si>
    <t>https://drive.google.com/drive/folders/1Lzbc6bv79N5mKIlEosXVba2x-pNxEF2U?usp=sharing</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</si>
  <si>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</si>
  <si>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</si>
  <si>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</si>
  <si>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</si>
  <si>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Construcción de documentos de lineamientos técnicos generados de las investigaciones en acuicultura realizadas desde la OGCCI</t>
  </si>
  <si>
    <t>Evaluar sistemas de producción y nuevas tecnologías en la acuicultura de especies nativas de consumo y ornamentales marinas y continentales</t>
  </si>
  <si>
    <t>Emitir conceptos técnicos relacionados con la acuicultura, atendidos de acuerdo con las solicitudes recibidas.</t>
  </si>
  <si>
    <t>Para este trimestre se solicitaron 4 conceptos tecnicos y se atendieron todos estos 4 conceptos</t>
  </si>
  <si>
    <t>https://drive.google.com/drive/folders/1P-YUpQqXNoQRrYOTiaKjmsZtHhBL_TDD?usp=sharing</t>
  </si>
  <si>
    <t>Especies animales y vegetales mejoradas</t>
  </si>
  <si>
    <t>Obtener información para el mejoramiento genético de especies nativas con fines de cultivo y repoblamiento y especies exóticas domesticadas con fines de cultivo</t>
  </si>
  <si>
    <t>Especies trabajadas a nivel genético</t>
  </si>
  <si>
    <t>Ejecutar investigaciones en especies acuícolas para trabajos a nivel genético desarrollados desde la OGCI</t>
  </si>
  <si>
    <t>Fortalecer la generación de insumos de planificación pesquera y de la acuicultura</t>
  </si>
  <si>
    <t>Servicio de análisis de Información para la planificación pesquera y de la acuicultura</t>
  </si>
  <si>
    <t>Realizar la caracterización socioeconómica de pescadores artesanales, acuicultores continentales y marinos y otros eslabones de la cadena productiva con inclusión de género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</si>
  <si>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</si>
  <si>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Recolectar información de la cadena productiva, relacionada con los procesos de comercialización y mercadeo</t>
  </si>
  <si>
    <t>Analizar y procesar la información geográfica de la pesca y de la acuicultura</t>
  </si>
  <si>
    <t>Eventos de divulgación de resultados</t>
  </si>
  <si>
    <t>Realización de conferencias o conversatorios para la divulgacion de resultados de investigaciones en pesca,  para personal interno de la AUNAP ó para publico externo de la AUNAP</t>
  </si>
  <si>
    <t>Se  adelantó  una  charla  en  la  cual  se  dieron  a  conocer  los  resultados  del  convenio  283  de 2020, el cual tenia como objetivo   recolectar, registrar y analizar la información biológico– pesquera  derivada  del  monitoreo  a  bordo en  barcos  industriales  y  en  algunas  flotas  de pesca artesanal que operan en los litorales Caribe y Pacífico, adicional a esta charla, tambien fue realizada la charla: Dinamica de la pesca industrial atunera con red de cerco</t>
  </si>
  <si>
    <t>https://drive.google.com/file/d/18OJDPi4D903LVgIQoOwvRYgPjedCv8EC/view?usp=sharing
https://drive.google.com/file/d/1rg0dvntxAsn80OIlIvtlXTVC4HBzdSDN/view?usp=sharing</t>
  </si>
  <si>
    <t>Realización de conferencias o conversatorios para la divulgacion de resultados de investigaciones en acuicultura,  para personal interno de la AUNAP ó para publico externo de la AUNAP</t>
  </si>
  <si>
    <t>Se realizo conferencia virtual abierta a la participación sobre las contribuciones de la AUNAP, para fomentar la investigación en la acuicultura de país, priorizando sus resultado en generar espacios de productividad, se conto con profesionales en área de biología, investigadores y contratistas y funcionarios de la entidad, quienes demostraron mucho interés en los temas de los diferentes proyectos y dieron a conocer su intención de ser aliados de la AUNAP, para promover más proyectos de investigación</t>
  </si>
  <si>
    <t>https://drive.google.com/file/d/1ZKNdgb3E4nWOSO-aqHgQFF8tQX-WVG3i/view?usp=sharing</t>
  </si>
  <si>
    <t>Direccionamiento estratégico</t>
  </si>
  <si>
    <t>Número de planes de acción elaborado y publicado/Número de planes de acción programados para elaboración y publicación.</t>
  </si>
  <si>
    <t>Elaborar conjuntamente con la áreas y publicar el Plan de Acción de la AUNAP</t>
  </si>
  <si>
    <t>Elsa Malo Lecompte</t>
  </si>
  <si>
    <t>Profesional Especializado con Funciones de Planeación</t>
  </si>
  <si>
    <t>elsa.malo@aunap.gov.co</t>
  </si>
  <si>
    <t>No se tiene establecida meta de avance para este trimestre</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</si>
  <si>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</si>
  <si>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</si>
  <si>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Número de informes realizados y publicados/Número de informes programados.</t>
  </si>
  <si>
    <t>Realizar  y publicar cuatro (4) análisis de la gestión de: Plan de Acción, Plan Anticorrupción y Atención a la Ciudadanía - PAAC y Gestión de riesgos dirigido a los líderes de procesos.</t>
  </si>
  <si>
    <t>Evaluación de Resultados</t>
  </si>
  <si>
    <t>Seguimiento y evaluación del desempeño institucional</t>
  </si>
  <si>
    <t>Se realizo la publicación del Monitoreo del plan de acción correspondiente al segundo trimestre</t>
  </si>
  <si>
    <t>https://docs.google.com/spreadsheets/d/1XX1hK76vKZokmWvcQLv9yz_GhUoODjWbraG6K6d8EEg/edit#gid=1942166271</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</si>
  <si>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</si>
  <si>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</si>
  <si>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Número de talleres realizados en regionales/Número de talleres programados en regionales</t>
  </si>
  <si>
    <t>Realizar cinco (5) talleres de manera presencial o virtual en temas de Planeación dirigido a las Direcciones Regionales.</t>
  </si>
  <si>
    <t>Número de talleres realizados en nivel central/Número de talleres programados en nivel central</t>
  </si>
  <si>
    <t>Realizar cinco (5) talleres de manera presencial o virtual,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</si>
  <si>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</si>
  <si>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</si>
  <si>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tres (3) estaciones pesqueras de la AUNAP.</t>
  </si>
  <si>
    <t>Número de informes de gestión realizados/Número de informes de gestión programados</t>
  </si>
  <si>
    <t>Elaborar un informe de gestion de la entidad.</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</si>
  <si>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</si>
  <si>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</si>
  <si>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</si>
  <si>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</si>
  <si>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</si>
  <si>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Jefe de Oficina</t>
  </si>
  <si>
    <t>Plan Estratégico de Tecnologías de la Información y las Comunicaciones -PETIT</t>
  </si>
  <si>
    <t>Seguridad Digital</t>
  </si>
  <si>
    <t>9. Industria, innovación e infraestructura</t>
  </si>
  <si>
    <t>El reporte de esta actividad es anual, por ende no se debe reportar en este trimestre</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</si>
  <si>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</si>
  <si>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</si>
  <si>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</si>
  <si>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Documentos técnicos fortalecidos</t>
  </si>
  <si>
    <t>Fortalecer la formulación del manual del sistema de gestión de seguridad de la información-SGSI y del Plan Estrategico de Tecnologias de la Informacion-PETI</t>
  </si>
  <si>
    <t>Se fortalece el documento Plan Estratégico de Seguridad de la Información – PESI, el cual será formalizado en el trancurso de lo que queda de esta vigencia</t>
  </si>
  <si>
    <t>https://drive.google.com/file/d/1PHt6v_0dgDD_KulceYCVdR5tnzYTRTlS/view?usp=sharing</t>
  </si>
  <si>
    <t>Documentos técnicos actualizados</t>
  </si>
  <si>
    <t>Conforme a los resultados de la socializacion y retroalimentacion de los planes de tecnologias de la AUNAP, se actualizara el plan estratégicos de seguridad de la información - PESI  y el plan de tratamiento de riesgos de seguridad y privacidad de la Información</t>
  </si>
  <si>
    <t>Para este trimestre no se reporta actividad para esta meta</t>
  </si>
  <si>
    <t>Formatos</t>
  </si>
  <si>
    <t>Fortalecer el compromiso de confidencialidad para ser diligenciado por los contratistas, y crear formato de paz y salvo para contratistas y formato de acta de entrega para los funcionarios, con la finalidad de entregar la documentación trabajada durante el vínculo con la entidad, y solicitar a la coordinación de gestión contractual, incluir esto como obligación general en los estudios previos de los contratistas, con el fin de dar cumplimiento con lo estipulado en el Plan Estratégico de Seguridad de la Información.</t>
  </si>
  <si>
    <t>Gestión del talento humano</t>
  </si>
  <si>
    <t>Numero de actividades desarrolladas Vs Numero de actividades propuestas en el plan de Bienestar e incentivos</t>
  </si>
  <si>
    <t>Ejecutar las actividades propuestas en el plan de Bienestar e incentivos</t>
  </si>
  <si>
    <t>Helmuth Bettin</t>
  </si>
  <si>
    <t>Coordinador del Area</t>
  </si>
  <si>
    <t>helmuth.bettin@aunap.gov.co</t>
  </si>
  <si>
    <t>Plan de Incentivos Institucionales</t>
  </si>
  <si>
    <t xml:space="preserve">Se cumplieron con todas actividades establecidas en el cronograma del Plan de Binestar para el Segundo trimestre del año </t>
  </si>
  <si>
    <t>https://drive.google.com/drive/u/1/folders/1R9b7_7SE4iA0CimBa2qexD6XSAofr_wl</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</si>
  <si>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</si>
  <si>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</si>
  <si>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</si>
  <si>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Se estan adelantando la ejecución de las actividades establecidas en el cronograma del Plan Anual en Seguridad y Salud en el Trabajo garantizando la ejecución del plan total al finalizar la vigencia 2021</t>
  </si>
  <si>
    <t>https://drive.google.com/drive/u/1/folders/1s3FB80LqvI8SPwr9S_0BieGYn5TwHs9q</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</si>
  <si>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</si>
  <si>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</si>
  <si>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</si>
  <si>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</si>
  <si>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</si>
  <si>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Se estan adelantando las actividades establecidas en el cronograma del  Plan Institucional de Capacitación de acuerdo con la medición anual planteada</t>
  </si>
  <si>
    <t>https://drive.google.com/drive/u/1/folders/1YiqM_h7N_dbsy6gEfFMdFil7EWI2gKbW</t>
  </si>
  <si>
    <t>Numero de actividades  realizadas Vs Numero de actividades programadas</t>
  </si>
  <si>
    <t>Cumplir con el 100% de las actividades propuestas en el Procedimiento de Vinculacion de Vacantes en cada uno de los nombramientos.</t>
  </si>
  <si>
    <t>Plan Anual de Vacantes</t>
  </si>
  <si>
    <t>Se cumplieron con todas actividades establecidas en el cronograma del  Plan Anual de Vacantes para el Segundo trimestre del año.</t>
  </si>
  <si>
    <t>https://drive.google.com/drive/u/0/folders/19n-BfvodAqqRDwR-VKQ-mDrZZuO43Jp9</t>
  </si>
  <si>
    <t>Regional Barrancabermeja</t>
  </si>
  <si>
    <t>Realizar operativos de control y sensibilización</t>
  </si>
  <si>
    <t>JAVIER JESUS OVALLE MARTINEZ</t>
  </si>
  <si>
    <t>DIRECTOR REGIONAL</t>
  </si>
  <si>
    <t>javier.ovalle@aunap.gov.co</t>
  </si>
  <si>
    <t>Personal, viaticos, transporte</t>
  </si>
  <si>
    <t>Durante el segundo Trimestre del año 2021, se realizó un total de noventa y cuatro (94) Operativos, distribuidos de la siguiente manera: 
5 Operativos Acuícolas: Se inspeccionaron los establecimientos yo proyectos piscícolas de:  Bucaramanga: Vereda El Aburrido; Curiti: Proyecto Piscícolas Barrio Las Brisas; Lebrija: Vereda La Puente; Morales: Vereda El Dique; Puerto Wilches: Corregimiento Puente Sogamoso;
62 Operativos a Establecimientos comerciales:  Se inspeccionaron los establecimientos comerciales de:  Barrancabermeja: Sector El Muelle y La Rampa. Bucaramanga: Centro de abastos, Plaza Guarín, Café Madrid. Cimitarra, Puerto Wilches, San Pablo, Puerto Triunfo, Puerto Berrio, Cúcuta, Puerto Boyacá, Piedecuesta, Floridablanca y San Gil en Centros de abastos, Plazas de Mercado, Puntos de Venta. 
27 Operativo de Pesca Artesanal:  Se inspeccionaron a los pescadores artesanales al igual que sus equipos y aparejos de pesca reglamentarios en: Barrancabermeja: Sector La Represa, La Rampa, El Muelle, Puerto de desembarco el Llanito. Cimitarra: Muelle (Vereda Vuelta Acuña). Puerto Boyacá Muelle de Pescadores.
Se efectuaron recorridos en las Ciénagas de Paredes (Sabana de Torres); Ciénaga Colorada (Puerto Wilches), Ciénaga Tabacuru y Bija (San Pablo); Ciénaga de Simiti (Simiti); Ciénaga Miramar, Ciénaga San Silvestre (Barrancabermeja); Ciénaga de Barbacoas (Yondó). 
Es importante resaltar que de los noventa y cuatro (94) operativos realizados durante el segundo trimestre, se efectuaron once (11) informes técnicos de decomiso.</t>
  </si>
  <si>
    <t>https://drive.google.com/drive/folders/1NB7I2PfIMRwSSADTj-4W8IroElIBzlyQ?usp=sharing</t>
  </si>
  <si>
    <t>Número de eventos realizados/número de eventos desarrollados.</t>
  </si>
  <si>
    <t>Realizar eventos de divulgación y socialización a nivel nacional en pro de disminuir las malas prácticas, en el ejercicio del control y vigilancia preventiva de la actividad pesquera y acuícola.</t>
  </si>
  <si>
    <t>Durante el  segundo trimestre, se realizaron catorce (14) eventos de divulgación en pro de disminuir las malas prácticas pesqueras dirigidas a:        
* Gremio de Comercializadores de Productos Pesqueros de Puerto Berrio (Ant); Santa Rosa (Bolívar), Bucaramanga y San Gil (Santander); Puerto Boyacá (Boyacá); Aguachica y Gamarra (Cesar).
* Integrantes de la Policía Nacional y Carabineros de los municipios de Landazuri (Santander); Bucaramanga (Santander).
*Integrantes de la Armada Nacional de Infantería de Marina de Barrancabermeja (Santander). 
*Integrantes del Ejercito Nacional de Puerto Boyacá (Boyacá). 
Debido a la actualización de la normatividad y atención de solicitudes por parte de la Fuerza Pública y gremio de comerciantes,  se aumentó la meta programada.</t>
  </si>
  <si>
    <t>https://drive.google.com/drive/folders/1lmzrgbDyzTtLVELP4XvDM1zoob1wxf96?usp=sharing</t>
  </si>
  <si>
    <t>Trámites atendidos</t>
  </si>
  <si>
    <t>Atender Trámites</t>
  </si>
  <si>
    <t xml:space="preserve">
Durante el Segundo trimestre, la Dirección Regional Barrancabermeja atendió y gestionó: 
*Once (11) Permisos Arel:
•        Bolívar: Morales: No. 2892. Ana Armesto; No. 2893; No. Milena Rodríguez; No. 2894. Sunilda Pontón; No. 2895. Mileinis Ruiz; No. 2896. Juliet Hernández; No. 2897. Liadis Sierra; No. 2898. Yesica Acosta; No. 2899. Mariana Quintero; No. 2900. Johana Acosta; No. 2901. Elvia Larios.
•        Santander: Simacota: No. 2907. Angel Rivero.
*Treinta y seis (36) Conceptos Técnicos correspondientes a:
(17) Prórrogas de Permisos de Comercialización: 
Antioquia: Puerto Berrio: PTB 002. Luis Fernando Vahos; PTB 003. Rafael Ospina. 
Norte de Santander: Cúcuta: CUC 018. Comercializadora Montes de Colombia S.A.S; CUC 022. Supermercado JM PLUS S.A.S. CUC 024.  Pescadería JJ Escobar. CUC 025. Pescadería Roa; CUC 026. Pescadería Marlebis. CUC 029. Proservinorte S.A.S. CUC 030. Pescadería Polo Norte. CUC 031. Inversiones SABUCU S.A.S
Santander: Socorro: BUC 006. Omar Useda Corredor. Socorro: Bucaramanga: BUC 11: Pescaderia El Viagara. BUC 012. Jose Oscar Ortiz. BUC 014.  Heriberto Arenas. BUC 018. PA y PEZ. 
Cesar: Aguachica: SIM 001. Maria Tellez. SIM 002. Fábrica de Hielo y Pesquera La Pacora.  
(3) Otorgamiento de Permisos de Comercialización y (2) Otorgamiento de Repoblamiento: 
Cimitarra: PTB 001. Alcaldía Municipal de Cimitarra- Repoblamiento. 
Barrancabermeja: BAR 009. Piscícola San Silvestre. 
Bucaramanga: BUC 009. Surtimax ; BUC 010. Tarazona Ardila Hermes. 
(8) Otorgamiento de Permiso de Cultivo:
Antioquia. BAR 010. piscícola Gustavo Adolfo. 
Santander: El Playón: BUC 007. Centro piscícola de los Andes. BUC 008. Productora de Mojarra Oibas FISH CULTURE LTDA; BUC 016. Freidy Alejandro Hernández; BUC 017. Pesquera La Granja El Cucharo. BUC 019. Pescaos SAS.
Norte de Santander: CUC 019. Piscicultura El Manantial S.A.S; CUC 020. piscícola La Gaviota.
(6) Inclusión o Modificación de Permiso de Comercialización:
Norte de Santander: CUC 017. Comercializadora Montes de Colombia S.A.S; CUC 021. Supermercado JM PLUS S.A.S. BUC 31. Compañía Pesquera del Mar S.A.S; BUC 32. Compañía Pesquera del Mar S.A.S. CUC 028. Proservinorte S.A.S. BUC 020. Compañía Pesquera del Mar S.A.S
(3) Cancelación de Permisos de Cultivo: 
Norte de Santander: CUC 023. Trucha La Isla. CUC 027. Pamplonita.   
Santander: BUC 013. Edgar Saldoval. 
(1) Cancelación de Permisos de Comercialización: 
BUC 021. Pesquera Danamar.
Cabe anotar que la cancelación de los permisos no se cuenta. Por consiguiente, se dio trámite a 47 solicitudes, reflejando a su vez, un aumento en la meta programada.
</t>
  </si>
  <si>
    <t>https://drive.google.com/drive/folders/1xGk0uSruhh86XnDQU2uX8TE-IaKSHx3f?usp=sharing</t>
  </si>
  <si>
    <t>Número de Asociones capacitadas/Número de asociaciones programadas para capacitar</t>
  </si>
  <si>
    <t>Capacitar asociaciones en temas de pesca y acuicutura</t>
  </si>
  <si>
    <t>Durante el segundo trimestre, se realizaron cuatro (4) capacitaciones en temas de normatividad pesquera, proyectos productivos, actividades conexas. Se atendieron setenta (70) personas. 
Antioquia: Asociación de Pescadores del municipio de Puerto Nare- ASOPESNA
Santander: Asociación De Pescadores Artesanales, Pequeños Mineros Y Agricultores Del Centro Poblado De Provincia Y Sectores Aledaños Al Área De Influencia A Lo Largo Del Rio Lebrija- ASOPRIL Y Asociación De Pescadores Y Mineros Rio Lebrija.
Simiti: Junta de Acción comunal Miraflores. 
Norte de Santander: Asociación De Pescadores De La Gabarra- ASOPESCAR</t>
  </si>
  <si>
    <t>https://drive.google.com/drive/folders/1SZ0RG4S06cXdENPNHfd4pjJBOEejPU7f?usp=sharing</t>
  </si>
  <si>
    <t>Formalizar pescadores artesanales</t>
  </si>
  <si>
    <t>Durante el segundo Trimestre, se diligenciaron trescientos treinta y dos (332) Registros de Pesca Artesanal correspondientes a los consecutivos desde el CA2021040332- CA2021040663, las zonas atendidas fueron: 
ANTIOQUIA: Yondó:  ASPRECY (13). 
BOLIVAR: Morales: ASOAGROPESPAI (36). Simiti: INDEPENDIENTE: 21 
BOYACÁ: Puerto Boyacá: ASOPEZBOY (15); INDEPENDIENTE (04). 
NORTE DE SANTANDER: ASOPESCAR (12); INDEPENDIENTE (35)
SANTANDER: Cimitarra: ASOPEZ VUELTA ACUÑA (39), ASOPEVERNU (12); Lebrija: ASPEST (3); Barrancabermeja: FIBIMAG (1), APESTERGAL (5), ASOPELLMAG (1), ASOPETRACRMAGDALENA (14), ASOPENOR (13), PEZCOMAGDA (1), ASOPETRASAN (22), APACCO (41), APALL (1), INDEPENDIENTE (6); Sabana de Torres: ASOPESCAMAS (2); Betulia: ASOGAMOSO (1), ASOPESVESA (1), INDEPENDIENTE (1); Puerto Wilches: ASOPECACO (11), INDEPENDIENTE (4); Girón: CORTURPIALHES (17)
Se atendieron solicitudes de renovación de carnés, y vinculación de nuevas asociaciones. Por tanto, hubo un aumento en la meta programada.</t>
  </si>
  <si>
    <t>https://drive.google.com/drive/folders/16-xxx6VG8M1l7YSVoP4W8QofwbIPkIPZ?usp=sharing</t>
  </si>
  <si>
    <t>Número de capacitaciones realizadas/Número de capacitaciones programadas</t>
  </si>
  <si>
    <t>Capacitar a los grupos de interes en asociatividad y normatividad para el ejercicio de la acuicultura, pesca, y actividades conexas</t>
  </si>
  <si>
    <t>Durante el segundo Trimestre del año, se realizaron once (11) Capacitaciones dirigidas a las asociaciones de pescadores artesanales y comerciantes que hacen parte de la jurisdicción Regional Barrancabermeja, socializando en temas de pesca en cuanto a trámite de permisos de Pesca, Cultivo y/o comercialización (Resolución No. 2363 del 2020); socialización del programa coseche y venda a la fija,  desde Puerto Nare (Ant), Cúcuta (N. Stder), Puerto Parra (Stder), Puerto Boyacá (Boyacá)  Atendiendo ciento setenta y ocho (178) pescadores artesanales de ASOPESNA, Comerciantes, ASOPESVABA, APECOP, ASOPESCAR Y ASOPESCANOS cumpliendo con los protocolos de bioseguridad ante COVID 19.  Se aumentó la meta programada.</t>
  </si>
  <si>
    <t>https://drive.google.com/drive/folders/1B0ercEBPx_Iv7xkTHYyiyth-nYnpCmYS?usp=sharing</t>
  </si>
  <si>
    <t>Durante el segundo trimestre del año, se realizó un informe del seguimiento sujeto  al acuerdo de veda del Bagre rayado por avistamiento de candeleo, establecido como estrategia de conservación de la especie endémica que se encuentra en via de extinción, trabajando mancomunadamente con las asociaciones ASOPEZCHUCURI, ASOPESBOCAR Y ASODESBA.</t>
  </si>
  <si>
    <t>https://drive.google.com/drive/folders/1O-BHLpDVC2uOioIVfFwf3Mn2YfbeTlCH?usp=sharing</t>
  </si>
  <si>
    <t>Generar acuerdos de ordenación de la actividad pesquera y de la acuicultura</t>
  </si>
  <si>
    <t xml:space="preserve">La ejecución de esta actividad esta programada para el IV Trimestre, está en proceso. Por tanto no se adjunta evidencia. </t>
  </si>
  <si>
    <t>No se ha generado carpeta de evidencias sobre esta actividad</t>
  </si>
  <si>
    <t>Regional Barranquilla</t>
  </si>
  <si>
    <t>Gestionar las solicitudes de los tramites de permisos de para el ejercicio de la pesca y la acuicultura</t>
  </si>
  <si>
    <t>Jorge Roa</t>
  </si>
  <si>
    <t>Director Regional</t>
  </si>
  <si>
    <t>jorge.roa@aunap.gov.co</t>
  </si>
  <si>
    <t xml:space="preserve">Se relizaron 164 tramites de pequeños comerciates y 98 para comercializacion general </t>
  </si>
  <si>
    <t>https://drive.google.com/drive/folders/1vQBf4upsNEi1tJVKZWc0VVlf4dANbkc2?usp=sharing</t>
  </si>
  <si>
    <t>Número de alevines rescatados y trasladados a areas de guarderias/Número de alevines programados para  rescate y traslado a areas de guarderia</t>
  </si>
  <si>
    <t>Rescate y traslado de alevines de las especies migratorias y nativas en temporada de subienda a areas cenagosas dentro de la DRBQ</t>
  </si>
  <si>
    <t xml:space="preserve">El gobla anual de esta meta fue cumplida, no obstsnte se han realizado y dado cumplimiento a soliictud de las comunidades dado que el programa PERTS de la DRBQ ha sido exitoso </t>
  </si>
  <si>
    <t>https://drive.google.com/drive/folders/1kzgav-qgeVN9aps2MZtVvH4hQibDj-0n?usp=sharing</t>
  </si>
  <si>
    <t>3-Servicios de apoyo a las estaciones de acuicultura</t>
  </si>
  <si>
    <t>Campañas divulgativas</t>
  </si>
  <si>
    <t>Apoyar en el desarrollo de campañas informativas y divulgadas de acciones de acuicultura a través de las estaciones </t>
  </si>
  <si>
    <t>Se dio Cumplimiento a los eventos programados</t>
  </si>
  <si>
    <t>https://drive.google.com/drive/folders/1npWQFZ0m9ED4H05Lpe9-sv20hI50V9or?usp=sharing</t>
  </si>
  <si>
    <t>Numero de censo realizados / No municipios visitados</t>
  </si>
  <si>
    <t>Realizar censo de embarcaciones y motonaves en algunas comunidades de pescadores de la DRBQ</t>
  </si>
  <si>
    <t>No hay acctividad programada para este trimestre</t>
  </si>
  <si>
    <t>realizar censo de cultivos en algunos municipios de los departamentos de la region Caribe</t>
  </si>
  <si>
    <t>Número de acuerdos pesqueros gestionados/Número de acuerdos pesqueros programados para ser gestionados</t>
  </si>
  <si>
    <t>Impulsar la construccion y/o actuaizar e implementar los acuerdo pesqueros en algunos sistemas hidricos de</t>
  </si>
  <si>
    <t>Número de vallas informativas en relación a normatividad de pesca y acuicultura en puertos, muelles de desembarques marinas y áreas de pesca implementadas/Número de vallas programadas para informativar en relación a normatividad de pesca y acuicultura en puertos, muelles de desembarques marinas y áreas de pesca implementadas.</t>
  </si>
  <si>
    <t>Implementar vayas informativas en relacion a normatividad de pesca y acuicultra en puertos, mulles de desembarques marinas y areas de pesca</t>
  </si>
  <si>
    <t>Registro de desembarcos</t>
  </si>
  <si>
    <t>Realizar el registro de desembarco de algunas de las asociaciones pesquera que estan dentro de la jurisdiccion de la Regional Barranquilla</t>
  </si>
  <si>
    <t xml:space="preserve">El cumplimiento de esta actividad fue de seis regitros de desmbarcos </t>
  </si>
  <si>
    <t>Entrega de elemento e insumos a las asociaciones</t>
  </si>
  <si>
    <t>Apoyar en la entregas de insumos y elementos a asociones de pescadores y acuicultores</t>
  </si>
  <si>
    <t>Numero pescadores artesanales formalizados/ No de pescadores</t>
  </si>
  <si>
    <t>Expedir carnets, para el ejercicio de la actividad pesquera</t>
  </si>
  <si>
    <t xml:space="preserve">Dado las caracterizaciones del PNUD asi como las solicitudes de las comunidades es dificil poder limitar esta accion a la meta ya que la misma esta sujeta al interes de la comunidades </t>
  </si>
  <si>
    <t>Numero de operativos de control a la actividad pesquera y acuicola realizados</t>
  </si>
  <si>
    <t>Realizar acciones de sensibilizacion (operativos) para el ejercio de las actividades de pesca y acuicultura dentro de la normatividad</t>
  </si>
  <si>
    <t>Se dio el cumplimiento de la totalidad de los operativos planeados</t>
  </si>
  <si>
    <t>https://drive.google.com/drive/folders/15CTvvALIR5CZAFeS-LOYt9HpFXwh3216?usp=sharing</t>
  </si>
  <si>
    <t>2-Servicios de apoyo a las estaciones de acuicultura</t>
  </si>
  <si>
    <t>Alevinos producidos</t>
  </si>
  <si>
    <t>Producir alevinos en las estaciones Piscicolas a nivel nacional  en las estaciones y centros de la AUNAP con fines de repoblamiento y fomento de la actividad pesquera y acuicola</t>
  </si>
  <si>
    <t xml:space="preserve">Se cumplio la meta de producción. Ademas se asumio la produccion de Buenaventura que por temas de logistica no podria cumplir </t>
  </si>
  <si>
    <t>https://drive.google.com/drive/folders/1J4Kl9amOSx9BK6WWrQWQopObwVRspVIM?usp=sharing</t>
  </si>
  <si>
    <t>Asociaciones instruidas en  buenas practicas pesqueras y acuicolas para el ejercicio de la pesca y la acuicultura y asociatividad</t>
  </si>
  <si>
    <t>Instruir a las comunidades en asociatividad, buenas practicas pesqueras y acuicolas para  el ejercicio de la pesca y la acuicultura</t>
  </si>
  <si>
    <t>Se cumplio con el total de lo planeado</t>
  </si>
  <si>
    <t>https://drive.google.com/drive/folders/1nOThh0PDgJZjSjMClQ3NkXxHu6FDPrhm?usp=sharing</t>
  </si>
  <si>
    <t>Grupos de interes instruidos en  buenas practicas pesqueras y acuicolas para el ejercicio de la pesca y la acuicultura y asociatividad</t>
  </si>
  <si>
    <t>Instruir a grupos de interes en buenas practicas pesqueras y acuicolas para  el ejercicio de la pesca y la acuicultura</t>
  </si>
  <si>
    <t>Se dio cumplimiento total con lo establecido</t>
  </si>
  <si>
    <t>https://drive.google.com/drive/folders/1DJkyJowVePHz-cPk6WeAshEhoLMjdqC3?usp=sharing</t>
  </si>
  <si>
    <t>No seguimientos a entrega de elementos</t>
  </si>
  <si>
    <t>Realizar acciones para verificacion del buen uso de los elementos, equipos e insumos entregados a las asociaciones</t>
  </si>
  <si>
    <t>Se logro realizar el seguimiento a 12 asociaciones que fueron beneficiada con fortalecimeinto en vigencias anteriores</t>
  </si>
  <si>
    <t>https://drive.google.com/drive/folders/16ZxQMXYaStMXJRRVTqiTzPTmbmBOQtCg?usp=sharing</t>
  </si>
  <si>
    <t>Asociaciones instruidas en implementacion de normatividad pesqueras y acuicola</t>
  </si>
  <si>
    <t>Instruir a las asociaciones en el conocimiento y aplicación de la normatividad pesquera y acuicola del pais para el ejercicio de la pesca y la acuicultura</t>
  </si>
  <si>
    <t>Se logro divulgar e instruir a 12 asociaciones de pescadores en torno a normatividad con lo cual se dio cumplimiento a la meta</t>
  </si>
  <si>
    <t>https://drive.google.com/drive/folders/1fFIKd0nct5-p5ZlOX5NQGN-ZGHcxduC8?usp=sharing</t>
  </si>
  <si>
    <t>Grupo de interes instruidas en implementacion de normatividad pesqueras y acuicola</t>
  </si>
  <si>
    <t>Instruir a los grupos de interes en el conocimiento y aplicación de la normatividad pesquera y acuicola del pais para el ejercicio de la pesca y la acuicultura</t>
  </si>
  <si>
    <t>Se logro divulgar e instruir a 14 grupo de interes relacionados con la actividad pesquera y acuicola en torno a normatividad con lo cual se dio cumplimiento a la meta</t>
  </si>
  <si>
    <t>https://drive.google.com/drive/folders/1EtoSetoszaEo6XFMZoTKQEtpICrDpg61?usp=sharing</t>
  </si>
  <si>
    <t>Regional Bogotá</t>
  </si>
  <si>
    <t>Apoyo a estaciones de acuicultura (Gigante-Huila)</t>
  </si>
  <si>
    <t>Regional Bogota</t>
  </si>
  <si>
    <t>Carlos Augusto Borda Rodriguez</t>
  </si>
  <si>
    <t>Director Regional Bogotá</t>
  </si>
  <si>
    <t>carlos.borda@aunap.gov.co</t>
  </si>
  <si>
    <t>A l vencimiento de este periodo se esta a la espera del desarrollo del convenio de las estaciones para el suministro de insumos.</t>
  </si>
  <si>
    <t>https://drive.google.com/drive/folders/1_GMXa6H0jGOSDxtLlU5C_kZtJM4cv0ay</t>
  </si>
  <si>
    <t>Atender los Trámites</t>
  </si>
  <si>
    <t>El valor reportado corresponde a los tramites gestionados que fueron recibidos en las oficinas adcritas o remitidos desde la DTAF, por corresponder a nuestra juridicción</t>
  </si>
  <si>
    <t>Producir Alevinos</t>
  </si>
  <si>
    <t xml:space="preserve">Según lo acordado, se reportan la cantidad de alevinos entregado por parte de la estación piscicola del alto Magdalena, ubicada en Gigante - Huila </t>
  </si>
  <si>
    <t>Realizar Eventos de Extención Rural</t>
  </si>
  <si>
    <t>Se realizo la socialización de los resultados del trabajo de investigación en la reproducción del pez doncella, logrados en la estacion piscicola de gigante Huila</t>
  </si>
  <si>
    <t>Realizar capacitaciones a los grupos de interés en asociatividad y normatividad para el ejercicio de la acuicultura, pesca y actividades conexas</t>
  </si>
  <si>
    <t xml:space="preserve">Se adelantaron acciones de capacitación ante la flexibilización en la restriccióones a la movilización </t>
  </si>
  <si>
    <t>Número de asociaciones capacitadas/Número de asociaciones programadas para capacitar.</t>
  </si>
  <si>
    <t>Realizar capacitaciones a las asociaciones en temas de pesca y acuicultura</t>
  </si>
  <si>
    <t>Pescadores artesanales formalizados/pescadores artesanales programados para formalizar</t>
  </si>
  <si>
    <t>Realizar la formalización de Pescadores Artesanales</t>
  </si>
  <si>
    <t>Racionalización de Trámites</t>
  </si>
  <si>
    <t>Se realizo un gran número de carné debido a la demanda por parte de la comunidad de pescadores y a los carné que estaban pendientes de elaboración por temas logisticos</t>
  </si>
  <si>
    <t>Realizar Operativos de Control</t>
  </si>
  <si>
    <t>Con las nuevas politicas implementadas, se lograron realizar actividades de manera mas frecuente, por parte de los compañeros de las oficinas adcritas</t>
  </si>
  <si>
    <t>https://drive.google.com/drive/folders/1zpQ3atICDLnNkVN3loVZZijl1jjT1l0w</t>
  </si>
  <si>
    <t>Numero de Repoblamientos realizados sobre Numero de Repoblamientos programados</t>
  </si>
  <si>
    <t>Generar los Repoblamientos Misionales - Bocachico</t>
  </si>
  <si>
    <t xml:space="preserve">Se pudieron entregar unos bocachicos con el alimento (prestado) que logro gestionar el adminstrador de la granja  y luego en el mes de junio un bloque importante para un repoblamiento </t>
  </si>
  <si>
    <t>Numero de Especies Nativas realizadas sobre Numero de Especies Nativas Programadas</t>
  </si>
  <si>
    <t>Generar el Repoblamiento de otras especies nativas</t>
  </si>
  <si>
    <t>Se logro hacer un despacho de repoblamiento luego de estar sin alimento para los peces durante el primer semestre</t>
  </si>
  <si>
    <t>Regional Cali</t>
  </si>
  <si>
    <t>Atención de trámites</t>
  </si>
  <si>
    <t>Sandra Amgulo</t>
  </si>
  <si>
    <t>sandra.angulo@aunap.gov.co</t>
  </si>
  <si>
    <t>Esta actividad se supero en un 156%, cabe resaltar que aunque esta actividad depende en gran parte de las solicitudes de los usuarios,  la regional  esta realizando más visitas de sensibilización  que se reflejan en el aumento de legalización de   actividad pesquera y acuicola</t>
  </si>
  <si>
    <t>https://drive.google.com/file/d/1o8fnADHZ9enqG3Z-5baqQq2GdMUf6Myc/view?usp=sharing</t>
  </si>
  <si>
    <t>Desarrollar campañas informativas y Divulgadas de acciones de acuicultura a través de las estaciones</t>
  </si>
  <si>
    <t>Se dio cumplimiento del 100% en la ejecución de esta actividad. Por temas de pandemia se llevo a cabo de manera virtual, cumpliendo con el objetivo de divulgar a los estudiantes lo que se viene realizando desde la entidad en la estacion de bahia malaga</t>
  </si>
  <si>
    <t>https://drive.google.com/file/d/1xm9KiGAPk9WNjbnvDYXm23EXBOJXZ04W/view?usp=sharing</t>
  </si>
  <si>
    <t>Numero de capacitaciones realizadasNumero de capacitaciones programadas</t>
  </si>
  <si>
    <t>Capacitación a los grupos de interés en asociatividad y normatividad para el ejercicio de la acuicultura, pesca y actividades conexas</t>
  </si>
  <si>
    <t>Se ejecutó esta actividad en 100% en pro de que los grupos de interés se organicen para el fortalecimiento de sus actividades productivas enfatizando los beneficios de trabajar en equipo</t>
  </si>
  <si>
    <t>https://drive.google.com/file/d/1sY-OYWwi1u7RsMU2YohfVPvTLaaYDrm1/view?usp=sharing</t>
  </si>
  <si>
    <t>Número de asociaciones capacitadas/Número de asociaciones programadas</t>
  </si>
  <si>
    <t>Asociaciones capacitadas en temas de pesca y acuicultura</t>
  </si>
  <si>
    <t>Se supero esta actividad en un 110%, ya que por parte de la regional, se adelantaron capacitaciones a las platoneras de Buenaventura y sus alrederores en coordinación con el Ministerio de Agricultura para el fortalecimiento de estas personas que ejercen esta actividad en el marco del decreto 281 del 18 de marzo del 2021 que las afecta directamente (lo cual se realizó durante el mes de junio, donde se las caracterizó).</t>
  </si>
  <si>
    <t>https://drive.google.com/file/d/1WcIEhHlrxavdjrH5cjM110KrkFgF5cEV/view?usp=sharing</t>
  </si>
  <si>
    <t>Número de pescadores artesanales formalizados/Número de pescadores artesanales programados para formalizar</t>
  </si>
  <si>
    <t>Formalizar Pescadores artesanales</t>
  </si>
  <si>
    <t xml:space="preserve">Se supero esta meta  en un 841%, cabe anotar que además de que se esta incentivando a los pescadores y piangueras  para la formalización de su actividad  productiva , por pate de la regional, se esta llevando a cabo un plan de choque para la elaboración de los carnet provenientes de la caracterizaxión realizada por el PNUD </t>
  </si>
  <si>
    <t>https://drive.google.com/file/d/1QklpuE4s0iCSqfCyYoWSlYo4Kd-9SsAR/view?usp=sharing</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</si>
  <si>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</si>
  <si>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</si>
  <si>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Esta actividad  se ejecutó en un 100%,cumpliendo con la con el objetivo de socializar y divulgar en prode las buenas practicas pesqueras y acuicolas en el marco del control y vigilancia</t>
  </si>
  <si>
    <t>https://drive.google.com/file/d/18laHvpQR2KrbkUiEzk4NC60jxNcnBHwO/view?usp=sharing</t>
  </si>
  <si>
    <t>Reportes de monitoreo que aportan a documentos de investigación</t>
  </si>
  <si>
    <t xml:space="preserve">Realizar salidas de campo realizadas para la recopilación de información biológica pesquera en la Laguna de Sonso
</t>
  </si>
  <si>
    <t>Esta actividad  se cumplió con el 100%, en pro de lograr la ordenacion pesquera</t>
  </si>
  <si>
    <t>https://drive.google.com/file/d/1U7XWuqzfHjIE0grJyiGJC8HVGpFU7xeL/view?usp=sharing</t>
  </si>
  <si>
    <t>producción de alevinos</t>
  </si>
  <si>
    <t xml:space="preserve">No se establecieron metas para éste periodo, de acuerdo al ajuste del plan de acción por inconvenientes en la contratación en los suministro de insumos,   las actividades fueron reprogramadas para el tercer y cuarto trimestre </t>
  </si>
  <si>
    <t>NO PLICA</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</si>
  <si>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</si>
  <si>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 xml:space="preserve">Esta actividad  se ejecutó en un 100%,realizando operativos en los diferentes sitios directamente relacionados con la actividad acuicola pesquera de competncia de la regional </t>
  </si>
  <si>
    <t>https://drive.google.com/drive/folders/1EEhndqCTZLPDnxaJZQXj-kEcvqbzxfDl?usp=sharing</t>
  </si>
  <si>
    <t xml:space="preserve">Realizar Realizar salidas de campo  para la recopilación de información biológico pesquera del camarón blanco (L. penaeus spp) en caladeros de pesca
</t>
  </si>
  <si>
    <t xml:space="preserve">Esta actividad  se ejecutó en un 100%, </t>
  </si>
  <si>
    <t>https://drive.google.com/drive/folders/1hjyMP7Pk9pqiaxEP-lO2k6sHJgCAp_5W?usp=sharing</t>
  </si>
  <si>
    <t xml:space="preserve">Realizar visitas a plantas de proceso  para la recopilación de información  de Talla y Peso  del recurso Camarón blanco (L. penaeus spp )proveniente de  la pesca artesanal
</t>
  </si>
  <si>
    <t xml:space="preserve">Esta  actividad se supero e en un 123% , ya que durante este periodo se presentaron volumenes considerables  durante  los desembarcos de camarón provenientes de las faenas de pesca artesanal, aportando al seguimiento de estructura de tallas, peso  y Sexo de este importante recurso. </t>
  </si>
  <si>
    <t>https://drive.google.com/file/d/15n1x8LMBLaJ-7fPUTdeOx-cF_snk9riu/view?usp=sharing</t>
  </si>
  <si>
    <t xml:space="preserve">Realizar salidas de campo  para la recopilación de información biológica pesquera.sel recurso piangua (anadara)
</t>
  </si>
  <si>
    <t>Esta actividad  se ejecutó en un 100%,</t>
  </si>
  <si>
    <t>https://drive.google.com/file/d/1AoUSa1d317GU9CsS8X2lWy7otre1Er0Q/view?usp=sharing</t>
  </si>
  <si>
    <t>Regional Magangué</t>
  </si>
  <si>
    <t>Realizar operativos de control</t>
  </si>
  <si>
    <t>Regional Magangue</t>
  </si>
  <si>
    <t>Javier Ovalle</t>
  </si>
  <si>
    <t>Director regional Magangue</t>
  </si>
  <si>
    <t>javier.Ovalle@aunap.gov.co</t>
  </si>
  <si>
    <t>8. Trabajo decente y crecimiento económico</t>
  </si>
  <si>
    <t>En el segundo trimestre del 2021 se hizo un total de 76 operativos (45 operativos a Comerciantes, 15 operativos a embarcaciones, 13 operativos de decomiso y 3 operativos a Cultivo) Distribuidos asi: Mes de Abril: en total 12 operativos:, 4 a comerciantes Pesqueros, 1 a embarcaciones y 7 Operativos de Decomiso en los diferentes puertos de Magangue, Mompox, Achi . Mes de Mayo un total de 24 operativos: 5 Operativos de decomiso en los Puertos Magangue, 2 Operativos a embarcaciones y  17 Operativos a Comerciantes. Mes de Junio un total de 40 Operativos: 3 operativos de Cultivo; 24 operativos a comerciantes y 1 operativos de Decomiso, en los diferentes puestos de control y puertos de desembarque.</t>
  </si>
  <si>
    <t>https://drive.google.com/drive/folders/1Y_Hw3xO2847CBQTu6Wihw9l86tNrH-tW?usp=sharing</t>
  </si>
  <si>
    <t>Numero de eventos de divulgacion y socializacion nivel nacional en pro de disminuir las malas practicas,en el ejercicio del control y vigilancia preventiva de la actividad pesquera y acuicula</t>
  </si>
  <si>
    <t>trimestral</t>
  </si>
  <si>
    <t>Durante en segundo trimestre se realizo un total de 34 eventos de Divulgacion y socialización a Nivel Nacional en pro de malas Prácticas en el ejercicio del control y vigilancia a la actividad Pesquera y Acuícola distribuidos asi: Mes de Abril: se hizo un total de 9 charlas en divulgacion Pesquera en los municipios de Magangue 2, en Altos del Rosario 3, Pinillos 2 y en San Benito 2; . Mes de Mayo: total 25 de Eventos Divulgacion; 3 en el municipio de Magangue, 1 en Margarita , 1 en el Banco-Magdalena, 4 en Cicuco, 4 en San Marcos, Guaranda 1, Achi 3, Pinillos 2, Regidor 1, Los Palmitos 1, Caimito 1, Barranco de Loba 1 Mompox 1 Cordoba Teton 1. Mes de Junio: no se realizo</t>
  </si>
  <si>
    <t>https://drive.google.com/drive/folders/1JXn3WjkkCehEZqijNRw_8M8hZTN4Zhzw?usp=sharing</t>
  </si>
  <si>
    <t>Numero de pescadores formalizados</t>
  </si>
  <si>
    <t>El total de carnet en el segundo Trimestre fue de 1089 distribuidos as:. Mes de Abril: 406 Carnet; en los municipios de Montecristo 67, Cicuco 25, Magangue 120, Hatillo de Loba 1, San Jacinto 43, Mompox 63, San Martin de Loba 24, Talaigua 21, Margarita 26 y San Fernando 16;  Mes de Mayo se hizo 517 CARNET: en los Municipios de Magangue 28, Margarita 52, San Benito 36, Cicuco 55, Montecristo 73, Altos del Rosario 56, San Marcos 22, Caimito 13, Barranco de Loba 18, Cordoba Teton 62, Pinillos 52 Talaigua Nuevo 37, Regidor 10, San Jacinto del Cauca 3; Mes de Junio un total de 166 Carnet en los municipios de Magangue 45, Talaigua Nuevo 40, Achi 10, Majagual 22, Guaranda 13, Santa Barbara de Pinto 35, Montecristo 1.  Durante este trimestre se aumento el numero de carnet, debido a la convocatoria de los Proyectos, algunos vencidos para este y solicitudes</t>
  </si>
  <si>
    <t>https://drive.google.com/drive/folders/1hyTzou6SMrUgOpI6TIRPTnbW932ngynU?usp=sharing</t>
  </si>
  <si>
    <t>Capacitacion a los grupos de interes en asociatividad y normatividad para el ejercicio de la acuicultura, pesca y actividades conexas</t>
  </si>
  <si>
    <t>John Jairo Restrepo</t>
  </si>
  <si>
    <t>Director tecnico de Administracion y Fomento</t>
  </si>
  <si>
    <t>En total se realizaron 41 charlas a grupos de interes en Asociatividad y Normatividad para el ejercio de la Acuícultura, Pesca Artesanal y Actividades Conexas. Mes de Abril 9 distribuidos asi: 1 charla en el municipio de Magangue-ASAPESSBU, 1 en Mompox-ASOAGROCIGAVIPT; San Marcos 1 -CABILDO MONTEGRANDE,, Cicuco 1- ASOAPESCIBOL, Altos del Rosario 2-Asociación Productora Agropecuaria y Piscola Puerto Rosario-ASOPESPACHA, San Benito 1-ASOJEGUA, Pinillos 2-Asociacion Campesina en Acción-ASOCIACION DE AGRICULTORES, GANADEROS Y PESCADORES DE LAS FLORES . Mes de MAYO: 10, en el municipio de  Cicuco 1-ASOMFRALO, San Marcos 1-ASOPECAM, Caimito- APASMA 1, Pinillos 5-ASOCAPESARBOL- ASOPESCARBOL-ASOPEPRO-Asociacion Campesinos en Acción-ASOPEARPA, Magangue1-AJOBEL, Cordoba Teton 1-ASPAGRISCOR  Mes de Junio: total 22 en los municipios de Pinillos 3-ASOCIACION DE PESCADORES ARTESANALES DE PALOMINO-ASOPROVIC-CAMPESINOS EN ACCION, Mompox 1-ASOCIACION ISLA KIMBAY Y PALESTRA, Magangue 7-ASOCIACIÓN 14 DE FEBRERO DE PIÑALITO BOLIVAR-ASOPESLAD-ASOPESCO-ASOAGROPESBRIS-ASOPAGABRI-AGROPESTABO-JUNTA COMUNAL, San Marcos 1-ASOCIACION AGROPECUARIA Y ACUICOLA DE LA COSTA, Talaigua 1-ASOFAUE, Montecristo 3-AVINEZ-ASOPROVIESCON-ASOCUADERNO, San Fernando 1-ASOAPEDECHI, Cicuco 1-ASOPESIGRA, Santa Ana 1-FERPAM y el Banco 3 -ASOCIACION 12 DE OCTUBRE -AGROPESTABO-ASPABE</t>
  </si>
  <si>
    <t>https://drive.google.com/drive/folders/1Gcf9nkhGu8av3oO9f4gPItydJ75vV1pN?usp=sharing</t>
  </si>
  <si>
    <t>Tramites Atendidos</t>
  </si>
  <si>
    <t>Regular el manejo y el ejercicio de la actividad pesquera y de la acuicultura</t>
  </si>
  <si>
    <t>Durante el segundo trimestre la Regional Recepcionó 9 solicitudes de permisos distribuidos asi:
 Mes de Abril: 2 solicitudes de trámite de permisos, 1 de Pesca Artesanal con radicado No E2021DRM0000129 del 13/4/2021 a la ASOCIACION FAMJIFUR DE SAN FRANCISCO DE LOBA-CICUCO y Resolucion No 1165 26/5/2021, 1 prorroga de Comercializacion a la Pesquera las Gemelas con Radicado No E2021DRM0000144 del 23/4/2021 y Resolucion No 891 de 4/5/2021; Mes de Mayo se recepciono 3 solicitudes de permisos de Pesca Comercial Artesanal A las asociaciones( Asoagropesbris) con radicado No E2021DRM0000151 de 5/5/2021 y resolucion No 1060 19/5/2021; (Pesaguazo) con radicado No E2021DRM0000152 del 7/5/2021 y resolución No 1149 de 24/5/2021 y (Asomfralo) con radicado No E2021DRM0000153 del 7/5/2021 y Resolución No 1021 de 13/572021 y Mes de Junio: Se recepciono 4 solicitudes de permisos, 2 de solicitudes de Cultivo (Asofaque con radicado No E2021DRM0000182 de 11/6/2021 se envio concepto tecnico a Oficinas Central, pendiente por Resolucion, radicado No E2021DRM0000183 del 17/6/2021 Asaupat pendiente el pago de Tasas y derecho; y 2 de Pesca artesanal a la Asociacion Campesina del Corregimiento la Unión Pinillos con radicado No E2021DRM0000197 de 28/6/2021 en trámite y La asociacion Asopagabri con Radicado No E2021DRM0000198 del 30/6/2021 en trámite. Es de anotar que esta meta depende de la demanda de solicitudes ante la Regional</t>
  </si>
  <si>
    <t>https://drive.google.com/drive/folders/11ODZ9eXVCXpI4lWrMqS_hFI20r6uxYHc?usp=sharing</t>
  </si>
  <si>
    <t>Número de personas capacitadas / número de personas programadas</t>
  </si>
  <si>
    <t>Numero de personas Capacitadas en Pesca y Acuícultura</t>
  </si>
  <si>
    <t xml:space="preserve">En este trimestre se capacito a  1010 personas  en Pesca y Acuicultura; lo cual supero la meta programada, debido a los diferentes convenios que ha tenido la entidad como es convenio San Silvestre entre otros y la demanda de solicitudes pidiendo capacitaciones de parte de las asociaciones a la entidad en los diferentes  programas de Pesca y Acuicultura y actividades conexas .
</t>
  </si>
  <si>
    <t>https://drive.google.com/file/d/1UmrE2QKe9RVKoEAXa64A-9rXRnDYmcU_/view?usp=sharing</t>
  </si>
  <si>
    <t>Regional Medellín</t>
  </si>
  <si>
    <t>Operativos de control a la actividad pesquera realizados</t>
  </si>
  <si>
    <t>Realizar eventos de divulgación y socialización apoyados en pro de disminuir las malas prácticas , en el ejercicio del control y vigilancia preventiva de la actividad pesquera y acuícola.</t>
  </si>
  <si>
    <t>Regional Medellin</t>
  </si>
  <si>
    <t>CARLOS MARIO ZAPATA MORALES</t>
  </si>
  <si>
    <t>DIRECTOR REGIONAL MEDILLIN</t>
  </si>
  <si>
    <t>CARLOS.ZAPATA@AUNAP.GOV.CO</t>
  </si>
  <si>
    <t>Devbido a la dificultad de las reuniones y convocatorias, se realizaron actividades de campo.</t>
  </si>
  <si>
    <t>DIVULGACION EN PRO DE BP TRIMESTRE II</t>
  </si>
  <si>
    <t>Atender trámites</t>
  </si>
  <si>
    <t>El cumplimiento depende de la demanda del servicio por parte de los usuarios</t>
  </si>
  <si>
    <t>TRAMITES PERMISOS TRIMESTRE II</t>
  </si>
  <si>
    <t>Número de asociaciones capacitadas/número de capacitacio a asociaciones programadas.</t>
  </si>
  <si>
    <t>Capacitadar asociaciones en temas de pesca y acuicultura</t>
  </si>
  <si>
    <t>Asociaciones capacitadas de  acuerdo a la programacion para incorporar a proyectos productivos</t>
  </si>
  <si>
    <t>CAPACITACION ASOCIACIONES ACUIULTURA</t>
  </si>
  <si>
    <t>Número de capacitaciones realizadas/número de capacitaciones programadas.</t>
  </si>
  <si>
    <t>Capacitar a los grupos de interés en asociatividad y normatividad para el ejercicio de la acuicultura y pesca y actividades conexas</t>
  </si>
  <si>
    <t>CAPACITAR GRUPOS DE INTERES</t>
  </si>
  <si>
    <t>Número de personas capacitadas/número de personas programadas</t>
  </si>
  <si>
    <t>Capacitar a Personas en normatividad y procedimientos para el ejercicio de la acuicultura</t>
  </si>
  <si>
    <t>Asocaciones capacitadas en el marco de las acciones de ordenamiento y proyectos productivos para las regiones</t>
  </si>
  <si>
    <t>CAPACITAR A PERSONAS EN NORMATIVIDAD</t>
  </si>
  <si>
    <t>Número de personas capacitadas en BPM/Número de personas programadas.</t>
  </si>
  <si>
    <t>Capacitar a Personas en buenas practicas pesqueras (BPP) y buenas practicas de manufactura (BPM)</t>
  </si>
  <si>
    <t>CAPACITAR EN BPP Y BPM</t>
  </si>
  <si>
    <t>Número de capacitaciones realizadas/Número de capacitaciones programadas.</t>
  </si>
  <si>
    <t>Realizar capacitaciones en normatividad y medidas de inspección y vigilancia de la actividad pesquera y acuícola</t>
  </si>
  <si>
    <t>Cumplimiento de la meta con enfasisi en la capacitacion a Entiddadesd e control para resguardar y administrar recurso pesquero y acuicola</t>
  </si>
  <si>
    <t>CAPACITACION NORMATIVA ENTIDADES TRIMESTRE II</t>
  </si>
  <si>
    <t>Número de campañas de divulgaciones y promoción realizadas/Número de campañas de divulgación y promoción programadas</t>
  </si>
  <si>
    <t>Realizar campañas de divulgación y promoción a nivel nacional, sobre normatividad de pesca y acuicultura</t>
  </si>
  <si>
    <t xml:space="preserve">Se realzaron campañas divulgativas en emisoras, en su mayoria por temas relacionados a la Veda del bagre rayado y normatividad </t>
  </si>
  <si>
    <t>DIVULGACION TRIMESTRE II</t>
  </si>
  <si>
    <t>Número de pescadores artesanales formalizados/Número de pescadores artesanales programados</t>
  </si>
  <si>
    <t>La expedidicon de Carnet artesanal se realiza por demanda y a solicitud de los usuarios.</t>
  </si>
  <si>
    <t>CARNET ARTESANAL EXPEDIDOS  TRIMESTRE II</t>
  </si>
  <si>
    <t>Se atendieron actividades con enfasis en las oficinas de campo de la Regional tanto marina como continental.</t>
  </si>
  <si>
    <t>OPERATIVOS TRIMESTRE II</t>
  </si>
  <si>
    <t>Regional Villavicencio</t>
  </si>
  <si>
    <t>Maritza Casallas Delgado</t>
  </si>
  <si>
    <t>maritza.casallas@aunap.gov.co</t>
  </si>
  <si>
    <t>Incluye Conceptos técnicos elaborados en la DRV, carnés de pequeños comerciantes expedidos y expedición de carné de AREL; La atención de trámites se hacen por demanda y es necesario y nuestra obligación atenderlos todos de manera oportuna</t>
  </si>
  <si>
    <t>https://drive.google.com/drive/folders/1IwFtU6USxk7tqEItVE0cLlb5l4OwHZL_?usp=sharing</t>
  </si>
  <si>
    <t>Las capacitaciones a las asociaciones se realizan también por demanda y por esa razón hay una por encima de la meta establecida</t>
  </si>
  <si>
    <t>https://drive.google.com/drive/folders/1x9Pr_jX9w3c_qDHO7FLdjdSavldhai6-?usp=sharing</t>
  </si>
  <si>
    <t>Capacitación a los grupos de interés</t>
  </si>
  <si>
    <t>Las capacitaciones a los grupos de interés se realizan también por demanda y por esa razón hay ocho por encima de la meta establecida, toda vez que además de las programadas atendemos otras solicitudes</t>
  </si>
  <si>
    <t>https://drive.google.com/drive/folders/1zNk_fQAQJOM7lt_vcP6InPT2Fq_kdhTJ?usp=sharing</t>
  </si>
  <si>
    <t>Desarrollar actividades orientadas a sensibilizar a la población dedicada a la actividad pesquera y la acuicultura, en normatividad y medidas de ordenación de la pesca y acuicultura en Colombia.</t>
  </si>
  <si>
    <t>Corresponden a actividades de preveda que permitieron socializar la medida conforme lo previsto y también responder a la demanda de la misma socialización</t>
  </si>
  <si>
    <t>https://drive.google.com/drive/folders/1aer8hzRpLvfC07cUit6a4i6mCxnxxSwI?usp=sharing</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</si>
  <si>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</si>
  <si>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 xml:space="preserve">Se hicieron los operativos previstos y también se atendieron solicitudes extras para realizar operativos de control e inspección </t>
  </si>
  <si>
    <t>https://drive.google.com/drive/folders/1z5h5jOefd-z2pXtJj2BQwdf_WANh6RKa?usp=sharing</t>
  </si>
  <si>
    <t>Pescadores formalizadas</t>
  </si>
  <si>
    <t>Los carnés de pesca artesanal se expiden por demanda y se atienden los de pescadores que se les vence tanto como a los pescadores que lo solicitan por primera vez en lugares a los que hemos llegado con socializaciones, proyectos y estrategias con incentivos que promueven la formalización de la actividad pesquera artesanal comercial</t>
  </si>
  <si>
    <t>https://drive.google.com/drive/folders/19pdOG1ikG_ZJi_euLBy7kgR4y9kJ4S33?usp=sharing</t>
  </si>
  <si>
    <t>No de percadores formalizados</t>
  </si>
  <si>
    <t>Promover la formalización de pescadores mediante la entrega del carnet de pesca deportiva</t>
  </si>
  <si>
    <t>La demanda de carnés de pesca deportiva es principalmente en el periodo de aguas abajo, sin embargo, hubo demanda de éstos cuatro carnés en la vigencia del segundo trimestre que se atendieron al cumplir con los requisitos para los mismos</t>
  </si>
  <si>
    <t>https://drive.google.com/drive/folders/1et2pPznntJhWNM8PMQq950pD1YI2K_eo?usp=sharing</t>
  </si>
  <si>
    <t>No. depersonas  con beneficio de inclusion productiva</t>
  </si>
  <si>
    <t>Beneficiarios con estrategias de inclusión productiva</t>
  </si>
  <si>
    <t xml:space="preserve">Los beneficiarios de la estrategia de Agricultura por Contrato incluyeron a pescadores de un par de Reguardos Indígenas que beneficia a miles de ellos y por esa razón se superó por mucho la meta prevista. También por el ánimo de coadyuvar a la entidad en su compromiso nacional de esta actividad </t>
  </si>
  <si>
    <t>https://drive.google.com/drive/folders/1CIATy8agdHZ-LsBHXSsFK80e2H1DQGpC?usp=sharing</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</si>
</sst>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0"/>
    <numFmt numFmtId="167" formatCode="[$ $]#,##0"/>
    <numFmt numFmtId="168" formatCode="d/m/yyyy"/>
    <numFmt numFmtId="169" formatCode="d/M/yyyy"/>
    <numFmt numFmtId="170" formatCode="d/m/yyyy\ h:mm:ss"/>
    <numFmt numFmtId="171" formatCode="#,##0.0"/>
    <numFmt numFmtId="172" formatCode="# &quot;días&quot;"/>
  </numFmts>
  <fonts count="34">
    <font>
      <sz val="11.0"/>
      <color theme="1"/>
      <name val="Arial"/>
      <scheme val="minor"/>
    </font>
    <font>
      <b/>
      <sz val="12.0"/>
      <color rgb="FFFFFFFF"/>
      <name val="Merriweather"/>
    </font>
    <font>
      <b/>
      <sz val="15.0"/>
      <color rgb="FFFFFFFF"/>
      <name val="Calibri"/>
    </font>
    <font>
      <b/>
      <u/>
      <sz val="12.0"/>
      <color rgb="FFFFFFFF"/>
      <name val="Merriweather"/>
    </font>
    <font>
      <color theme="1"/>
      <name val="Arial"/>
    </font>
    <font>
      <b/>
      <color rgb="FFFFFFFF"/>
      <name val="Arial"/>
    </font>
    <font>
      <b/>
      <sz val="10.0"/>
      <color rgb="FFFFFFFF"/>
      <name val="Arial"/>
    </font>
    <font>
      <b/>
      <sz val="9.0"/>
      <color rgb="FFFFFFFF"/>
      <name val="Arial"/>
    </font>
    <font>
      <sz val="10.0"/>
      <color rgb="FF000000"/>
      <name val="Arial"/>
    </font>
    <font>
      <sz val="10.0"/>
      <color theme="1"/>
      <name val="Arial"/>
    </font>
    <font>
      <sz val="10.0"/>
      <color rgb="FF000000"/>
      <name val="Calibri"/>
    </font>
    <font>
      <color theme="1"/>
      <name val="Arial"/>
      <scheme val="minor"/>
    </font>
    <font>
      <b/>
      <sz val="10.0"/>
      <color rgb="FF000000"/>
      <name val="Arial"/>
    </font>
    <font/>
    <font>
      <sz val="11.0"/>
      <color rgb="FF000000"/>
      <name val="Arial"/>
    </font>
    <font>
      <b/>
      <sz val="10.0"/>
      <color rgb="FFFFFFFF"/>
      <name val="Roboto"/>
    </font>
    <font>
      <sz val="11.0"/>
      <color theme="1"/>
      <name val="Arial"/>
    </font>
    <font>
      <color rgb="FF000000"/>
      <name val="Arial"/>
    </font>
    <font>
      <u/>
      <sz val="11.0"/>
      <color rgb="FF0000FF"/>
      <name val="Arial"/>
    </font>
    <font>
      <u/>
      <sz val="11.0"/>
      <color theme="1"/>
      <name val="Arial"/>
    </font>
    <font>
      <b/>
      <sz val="36.0"/>
      <color rgb="FF000000"/>
      <name val="Arial"/>
    </font>
    <font>
      <b/>
      <sz val="14.0"/>
      <color rgb="FF000000"/>
      <name val="Arial"/>
    </font>
    <font>
      <b/>
      <sz val="18.0"/>
      <color rgb="FF000000"/>
      <name val="Arial"/>
    </font>
    <font>
      <color rgb="FFFFFFFF"/>
      <name val="Arial"/>
    </font>
    <font>
      <b/>
      <sz val="11.0"/>
      <color rgb="FFFFFFFF"/>
      <name val="Arial"/>
    </font>
    <font>
      <b/>
      <sz val="12.0"/>
      <color rgb="FFFFFFFF"/>
      <name val="Arial"/>
    </font>
    <font>
      <sz val="10.0"/>
      <color rgb="FF1155CC"/>
      <name val="Arial"/>
    </font>
    <font>
      <sz val="8.0"/>
      <color rgb="FF000000"/>
      <name val="Arial"/>
    </font>
    <font>
      <u/>
      <sz val="10.0"/>
      <color rgb="FF1155CC"/>
      <name val="Arial"/>
    </font>
    <font>
      <u/>
      <sz val="10.0"/>
      <color rgb="FF1155CC"/>
      <name val="Arial"/>
    </font>
    <font>
      <sz val="9.0"/>
      <color theme="1"/>
      <name val="&quot;Arial Narrow&quot;"/>
    </font>
    <font>
      <sz val="9.0"/>
      <color rgb="FF000000"/>
      <name val="&quot;Arial Narrow&quot;"/>
    </font>
    <font>
      <sz val="9.0"/>
      <color rgb="FF000000"/>
      <name val="Arial Narrow"/>
    </font>
    <font>
      <u/>
      <sz val="10.0"/>
      <color rgb="FF1155CC"/>
      <name val="Arial"/>
    </font>
  </fonts>
  <fills count="9">
    <fill>
      <patternFill patternType="none"/>
    </fill>
    <fill>
      <patternFill patternType="lightGray"/>
    </fill>
    <fill>
      <patternFill patternType="solid">
        <fgColor rgb="FF2888F7"/>
        <bgColor rgb="FF2888F7"/>
      </patternFill>
    </fill>
    <fill>
      <patternFill patternType="solid">
        <fgColor rgb="FF3C78D8"/>
        <bgColor rgb="FF3C78D8"/>
      </patternFill>
    </fill>
    <fill>
      <patternFill patternType="solid">
        <fgColor rgb="FFFFFFFF"/>
        <bgColor rgb="FFFFFFFF"/>
      </patternFill>
    </fill>
    <fill>
      <patternFill patternType="solid">
        <fgColor rgb="FFFFF2CC"/>
        <bgColor rgb="FFFFF2CC"/>
      </patternFill>
    </fill>
    <fill>
      <patternFill patternType="solid">
        <fgColor rgb="FFEFEFEF"/>
        <bgColor rgb="FFEFEFEF"/>
      </patternFill>
    </fill>
    <fill>
      <patternFill patternType="solid">
        <fgColor rgb="FFFFE599"/>
        <bgColor rgb="FFFFE599"/>
      </patternFill>
    </fill>
    <fill>
      <patternFill patternType="solid">
        <fgColor rgb="FFCFE2F3"/>
        <bgColor rgb="FFCFE2F3"/>
      </patternFill>
    </fill>
  </fills>
  <borders count="30">
    <border/>
    <border>
      <top style="thin">
        <color rgb="FFFFFFFF"/>
      </top>
      <bottom style="thin">
        <color rgb="FFFFFFFF"/>
      </bottom>
    </border>
    <border>
      <left style="thin">
        <color rgb="FFFFFFFF"/>
      </left>
      <right style="thin">
        <color rgb="FFFFFFFF"/>
      </right>
      <top style="thin">
        <color rgb="FFFFFFFF"/>
      </top>
      <bottom style="thin">
        <color rgb="FFFFFFFF"/>
      </bottom>
    </border>
    <border>
      <right style="thin">
        <color rgb="FF3C78D8"/>
      </right>
      <bottom style="thin">
        <color rgb="FF3C78D8"/>
      </bottom>
    </border>
    <border>
      <left style="thin">
        <color rgb="FF3C78D8"/>
      </left>
      <right style="thin">
        <color rgb="FF3C78D8"/>
      </right>
      <bottom style="thin">
        <color rgb="FF3C78D8"/>
      </bottom>
    </border>
    <border>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right/>
      <top/>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left/>
      <right/>
      <top style="thin">
        <color rgb="FF3C78D8"/>
      </top>
      <bottom/>
    </border>
    <border>
      <top style="thin">
        <color rgb="FF3C78D8"/>
      </top>
    </border>
    <border>
      <right style="thin">
        <color rgb="FF3C78D8"/>
      </right>
    </border>
    <border>
      <left style="thin">
        <color rgb="FF000000"/>
      </left>
      <right style="thin">
        <color rgb="FF000000"/>
      </right>
      <bottom style="thin">
        <color rgb="FF000000"/>
      </bottom>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1" fillId="2" fontId="3" numFmtId="0" xfId="0" applyAlignment="1" applyBorder="1" applyFill="1" applyFont="1">
      <alignment horizontal="center" vertical="center"/>
    </xf>
    <xf borderId="0" fillId="0" fontId="2" numFmtId="0" xfId="0" applyAlignment="1" applyFont="1">
      <alignment horizontal="center" shrinkToFit="0" vertical="center" wrapText="1"/>
    </xf>
    <xf borderId="0" fillId="0" fontId="4" numFmtId="0" xfId="0" applyFont="1"/>
    <xf borderId="0" fillId="3" fontId="5" numFmtId="0" xfId="0" applyAlignment="1" applyFill="1" applyFont="1">
      <alignment horizontal="center" vertical="center"/>
    </xf>
    <xf borderId="2" fillId="3" fontId="6" numFmtId="3" xfId="0" applyAlignment="1" applyBorder="1" applyFont="1" applyNumberFormat="1">
      <alignment horizontal="center" shrinkToFit="0" vertical="center" wrapText="1"/>
    </xf>
    <xf borderId="2" fillId="3" fontId="7" numFmtId="3" xfId="0" applyAlignment="1" applyBorder="1" applyFont="1" applyNumberFormat="1">
      <alignment horizontal="center" shrinkToFit="0" vertical="center" wrapText="1"/>
    </xf>
    <xf borderId="2" fillId="3" fontId="7" numFmtId="164" xfId="0" applyAlignment="1" applyBorder="1" applyFont="1" applyNumberFormat="1">
      <alignment horizontal="left" shrinkToFit="0" vertical="center" wrapText="1"/>
    </xf>
    <xf borderId="3" fillId="0" fontId="8" numFmtId="3" xfId="0" applyAlignment="1" applyBorder="1" applyFont="1" applyNumberFormat="1">
      <alignment horizontal="center" shrinkToFit="0" vertical="center" wrapText="1"/>
    </xf>
    <xf borderId="4" fillId="0" fontId="8" numFmtId="3" xfId="0" applyAlignment="1" applyBorder="1" applyFont="1" applyNumberFormat="1">
      <alignment horizontal="center" shrinkToFit="0" vertical="center" wrapText="1"/>
    </xf>
    <xf borderId="4" fillId="0" fontId="8" numFmtId="9" xfId="0" applyAlignment="1" applyBorder="1" applyFont="1" applyNumberFormat="1">
      <alignment horizontal="center" shrinkToFit="0" vertical="center" wrapText="1"/>
    </xf>
    <xf borderId="5" fillId="0" fontId="8" numFmtId="3" xfId="0" applyAlignment="1" applyBorder="1" applyFont="1" applyNumberFormat="1">
      <alignment horizontal="center" shrinkToFit="0" vertical="center" wrapText="1"/>
    </xf>
    <xf borderId="6" fillId="0" fontId="8" numFmtId="3" xfId="0" applyAlignment="1" applyBorder="1" applyFont="1" applyNumberFormat="1">
      <alignment horizontal="center" shrinkToFit="0" vertical="center" wrapText="1"/>
    </xf>
    <xf borderId="0" fillId="0" fontId="4" numFmtId="0" xfId="0" applyAlignment="1" applyFont="1">
      <alignment horizontal="center" vertical="center"/>
    </xf>
    <xf borderId="0" fillId="0" fontId="9" numFmtId="0" xfId="0" applyAlignment="1" applyFont="1">
      <alignment readingOrder="0" shrinkToFit="0" vertical="center" wrapText="1"/>
    </xf>
    <xf borderId="0" fillId="0" fontId="9" numFmtId="0" xfId="0" applyAlignment="1" applyFont="1">
      <alignment vertical="center"/>
    </xf>
    <xf borderId="0" fillId="4" fontId="10" numFmtId="0" xfId="0" applyAlignment="1" applyFill="1" applyFont="1">
      <alignment horizontal="left" readingOrder="0" shrinkToFit="0" vertical="center" wrapText="1"/>
    </xf>
    <xf borderId="0" fillId="0" fontId="9" numFmtId="0" xfId="0" applyAlignment="1" applyFont="1">
      <alignment horizontal="center" vertical="center"/>
    </xf>
    <xf borderId="0" fillId="4" fontId="10" numFmtId="0" xfId="0" applyAlignment="1" applyFont="1">
      <alignment horizontal="left" shrinkToFit="0" vertical="center" wrapText="1"/>
    </xf>
    <xf borderId="0" fillId="0" fontId="11" numFmtId="165" xfId="0" applyAlignment="1" applyFont="1" applyNumberFormat="1">
      <alignment readingOrder="0"/>
    </xf>
    <xf borderId="0" fillId="0" fontId="9" numFmtId="0" xfId="0" applyFont="1"/>
    <xf borderId="0" fillId="0" fontId="12" numFmtId="0" xfId="0" applyAlignment="1" applyFont="1">
      <alignment horizontal="center" shrinkToFit="0" wrapText="1"/>
    </xf>
    <xf borderId="0" fillId="0" fontId="12" numFmtId="9" xfId="0" applyAlignment="1" applyFont="1" applyNumberFormat="1">
      <alignment horizontal="center" shrinkToFit="0" wrapText="1"/>
    </xf>
    <xf borderId="7" fillId="3" fontId="6" numFmtId="0" xfId="0" applyAlignment="1" applyBorder="1" applyFont="1">
      <alignment horizontal="center" shrinkToFit="0" vertical="center" wrapText="1"/>
    </xf>
    <xf borderId="8" fillId="0" fontId="13" numFmtId="0" xfId="0" applyBorder="1" applyFont="1"/>
    <xf borderId="9" fillId="0" fontId="13" numFmtId="0" xfId="0" applyBorder="1" applyFont="1"/>
    <xf borderId="10" fillId="2" fontId="6" numFmtId="0" xfId="0" applyAlignment="1" applyBorder="1" applyFont="1">
      <alignment horizontal="center" shrinkToFit="0" vertical="center" wrapText="1"/>
    </xf>
    <xf borderId="11" fillId="0" fontId="13" numFmtId="0" xfId="0" applyBorder="1" applyFont="1"/>
    <xf borderId="12" fillId="0" fontId="13" numFmtId="0" xfId="0" applyBorder="1" applyFont="1"/>
    <xf borderId="13" fillId="0" fontId="13" numFmtId="0" xfId="0" applyBorder="1" applyFont="1"/>
    <xf borderId="14" fillId="0" fontId="14" numFmtId="0" xfId="0" applyAlignment="1" applyBorder="1" applyFont="1">
      <alignment horizontal="center" shrinkToFit="0" vertical="center" wrapText="0"/>
    </xf>
    <xf borderId="0" fillId="0" fontId="9" numFmtId="0" xfId="0" applyAlignment="1" applyFont="1">
      <alignment horizontal="center" shrinkToFit="0" vertical="center" wrapText="1"/>
    </xf>
    <xf borderId="15" fillId="3" fontId="6" numFmtId="0" xfId="0" applyAlignment="1" applyBorder="1" applyFont="1">
      <alignment horizontal="center" shrinkToFit="0" vertical="center" wrapText="1"/>
    </xf>
    <xf borderId="15" fillId="3" fontId="6" numFmtId="164" xfId="0" applyAlignment="1" applyBorder="1" applyFont="1" applyNumberFormat="1">
      <alignment horizontal="center" shrinkToFit="0" vertical="center" wrapText="1"/>
    </xf>
    <xf borderId="15" fillId="3" fontId="15" numFmtId="0" xfId="0" applyAlignment="1" applyBorder="1" applyFont="1">
      <alignment horizontal="center" shrinkToFit="0" vertical="center" wrapText="1"/>
    </xf>
    <xf borderId="15" fillId="3" fontId="6" numFmtId="3" xfId="0" applyAlignment="1" applyBorder="1" applyFont="1" applyNumberFormat="1">
      <alignment horizontal="center" shrinkToFit="0" vertical="center" wrapText="1"/>
    </xf>
    <xf borderId="15" fillId="3" fontId="6" numFmtId="9" xfId="0" applyAlignment="1" applyBorder="1" applyFont="1" applyNumberFormat="1">
      <alignment horizontal="center" shrinkToFit="0" vertical="center" wrapText="1"/>
    </xf>
    <xf borderId="16" fillId="2" fontId="6" numFmtId="0" xfId="0" applyAlignment="1" applyBorder="1" applyFont="1">
      <alignment horizontal="center" shrinkToFit="0" vertical="center" wrapText="1"/>
    </xf>
    <xf borderId="17" fillId="2" fontId="6" numFmtId="0" xfId="0" applyAlignment="1" applyBorder="1" applyFont="1">
      <alignment horizontal="center" shrinkToFit="0" vertical="center" wrapText="1"/>
    </xf>
    <xf borderId="18" fillId="2" fontId="6" numFmtId="0" xfId="0" applyAlignment="1" applyBorder="1" applyFont="1">
      <alignment horizontal="center" shrinkToFit="0" vertical="center" wrapText="1"/>
    </xf>
    <xf borderId="2" fillId="3" fontId="7" numFmtId="3" xfId="0" applyAlignment="1" applyBorder="1" applyFont="1" applyNumberFormat="1">
      <alignment horizontal="center" readingOrder="0" shrinkToFit="0" vertical="center" wrapText="1"/>
    </xf>
    <xf borderId="19" fillId="3" fontId="6" numFmtId="164" xfId="0" applyAlignment="1" applyBorder="1" applyFont="1" applyNumberFormat="1">
      <alignment horizontal="center" shrinkToFit="0" vertical="center" wrapText="1"/>
    </xf>
    <xf borderId="14" fillId="3" fontId="6" numFmtId="164" xfId="0" applyAlignment="1" applyBorder="1" applyFont="1" applyNumberFormat="1">
      <alignment horizontal="center" shrinkToFit="0" vertical="center" wrapText="1"/>
    </xf>
    <xf borderId="20" fillId="4" fontId="8" numFmtId="0" xfId="0" applyAlignment="1" applyBorder="1" applyFont="1">
      <alignment horizontal="center" shrinkToFit="0" vertical="center" wrapText="1"/>
    </xf>
    <xf borderId="6" fillId="4" fontId="8" numFmtId="0" xfId="0" applyAlignment="1" applyBorder="1" applyFont="1">
      <alignment horizontal="center" shrinkToFit="0" vertical="center" wrapText="1"/>
    </xf>
    <xf borderId="6" fillId="0" fontId="8" numFmtId="164" xfId="0" applyAlignment="1" applyBorder="1" applyFont="1" applyNumberFormat="1">
      <alignment horizontal="center" shrinkToFit="0" vertical="center" wrapText="1"/>
    </xf>
    <xf borderId="6" fillId="0" fontId="8" numFmtId="0" xfId="0" applyAlignment="1" applyBorder="1" applyFont="1">
      <alignment horizontal="center" shrinkToFit="0" vertical="center" wrapText="1"/>
    </xf>
    <xf borderId="6" fillId="0" fontId="8" numFmtId="166" xfId="0" applyAlignment="1" applyBorder="1" applyFont="1" applyNumberFormat="1">
      <alignment horizontal="center" shrinkToFit="0" vertical="center" wrapText="1"/>
    </xf>
    <xf borderId="6" fillId="0" fontId="8" numFmtId="0" xfId="0" applyAlignment="1" applyBorder="1" applyFont="1">
      <alignment horizontal="center" vertical="center"/>
    </xf>
    <xf borderId="6" fillId="0" fontId="8" numFmtId="167" xfId="0" applyAlignment="1" applyBorder="1" applyFont="1" applyNumberFormat="1">
      <alignment horizontal="center" vertical="center"/>
    </xf>
    <xf borderId="6" fillId="0" fontId="8" numFmtId="4" xfId="0" applyAlignment="1" applyBorder="1" applyFont="1" applyNumberFormat="1">
      <alignment horizontal="center" shrinkToFit="0" vertical="center" wrapText="1"/>
    </xf>
    <xf borderId="6" fillId="0" fontId="8" numFmtId="3" xfId="0" applyAlignment="1" applyBorder="1" applyFont="1" applyNumberFormat="1">
      <alignment horizontal="center" vertical="center"/>
    </xf>
    <xf borderId="4" fillId="0" fontId="8" numFmtId="3" xfId="0" applyAlignment="1" applyBorder="1" applyFont="1" applyNumberFormat="1">
      <alignment horizontal="center" vertical="center"/>
    </xf>
    <xf borderId="6" fillId="0" fontId="8" numFmtId="167" xfId="0" applyAlignment="1" applyBorder="1" applyFont="1" applyNumberFormat="1">
      <alignment horizontal="center" shrinkToFit="0" vertical="center" wrapText="1"/>
    </xf>
    <xf borderId="6" fillId="0" fontId="8" numFmtId="49" xfId="0" applyAlignment="1" applyBorder="1" applyFont="1" applyNumberFormat="1">
      <alignment horizontal="center" shrinkToFit="0" vertical="center" wrapText="1"/>
    </xf>
    <xf borderId="6" fillId="0" fontId="8" numFmtId="164" xfId="0" applyAlignment="1" applyBorder="1" applyFont="1" applyNumberFormat="1">
      <alignment horizontal="center" vertical="center"/>
    </xf>
    <xf borderId="4" fillId="5" fontId="16" numFmtId="3" xfId="0" applyAlignment="1" applyBorder="1" applyFill="1" applyFont="1" applyNumberFormat="1">
      <alignment shrinkToFit="0" vertical="center" wrapText="1"/>
    </xf>
    <xf borderId="3" fillId="5" fontId="16" numFmtId="164" xfId="0" applyAlignment="1" applyBorder="1" applyFont="1" applyNumberFormat="1">
      <alignment shrinkToFit="0" vertical="center" wrapText="1"/>
    </xf>
    <xf borderId="3" fillId="6" fontId="17" numFmtId="164" xfId="0" applyAlignment="1" applyBorder="1" applyFill="1" applyFont="1" applyNumberFormat="1">
      <alignment horizontal="center" shrinkToFit="0" vertical="center" wrapText="1"/>
    </xf>
    <xf borderId="3" fillId="0" fontId="16" numFmtId="164" xfId="0" applyAlignment="1" applyBorder="1" applyFont="1" applyNumberFormat="1">
      <alignment shrinkToFit="0" vertical="center" wrapText="1"/>
    </xf>
    <xf borderId="3" fillId="0" fontId="16" numFmtId="9" xfId="0" applyAlignment="1" applyBorder="1" applyFont="1" applyNumberFormat="1">
      <alignment horizontal="center" shrinkToFit="0" vertical="center" wrapText="1"/>
    </xf>
    <xf borderId="21" fillId="6" fontId="9" numFmtId="0" xfId="0" applyAlignment="1" applyBorder="1" applyFont="1">
      <alignment vertical="center"/>
    </xf>
    <xf borderId="22" fillId="7" fontId="9" numFmtId="0" xfId="0" applyAlignment="1" applyBorder="1" applyFill="1" applyFont="1">
      <alignment vertical="center"/>
    </xf>
    <xf borderId="23" fillId="7" fontId="9" numFmtId="0" xfId="0" applyAlignment="1" applyBorder="1" applyFont="1">
      <alignment vertical="center"/>
    </xf>
    <xf borderId="23" fillId="6" fontId="9" numFmtId="165" xfId="0" applyAlignment="1" applyBorder="1" applyFont="1" applyNumberFormat="1">
      <alignment vertical="center"/>
    </xf>
    <xf borderId="23" fillId="8" fontId="9" numFmtId="1" xfId="0" applyAlignment="1" applyBorder="1" applyFill="1" applyFont="1" applyNumberFormat="1">
      <alignment vertical="center"/>
    </xf>
    <xf borderId="23" fillId="6" fontId="9" numFmtId="0" xfId="0" applyAlignment="1" applyBorder="1" applyFont="1">
      <alignment vertical="center"/>
    </xf>
    <xf borderId="24" fillId="7" fontId="9" numFmtId="0" xfId="0" applyAlignment="1" applyBorder="1" applyFont="1">
      <alignment vertical="center"/>
    </xf>
    <xf borderId="23" fillId="6" fontId="9" numFmtId="168" xfId="0" applyAlignment="1" applyBorder="1" applyFont="1" applyNumberFormat="1">
      <alignment vertical="center"/>
    </xf>
    <xf borderId="23" fillId="8" fontId="9" numFmtId="0" xfId="0" applyAlignment="1" applyBorder="1" applyFont="1">
      <alignment vertical="center"/>
    </xf>
    <xf borderId="23" fillId="6" fontId="9" numFmtId="0" xfId="0" applyBorder="1" applyFont="1"/>
    <xf borderId="21" fillId="6" fontId="9" numFmtId="0" xfId="0" applyBorder="1" applyFont="1"/>
    <xf borderId="25" fillId="6" fontId="9" numFmtId="0" xfId="0" applyBorder="1" applyFont="1"/>
    <xf borderId="2" fillId="3" fontId="7" numFmtId="164" xfId="0" applyAlignment="1" applyBorder="1" applyFont="1" applyNumberFormat="1">
      <alignment horizontal="center" shrinkToFit="0" vertical="center" wrapText="1"/>
    </xf>
    <xf borderId="14" fillId="0" fontId="4" numFmtId="0" xfId="0" applyAlignment="1" applyBorder="1" applyFont="1">
      <alignment horizontal="center" vertical="center"/>
    </xf>
    <xf borderId="4" fillId="0" fontId="8" numFmtId="9" xfId="0" applyAlignment="1" applyBorder="1" applyFont="1" applyNumberFormat="1">
      <alignment horizontal="center" vertical="center"/>
    </xf>
    <xf borderId="6" fillId="0" fontId="8" numFmtId="9" xfId="0" applyAlignment="1" applyBorder="1" applyFont="1" applyNumberFormat="1">
      <alignment horizontal="center" shrinkToFit="0" vertical="center" wrapText="1"/>
    </xf>
    <xf borderId="4" fillId="5" fontId="16" numFmtId="9" xfId="0" applyAlignment="1" applyBorder="1" applyFont="1" applyNumberFormat="1">
      <alignment shrinkToFit="0" vertical="center" wrapText="1"/>
    </xf>
    <xf borderId="3" fillId="5" fontId="18" numFmtId="164" xfId="0" applyAlignment="1" applyBorder="1" applyFont="1" applyNumberFormat="1">
      <alignment shrinkToFit="0" vertical="center" wrapText="1"/>
    </xf>
    <xf borderId="3" fillId="5" fontId="19" numFmtId="164" xfId="0" applyAlignment="1" applyBorder="1" applyFont="1" applyNumberFormat="1">
      <alignment shrinkToFit="0" vertical="center" wrapText="1"/>
    </xf>
    <xf borderId="6" fillId="0" fontId="8" numFmtId="10" xfId="0" applyAlignment="1" applyBorder="1" applyFont="1" applyNumberFormat="1">
      <alignment horizontal="center" vertical="center"/>
    </xf>
    <xf borderId="20" fillId="4" fontId="6" numFmtId="0" xfId="0" applyAlignment="1" applyBorder="1" applyFont="1">
      <alignment horizontal="center" shrinkToFit="0" vertical="center" wrapText="1"/>
    </xf>
    <xf borderId="1" fillId="0" fontId="13" numFmtId="0" xfId="0" applyBorder="1" applyFont="1"/>
    <xf borderId="26" fillId="4" fontId="20" numFmtId="0" xfId="0" applyAlignment="1" applyBorder="1" applyFont="1">
      <alignment shrinkToFit="0" vertical="center" wrapText="1"/>
    </xf>
    <xf borderId="27" fillId="0" fontId="9" numFmtId="0" xfId="0" applyBorder="1" applyFont="1"/>
    <xf borderId="0" fillId="0" fontId="21" numFmtId="0" xfId="0" applyAlignment="1" applyFont="1">
      <alignment horizontal="center" shrinkToFit="0" vertical="center" wrapText="1"/>
    </xf>
    <xf borderId="0" fillId="0" fontId="22" numFmtId="9" xfId="0" applyAlignment="1" applyFont="1" applyNumberFormat="1">
      <alignment horizontal="center" vertical="center"/>
    </xf>
    <xf borderId="0" fillId="0" fontId="23" numFmtId="0" xfId="0" applyAlignment="1" applyFont="1">
      <alignment horizontal="center" shrinkToFit="0" wrapText="1"/>
    </xf>
    <xf borderId="0" fillId="0" fontId="23" numFmtId="169" xfId="0" applyAlignment="1" applyFont="1" applyNumberFormat="1">
      <alignment horizontal="center" shrinkToFit="0" wrapText="1"/>
    </xf>
    <xf borderId="0" fillId="0" fontId="23" numFmtId="165" xfId="0" applyAlignment="1" applyFont="1" applyNumberFormat="1">
      <alignment horizontal="center" shrinkToFit="0" wrapText="1"/>
    </xf>
    <xf borderId="0" fillId="0" fontId="24" numFmtId="168" xfId="0" applyFont="1" applyNumberFormat="1"/>
    <xf borderId="0" fillId="0" fontId="25" numFmtId="170" xfId="0" applyFont="1" applyNumberFormat="1"/>
    <xf borderId="20" fillId="4" fontId="12" numFmtId="0" xfId="0" applyAlignment="1" applyBorder="1" applyFont="1">
      <alignment shrinkToFit="0" vertical="top" wrapText="1"/>
    </xf>
    <xf borderId="28" fillId="0" fontId="9" numFmtId="0" xfId="0" applyBorder="1" applyFont="1"/>
    <xf borderId="7" fillId="2" fontId="6" numFmtId="0" xfId="0" applyAlignment="1" applyBorder="1" applyFont="1">
      <alignment horizontal="center" readingOrder="0" shrinkToFit="0" vertical="center" wrapText="1"/>
    </xf>
    <xf borderId="0" fillId="0" fontId="6" numFmtId="164" xfId="0" applyAlignment="1" applyFont="1" applyNumberFormat="1">
      <alignment horizontal="center" shrinkToFit="0" vertical="center" wrapText="1"/>
    </xf>
    <xf borderId="15" fillId="2" fontId="6" numFmtId="0" xfId="0" applyAlignment="1" applyBorder="1" applyFont="1">
      <alignment horizontal="center" shrinkToFit="0" vertical="center" wrapText="1"/>
    </xf>
    <xf borderId="15" fillId="2" fontId="6" numFmtId="164" xfId="0" applyAlignment="1" applyBorder="1" applyFont="1" applyNumberFormat="1">
      <alignment horizontal="center" shrinkToFit="0" vertical="center" wrapText="1"/>
    </xf>
    <xf borderId="15" fillId="2" fontId="15" numFmtId="0" xfId="0" applyAlignment="1" applyBorder="1" applyFont="1">
      <alignment horizontal="center" shrinkToFit="0" vertical="center" wrapText="1"/>
    </xf>
    <xf borderId="15" fillId="2" fontId="6" numFmtId="3" xfId="0" applyAlignment="1" applyBorder="1" applyFont="1" applyNumberFormat="1">
      <alignment horizontal="center" shrinkToFit="0" vertical="center" wrapText="1"/>
    </xf>
    <xf borderId="15" fillId="2" fontId="6" numFmtId="0" xfId="0" applyAlignment="1" applyBorder="1" applyFont="1">
      <alignment horizontal="center" readingOrder="0" shrinkToFit="0" vertical="center" wrapText="1"/>
    </xf>
    <xf borderId="6" fillId="6" fontId="8" numFmtId="0" xfId="0" applyAlignment="1" applyBorder="1" applyFont="1">
      <alignment horizontal="center" readingOrder="0" shrinkToFit="0" vertical="center" wrapText="1"/>
    </xf>
    <xf borderId="6" fillId="6" fontId="8" numFmtId="166" xfId="0" applyAlignment="1" applyBorder="1" applyFont="1" applyNumberFormat="1">
      <alignment horizontal="center" readingOrder="0" shrinkToFit="0" vertical="center" wrapText="1"/>
    </xf>
    <xf borderId="6" fillId="6" fontId="8" numFmtId="0" xfId="0" applyAlignment="1" applyBorder="1" applyFont="1">
      <alignment horizontal="center" readingOrder="0" vertical="center"/>
    </xf>
    <xf borderId="6" fillId="6" fontId="8" numFmtId="167" xfId="0" applyAlignment="1" applyBorder="1" applyFont="1" applyNumberFormat="1">
      <alignment horizontal="center" readingOrder="0" vertical="center"/>
    </xf>
    <xf borderId="6" fillId="6" fontId="8" numFmtId="4" xfId="0" applyAlignment="1" applyBorder="1" applyFont="1" applyNumberFormat="1">
      <alignment horizontal="center" readingOrder="0" shrinkToFit="0" vertical="center" wrapText="1"/>
    </xf>
    <xf borderId="6" fillId="6" fontId="8" numFmtId="3" xfId="0" applyAlignment="1" applyBorder="1" applyFont="1" applyNumberFormat="1">
      <alignment horizontal="center" readingOrder="0" vertical="center"/>
    </xf>
    <xf borderId="4" fillId="6" fontId="8" numFmtId="3" xfId="0" applyAlignment="1" applyBorder="1" applyFont="1" applyNumberFormat="1">
      <alignment horizontal="center" readingOrder="0" vertical="center"/>
    </xf>
    <xf borderId="6" fillId="6" fontId="8" numFmtId="167" xfId="0" applyAlignment="1" applyBorder="1" applyFont="1" applyNumberFormat="1">
      <alignment horizontal="center" readingOrder="0" shrinkToFit="0" vertical="center" wrapText="1"/>
    </xf>
    <xf borderId="6" fillId="6" fontId="8" numFmtId="3" xfId="0" applyAlignment="1" applyBorder="1" applyFont="1" applyNumberFormat="1">
      <alignment horizontal="center" readingOrder="0" shrinkToFit="0" vertical="center" wrapText="1"/>
    </xf>
    <xf borderId="4" fillId="6" fontId="8" numFmtId="171" xfId="0" applyAlignment="1" applyBorder="1" applyFont="1" applyNumberFormat="1">
      <alignment horizontal="center" readingOrder="0" vertical="center"/>
    </xf>
    <xf borderId="6" fillId="6" fontId="8" numFmtId="49" xfId="0" applyAlignment="1" applyBorder="1" applyFont="1" applyNumberFormat="1">
      <alignment horizontal="center" readingOrder="0" shrinkToFit="0" vertical="center" wrapText="1"/>
    </xf>
    <xf borderId="4" fillId="5" fontId="8" numFmtId="3" xfId="0" applyAlignment="1" applyBorder="1" applyFont="1" applyNumberFormat="1">
      <alignment horizontal="center" readingOrder="0" vertical="center"/>
    </xf>
    <xf borderId="6" fillId="5" fontId="8" numFmtId="0" xfId="0" applyAlignment="1" applyBorder="1" applyFont="1">
      <alignment horizontal="center" readingOrder="0" shrinkToFit="0" vertical="center" wrapText="1"/>
    </xf>
    <xf borderId="6" fillId="5" fontId="26" numFmtId="0" xfId="0" applyAlignment="1" applyBorder="1" applyFont="1">
      <alignment horizontal="center" shrinkToFit="0" vertical="center" wrapText="1"/>
    </xf>
    <xf borderId="6" fillId="6" fontId="8" numFmtId="164" xfId="0" applyAlignment="1" applyBorder="1" applyFont="1" applyNumberFormat="1">
      <alignment horizontal="center" shrinkToFit="0" vertical="center" wrapText="1"/>
    </xf>
    <xf borderId="6" fillId="6" fontId="8" numFmtId="172" xfId="0" applyAlignment="1" applyBorder="1" applyFont="1" applyNumberFormat="1">
      <alignment horizontal="center" shrinkToFit="0" vertical="center" wrapText="1"/>
    </xf>
    <xf borderId="6" fillId="6" fontId="27" numFmtId="164" xfId="0" applyAlignment="1" applyBorder="1" applyFont="1" applyNumberFormat="1">
      <alignment horizontal="center" shrinkToFit="0" vertical="center" wrapText="1"/>
    </xf>
    <xf borderId="0" fillId="0" fontId="8" numFmtId="164" xfId="0" applyAlignment="1" applyFont="1" applyNumberFormat="1">
      <alignment horizontal="center" shrinkToFit="0" vertical="center" wrapText="1"/>
    </xf>
    <xf borderId="4" fillId="6" fontId="8" numFmtId="9" xfId="0" applyAlignment="1" applyBorder="1" applyFont="1" applyNumberFormat="1">
      <alignment horizontal="center" readingOrder="0" vertical="center"/>
    </xf>
    <xf borderId="4" fillId="5" fontId="8" numFmtId="9" xfId="0" applyAlignment="1" applyBorder="1" applyFont="1" applyNumberFormat="1">
      <alignment horizontal="center" readingOrder="0" vertical="center"/>
    </xf>
    <xf borderId="6" fillId="5" fontId="28" numFmtId="0" xfId="0" applyAlignment="1" applyBorder="1" applyFont="1">
      <alignment horizontal="center" readingOrder="0" shrinkToFit="0" vertical="center" wrapText="1"/>
    </xf>
    <xf borderId="6" fillId="5" fontId="29" numFmtId="0" xfId="0" applyAlignment="1" applyBorder="1" applyFont="1">
      <alignment horizontal="center" readingOrder="0" shrinkToFit="0" vertical="center" wrapText="1"/>
    </xf>
    <xf borderId="6" fillId="5" fontId="26" numFmtId="0" xfId="0" applyAlignment="1" applyBorder="1" applyFont="1">
      <alignment horizontal="center" readingOrder="0" shrinkToFit="0" vertical="center" wrapText="1"/>
    </xf>
    <xf borderId="14" fillId="5" fontId="30" numFmtId="0" xfId="0" applyAlignment="1" applyBorder="1" applyFont="1">
      <alignment readingOrder="0" shrinkToFit="0" wrapText="1"/>
    </xf>
    <xf borderId="29" fillId="5" fontId="30" numFmtId="0" xfId="0" applyAlignment="1" applyBorder="1" applyFont="1">
      <alignment readingOrder="0" shrinkToFit="0" wrapText="1"/>
    </xf>
    <xf borderId="29" fillId="5" fontId="31" numFmtId="0" xfId="0" applyAlignment="1" applyBorder="1" applyFont="1">
      <alignment readingOrder="0" shrinkToFit="0" wrapText="1"/>
    </xf>
    <xf borderId="6" fillId="5" fontId="32" numFmtId="0" xfId="0" applyAlignment="1" applyBorder="1" applyFont="1">
      <alignment horizontal="left" readingOrder="0" shrinkToFit="0" vertical="center" wrapText="1"/>
    </xf>
    <xf borderId="6" fillId="5" fontId="8" numFmtId="167" xfId="0" applyAlignment="1" applyBorder="1" applyFont="1" applyNumberFormat="1">
      <alignment horizontal="center" readingOrder="0" shrinkToFit="0" vertical="center" wrapText="1"/>
    </xf>
    <xf borderId="0" fillId="0" fontId="11" numFmtId="0" xfId="0" applyFont="1"/>
    <xf borderId="6" fillId="5" fontId="27" numFmtId="0" xfId="0" applyAlignment="1" applyBorder="1" applyFont="1">
      <alignment horizontal="center" readingOrder="0" shrinkToFit="0" vertical="center" wrapText="1"/>
    </xf>
    <xf borderId="6" fillId="5" fontId="33" numFmtId="0" xfId="0" applyAlignment="1" applyBorder="1" applyFont="1">
      <alignment horizontal="center" shrinkToFit="0" vertical="center" wrapText="1"/>
    </xf>
    <xf borderId="6" fillId="5" fontId="14" numFmtId="0" xfId="0" applyAlignment="1" applyBorder="1" applyFont="1">
      <alignment horizontal="left" readingOrder="0" shrinkToFit="0" vertical="center" wrapText="1"/>
    </xf>
    <xf borderId="6" fillId="5" fontId="8" numFmtId="0" xfId="0" applyAlignment="1" applyBorder="1" applyFont="1">
      <alignment horizontal="left" readingOrder="0" shrinkToFit="0" vertical="center" wrapText="1"/>
    </xf>
    <xf borderId="20" fillId="4" fontId="6" numFmtId="0" xfId="0" applyAlignment="1" applyBorder="1" applyFont="1">
      <alignment horizontal="center" readingOrder="0" shrinkToFit="0" vertical="center" wrapText="1"/>
    </xf>
  </cellXfs>
  <cellStyles count="1">
    <cellStyle xfId="0" name="Normal" builtinId="0"/>
  </cellStyles>
  <dxfs count="4">
    <dxf>
      <font/>
      <fill>
        <patternFill patternType="solid">
          <fgColor rgb="FF6AA84F"/>
          <bgColor rgb="FF6AA84F"/>
        </patternFill>
      </fill>
      <border/>
    </dxf>
    <dxf>
      <font/>
      <fill>
        <patternFill patternType="solid">
          <fgColor rgb="FFEA9999"/>
          <bgColor rgb="FFEA9999"/>
        </patternFill>
      </fill>
      <border/>
    </dxf>
    <dxf>
      <font/>
      <fill>
        <patternFill patternType="solid">
          <fgColor rgb="FFB7E1CD"/>
          <bgColor rgb="FFB7E1CD"/>
        </patternFill>
      </fill>
      <border/>
    </dxf>
    <dxf>
      <font/>
      <fill>
        <patternFill patternType="solid">
          <fgColor rgb="FFDD7E6B"/>
          <bgColor rgb="FFDD7E6B"/>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29" Type="http://schemas.openxmlformats.org/officeDocument/2006/relationships/worksheet" Target="worksheets/sheet26.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2Lrpnc5wY75LywqFEzSzVpucTP7XtSa5" TargetMode="External"/><Relationship Id="rId2" Type="http://schemas.openxmlformats.org/officeDocument/2006/relationships/hyperlink" Target="https://drive.google.com/drive/folders/1ig7yBCy_DBPgvB9yfx_8I7Frao3wytjW" TargetMode="External"/><Relationship Id="rId3" Type="http://schemas.openxmlformats.org/officeDocument/2006/relationships/hyperlink" Target="https://drive.google.com/drive/folders/1gf8io1RgaFWHfj6c0JO9i4V1L-V-SRtq" TargetMode="External"/><Relationship Id="rId4" Type="http://schemas.openxmlformats.org/officeDocument/2006/relationships/hyperlink" Target="https://drive.google.com/drive/folders/1Q7U_unLOvk2VhsZZzPfCtwscIge_MKE9" TargetMode="External"/><Relationship Id="rId5" Type="http://schemas.openxmlformats.org/officeDocument/2006/relationships/hyperlink" Target="https://drive.google.com/drive/folders/1985i26SHHJMr8xeDwJVcaNMTDD263Bki" TargetMode="External"/><Relationship Id="rId6"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drive.google.com/file/d/1V48tlSlvHAflIE3Ipved5hZ2ov1VrauB/view?usp=sharing" TargetMode="External"/><Relationship Id="rId2" Type="http://schemas.openxmlformats.org/officeDocument/2006/relationships/hyperlink" Target="https://drive.google.com/file/d/1ieOqmATG716cQZHvW0egPVAOp4hRGRug/view?usp=sharing"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drive/folders/1vplUtCRjcKYYLzhJVC57AyX3_Hw32gZL" TargetMode="External"/><Relationship Id="rId2" Type="http://schemas.openxmlformats.org/officeDocument/2006/relationships/hyperlink" Target="https://drive.google.com/drive/u/1/folders/1lfw5fH9Eh0n6JcZHZ_1pHqkTSJaOnMSJ" TargetMode="External"/><Relationship Id="rId3" Type="http://schemas.openxmlformats.org/officeDocument/2006/relationships/hyperlink" Target="https://drive.google.com/drive/u/1/folders/1talNgOubajKwuHUtAYuwVUe9rCVa6TGK" TargetMode="External"/><Relationship Id="rId4" Type="http://schemas.openxmlformats.org/officeDocument/2006/relationships/hyperlink" Target="https://drive.google.com/drive/u/1/folders/19pCCLgtnRbtZ15L-ZJumE-RmLwRCTwnF" TargetMode="External"/><Relationship Id="rId5" Type="http://schemas.openxmlformats.org/officeDocument/2006/relationships/hyperlink" Target="https://drive.google.com/drive/u/1/folders/1fCg_caOR48Rxu54XDTZgbyi9lWjqEXPa" TargetMode="External"/><Relationship Id="rId6"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www.aunap.gov.co/index.php/secretraria-general/financiera" TargetMode="External"/><Relationship Id="rId2" Type="http://schemas.openxmlformats.org/officeDocument/2006/relationships/hyperlink" Target="https://www.aunap.gov.co/index.php/secretraria-general/financiera" TargetMode="External"/><Relationship Id="rId3" Type="http://schemas.openxmlformats.org/officeDocument/2006/relationships/hyperlink" Target="https://www.aunap.gov.co/index.php/secretraria-general/financiera"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drive/folders/1d7sseEbkAHVJiq9umaS9rpxBcrF6Qbf3?usp=sharing" TargetMode="External"/><Relationship Id="rId2" Type="http://schemas.openxmlformats.org/officeDocument/2006/relationships/hyperlink" Target="https://drive.google.com/drive/folders/1LjChXYjNNyxc9TolNsp0MwhDwhlsJH8p?usp=sharing" TargetMode="External"/><Relationship Id="rId3" Type="http://schemas.openxmlformats.org/officeDocument/2006/relationships/hyperlink" Target="https://drive.google.com/drive/folders/1lRP69se5VGe85jyEwV6HiATudccwhcj1?usp=sharing"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Yx7PgLI7Gm1EpLH64uLTGnWI3LCamwFn" TargetMode="External"/><Relationship Id="rId2" Type="http://schemas.openxmlformats.org/officeDocument/2006/relationships/hyperlink" Target="https://drive.google.com/drive/folders/1Yx7PgLI7Gm1EpLH64uLTGnWI3LCamwFn" TargetMode="External"/><Relationship Id="rId3" Type="http://schemas.openxmlformats.org/officeDocument/2006/relationships/hyperlink" Target="https://drive.google.com/drive/folders/1Yx7PgLI7Gm1EpLH64uLTGnWI3LCamwFn" TargetMode="External"/><Relationship Id="rId4" Type="http://schemas.openxmlformats.org/officeDocument/2006/relationships/hyperlink" Target="https://drive.google.com/drive/folders/1Yx7PgLI7Gm1EpLH64uLTGnWI3LCamwFn" TargetMode="External"/><Relationship Id="rId5" Type="http://schemas.openxmlformats.org/officeDocument/2006/relationships/hyperlink" Target="https://www.defensajuridica.gov.co/Paginas/Default.aspx" TargetMode="External"/><Relationship Id="rId6"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drive.google.com/drive/folders/1Lzbc6bv79N5mKIlEosXVba2x-pNxEF2U?usp=sharing" TargetMode="External"/><Relationship Id="rId2" Type="http://schemas.openxmlformats.org/officeDocument/2006/relationships/hyperlink" Target="https://drive.google.com/drive/folders/1P-YUpQqXNoQRrYOTiaKjmsZtHhBL_TDD?usp=sharing" TargetMode="External"/><Relationship Id="rId3" Type="http://schemas.openxmlformats.org/officeDocument/2006/relationships/hyperlink" Target="https://drive.google.com/file/d/18OJDPi4D903LVgIQoOwvRYgPjedCv8EC/view?usp=sharing" TargetMode="External"/><Relationship Id="rId4" Type="http://schemas.openxmlformats.org/officeDocument/2006/relationships/hyperlink" Target="https://drive.google.com/file/d/1ZKNdgb3E4nWOSO-aqHgQFF8tQX-WVG3i/view?usp=sharing" TargetMode="External"/><Relationship Id="rId5"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ocs.google.com/spreadsheets/d/1XX1hK76vKZokmWvcQLv9yz_GhUoODjWbraG6K6d8EEg/edit" TargetMode="Externa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file/d/1PHt6v_0dgDD_KulceYCVdR5tnzYTRTlS/view?usp=sharing" TargetMode="External"/><Relationship Id="rId2"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u/1/folders/1R9b7_7SE4iA0CimBa2qexD6XSAofr_wl" TargetMode="External"/><Relationship Id="rId2" Type="http://schemas.openxmlformats.org/officeDocument/2006/relationships/hyperlink" Target="https://drive.google.com/drive/u/1/folders/1s3FB80LqvI8SPwr9S_0BieGYn5TwHs9q" TargetMode="External"/><Relationship Id="rId3" Type="http://schemas.openxmlformats.org/officeDocument/2006/relationships/hyperlink" Target="https://drive.google.com/drive/u/1/folders/1YiqM_h7N_dbsy6gEfFMdFil7EWI2gKbW" TargetMode="External"/><Relationship Id="rId4" Type="http://schemas.openxmlformats.org/officeDocument/2006/relationships/hyperlink" Target="https://drive.google.com/drive/u/0/folders/19n-BfvodAqqRDwR-VKQ-mDrZZuO43Jp9" TargetMode="External"/><Relationship Id="rId5"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hyperlink" Target="https://drive.google.com/drive/folders/1NB7I2PfIMRwSSADTj-4W8IroElIBzlyQ?usp=sharing" TargetMode="External"/><Relationship Id="rId2" Type="http://schemas.openxmlformats.org/officeDocument/2006/relationships/hyperlink" Target="https://drive.google.com/drive/folders/1lmzrgbDyzTtLVELP4XvDM1zoob1wxf96?usp=sharing" TargetMode="External"/><Relationship Id="rId3" Type="http://schemas.openxmlformats.org/officeDocument/2006/relationships/hyperlink" Target="https://drive.google.com/drive/folders/1xGk0uSruhh86XnDQU2uX8TE-IaKSHx3f?usp=sharing" TargetMode="External"/><Relationship Id="rId4" Type="http://schemas.openxmlformats.org/officeDocument/2006/relationships/hyperlink" Target="https://drive.google.com/drive/folders/1SZ0RG4S06cXdENPNHfd4pjJBOEejPU7f?usp=sharing" TargetMode="External"/><Relationship Id="rId5" Type="http://schemas.openxmlformats.org/officeDocument/2006/relationships/hyperlink" Target="https://drive.google.com/drive/folders/16-xxx6VG8M1l7YSVoP4W8QofwbIPkIPZ?usp=sharing" TargetMode="External"/><Relationship Id="rId6" Type="http://schemas.openxmlformats.org/officeDocument/2006/relationships/hyperlink" Target="https://drive.google.com/drive/folders/1B0ercEBPx_Iv7xkTHYyiyth-nYnpCmYS?usp=sharing" TargetMode="External"/><Relationship Id="rId7" Type="http://schemas.openxmlformats.org/officeDocument/2006/relationships/hyperlink" Target="https://drive.google.com/drive/folders/1O-BHLpDVC2uOioIVfFwf3Mn2YfbeTlCH?usp=sharing" TargetMode="External"/><Relationship Id="rId8"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1" Type="http://schemas.openxmlformats.org/officeDocument/2006/relationships/hyperlink" Target="https://drive.google.com/drive/folders/1fFIKd0nct5-p5ZlOX5NQGN-ZGHcxduC8?usp=sharing" TargetMode="External"/><Relationship Id="rId10" Type="http://schemas.openxmlformats.org/officeDocument/2006/relationships/hyperlink" Target="https://drive.google.com/drive/folders/16ZxQMXYaStMXJRRVTqiTzPTmbmBOQtCg?usp=sharing" TargetMode="External"/><Relationship Id="rId13" Type="http://schemas.openxmlformats.org/officeDocument/2006/relationships/drawing" Target="../drawings/drawing21.xml"/><Relationship Id="rId12" Type="http://schemas.openxmlformats.org/officeDocument/2006/relationships/hyperlink" Target="https://drive.google.com/drive/folders/1EtoSetoszaEo6XFMZoTKQEtpICrDpg61?usp=sharing" TargetMode="External"/><Relationship Id="rId1" Type="http://schemas.openxmlformats.org/officeDocument/2006/relationships/hyperlink" Target="https://drive.google.com/drive/folders/1vQBf4upsNEi1tJVKZWc0VVlf4dANbkc2?usp=sharing" TargetMode="External"/><Relationship Id="rId2" Type="http://schemas.openxmlformats.org/officeDocument/2006/relationships/hyperlink" Target="https://drive.google.com/drive/folders/1kzgav-qgeVN9aps2MZtVvH4hQibDj-0n?usp=sharing" TargetMode="External"/><Relationship Id="rId3" Type="http://schemas.openxmlformats.org/officeDocument/2006/relationships/hyperlink" Target="https://drive.google.com/drive/folders/1npWQFZ0m9ED4H05Lpe9-sv20hI50V9or?usp=sharing" TargetMode="External"/><Relationship Id="rId4" Type="http://schemas.openxmlformats.org/officeDocument/2006/relationships/hyperlink" Target="https://drive.google.com/drive/folders/1kzgav-qgeVN9aps2MZtVvH4hQibDj-0n?usp=sharing" TargetMode="External"/><Relationship Id="rId9" Type="http://schemas.openxmlformats.org/officeDocument/2006/relationships/hyperlink" Target="https://drive.google.com/drive/folders/1DJkyJowVePHz-cPk6WeAshEhoLMjdqC3?usp=sharing" TargetMode="External"/><Relationship Id="rId5" Type="http://schemas.openxmlformats.org/officeDocument/2006/relationships/hyperlink" Target="https://drive.google.com/drive/folders/1kzgav-qgeVN9aps2MZtVvH4hQibDj-0n?usp=sharing" TargetMode="External"/><Relationship Id="rId6" Type="http://schemas.openxmlformats.org/officeDocument/2006/relationships/hyperlink" Target="https://drive.google.com/drive/folders/15CTvvALIR5CZAFeS-LOYt9HpFXwh3216?usp=sharing" TargetMode="External"/><Relationship Id="rId7" Type="http://schemas.openxmlformats.org/officeDocument/2006/relationships/hyperlink" Target="https://drive.google.com/drive/folders/1J4Kl9amOSx9BK6WWrQWQopObwVRspVIM?usp=sharing" TargetMode="External"/><Relationship Id="rId8" Type="http://schemas.openxmlformats.org/officeDocument/2006/relationships/hyperlink" Target="https://drive.google.com/drive/folders/1nOThh0PDgJZjSjMClQ3NkXxHu6FDPrhm?usp=sharing" TargetMode="External"/></Relationships>
</file>

<file path=xl/worksheets/_rels/sheet22.xml.rels><?xml version="1.0" encoding="UTF-8" standalone="yes"?><Relationships xmlns="http://schemas.openxmlformats.org/package/2006/relationships"><Relationship Id="rId11" Type="http://schemas.openxmlformats.org/officeDocument/2006/relationships/drawing" Target="../drawings/drawing22.xml"/><Relationship Id="rId10" Type="http://schemas.openxmlformats.org/officeDocument/2006/relationships/hyperlink" Target="https://drive.google.com/drive/folders/1_GMXa6H0jGOSDxtLlU5C_kZtJM4cv0ay" TargetMode="External"/><Relationship Id="rId1" Type="http://schemas.openxmlformats.org/officeDocument/2006/relationships/hyperlink" Target="https://drive.google.com/drive/folders/1_GMXa6H0jGOSDxtLlU5C_kZtJM4cv0ay" TargetMode="External"/><Relationship Id="rId2" Type="http://schemas.openxmlformats.org/officeDocument/2006/relationships/hyperlink" Target="https://drive.google.com/drive/folders/1_GMXa6H0jGOSDxtLlU5C_kZtJM4cv0ay" TargetMode="External"/><Relationship Id="rId3" Type="http://schemas.openxmlformats.org/officeDocument/2006/relationships/hyperlink" Target="https://drive.google.com/drive/folders/1_GMXa6H0jGOSDxtLlU5C_kZtJM4cv0ay" TargetMode="External"/><Relationship Id="rId4" Type="http://schemas.openxmlformats.org/officeDocument/2006/relationships/hyperlink" Target="https://drive.google.com/drive/folders/1_GMXa6H0jGOSDxtLlU5C_kZtJM4cv0ay" TargetMode="External"/><Relationship Id="rId9" Type="http://schemas.openxmlformats.org/officeDocument/2006/relationships/hyperlink" Target="https://drive.google.com/drive/folders/1_GMXa6H0jGOSDxtLlU5C_kZtJM4cv0ay" TargetMode="External"/><Relationship Id="rId5" Type="http://schemas.openxmlformats.org/officeDocument/2006/relationships/hyperlink" Target="https://drive.google.com/drive/folders/1_GMXa6H0jGOSDxtLlU5C_kZtJM4cv0ay" TargetMode="External"/><Relationship Id="rId6" Type="http://schemas.openxmlformats.org/officeDocument/2006/relationships/hyperlink" Target="https://drive.google.com/drive/folders/1_GMXa6H0jGOSDxtLlU5C_kZtJM4cv0ay" TargetMode="External"/><Relationship Id="rId7" Type="http://schemas.openxmlformats.org/officeDocument/2006/relationships/hyperlink" Target="https://drive.google.com/drive/folders/1_GMXa6H0jGOSDxtLlU5C_kZtJM4cv0ay" TargetMode="External"/><Relationship Id="rId8" Type="http://schemas.openxmlformats.org/officeDocument/2006/relationships/hyperlink" Target="https://drive.google.com/drive/folders/1zpQ3atICDLnNkVN3loVZZijl1jjT1l0w" TargetMode="External"/></Relationships>
</file>

<file path=xl/worksheets/_rels/sheet23.xml.rels><?xml version="1.0" encoding="UTF-8" standalone="yes"?><Relationships xmlns="http://schemas.openxmlformats.org/package/2006/relationships"><Relationship Id="rId11" Type="http://schemas.openxmlformats.org/officeDocument/2006/relationships/hyperlink" Target="https://drive.google.com/file/d/1AoUSa1d317GU9CsS8X2lWy7otre1Er0Q/view?usp=sharing" TargetMode="External"/><Relationship Id="rId10" Type="http://schemas.openxmlformats.org/officeDocument/2006/relationships/hyperlink" Target="https://drive.google.com/file/d/15n1x8LMBLaJ-7fPUTdeOx-cF_snk9riu/view?usp=sharing" TargetMode="External"/><Relationship Id="rId12" Type="http://schemas.openxmlformats.org/officeDocument/2006/relationships/drawing" Target="../drawings/drawing23.xml"/><Relationship Id="rId1" Type="http://schemas.openxmlformats.org/officeDocument/2006/relationships/hyperlink" Target="https://drive.google.com/file/d/1o8fnADHZ9enqG3Z-5baqQq2GdMUf6Myc/view?usp=sharing" TargetMode="External"/><Relationship Id="rId2" Type="http://schemas.openxmlformats.org/officeDocument/2006/relationships/hyperlink" Target="https://drive.google.com/file/d/1xm9KiGAPk9WNjbnvDYXm23EXBOJXZ04W/view?usp=sharing" TargetMode="External"/><Relationship Id="rId3" Type="http://schemas.openxmlformats.org/officeDocument/2006/relationships/hyperlink" Target="https://drive.google.com/file/d/1sY-OYWwi1u7RsMU2YohfVPvTLaaYDrm1/view?usp=sharing" TargetMode="External"/><Relationship Id="rId4" Type="http://schemas.openxmlformats.org/officeDocument/2006/relationships/hyperlink" Target="https://drive.google.com/file/d/1WcIEhHlrxavdjrH5cjM110KrkFgF5cEV/view?usp=sharing" TargetMode="External"/><Relationship Id="rId9" Type="http://schemas.openxmlformats.org/officeDocument/2006/relationships/hyperlink" Target="https://drive.google.com/drive/folders/1hjyMP7Pk9pqiaxEP-lO2k6sHJgCAp_5W?usp=sharing" TargetMode="External"/><Relationship Id="rId5" Type="http://schemas.openxmlformats.org/officeDocument/2006/relationships/hyperlink" Target="https://drive.google.com/file/d/1QklpuE4s0iCSqfCyYoWSlYo4Kd-9SsAR/view?usp=sharing" TargetMode="External"/><Relationship Id="rId6" Type="http://schemas.openxmlformats.org/officeDocument/2006/relationships/hyperlink" Target="https://drive.google.com/file/d/18laHvpQR2KrbkUiEzk4NC60jxNcnBHwO/view?usp=sharing" TargetMode="External"/><Relationship Id="rId7" Type="http://schemas.openxmlformats.org/officeDocument/2006/relationships/hyperlink" Target="https://drive.google.com/file/d/1U7XWuqzfHjIE0grJyiGJC8HVGpFU7xeL/view?usp=sharing" TargetMode="External"/><Relationship Id="rId8" Type="http://schemas.openxmlformats.org/officeDocument/2006/relationships/hyperlink" Target="https://drive.google.com/drive/folders/1EEhndqCTZLPDnxaJZQXj-kEcvqbzxfDl?usp=sharing"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drive.google.com/drive/folders/1Y_Hw3xO2847CBQTu6Wihw9l86tNrH-tW?usp=sharing" TargetMode="External"/><Relationship Id="rId2" Type="http://schemas.openxmlformats.org/officeDocument/2006/relationships/hyperlink" Target="https://drive.google.com/drive/folders/1JXn3WjkkCehEZqijNRw_8M8hZTN4Zhzw?usp=sharing" TargetMode="External"/><Relationship Id="rId3" Type="http://schemas.openxmlformats.org/officeDocument/2006/relationships/hyperlink" Target="https://drive.google.com/drive/folders/1hyTzou6SMrUgOpI6TIRPTnbW932ngynU?usp=sharing" TargetMode="External"/><Relationship Id="rId4" Type="http://schemas.openxmlformats.org/officeDocument/2006/relationships/hyperlink" Target="https://drive.google.com/drive/folders/1Gcf9nkhGu8av3oO9f4gPItydJ75vV1pN?usp=sharing" TargetMode="External"/><Relationship Id="rId5" Type="http://schemas.openxmlformats.org/officeDocument/2006/relationships/hyperlink" Target="https://drive.google.com/drive/folders/11ODZ9eXVCXpI4lWrMqS_hFI20r6uxYHc?usp=sharing" TargetMode="External"/><Relationship Id="rId6" Type="http://schemas.openxmlformats.org/officeDocument/2006/relationships/hyperlink" Target="https://drive.google.com/file/d/1UmrE2QKe9RVKoEAXa64A-9rXRnDYmcU_/view?usp=sharing" TargetMode="External"/><Relationship Id="rId7"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1" Type="http://schemas.openxmlformats.org/officeDocument/2006/relationships/drawing" Target="../drawings/drawing25.xml"/><Relationship Id="rId10" Type="http://schemas.openxmlformats.org/officeDocument/2006/relationships/hyperlink" Target="https://drive.google.com/drive/u/1/folders/16vm4h69fQppI_PfsqdiT0HbWghO72BMz" TargetMode="External"/><Relationship Id="rId1" Type="http://schemas.openxmlformats.org/officeDocument/2006/relationships/hyperlink" Target="https://drive.google.com/drive/u/1/folders/1girl3gray4WznNhYjdOvgeJJizawb1Xk" TargetMode="External"/><Relationship Id="rId2" Type="http://schemas.openxmlformats.org/officeDocument/2006/relationships/hyperlink" Target="https://docs.google.com/spreadsheets/d/1Sp0HuSWoactxMTEM5_BtKci_LUjQOXtSdd2FLZ7Z_N0/edit" TargetMode="External"/><Relationship Id="rId3" Type="http://schemas.openxmlformats.org/officeDocument/2006/relationships/hyperlink" Target="https://drive.google.com/drive/folders/1vBGpcRz5WEflF30VeNl54rjzVnBdrdly" TargetMode="External"/><Relationship Id="rId4" Type="http://schemas.openxmlformats.org/officeDocument/2006/relationships/hyperlink" Target="https://drive.google.com/drive/folders/1grB8f-n7Pzg9aRe8dtccSXqN3lJx9Ah0" TargetMode="External"/><Relationship Id="rId9" Type="http://schemas.openxmlformats.org/officeDocument/2006/relationships/hyperlink" Target="https://docs.google.com/spreadsheets/d/1TQeejKOXR3nXYtWGE-UI6Dyme8Y14-PC7WcfmViJdE4/edit" TargetMode="External"/><Relationship Id="rId5" Type="http://schemas.openxmlformats.org/officeDocument/2006/relationships/hyperlink" Target="https://drive.google.com/drive/folders/1zLutZgO3l3joLSILJ_F2BekxwJ6Lirqy" TargetMode="External"/><Relationship Id="rId6" Type="http://schemas.openxmlformats.org/officeDocument/2006/relationships/hyperlink" Target="https://drive.google.com/drive/folders/135xbFIVOZMf8ZMhrJCqjEUPuTybOzv8v" TargetMode="External"/><Relationship Id="rId7" Type="http://schemas.openxmlformats.org/officeDocument/2006/relationships/hyperlink" Target="https://drive.google.com/drive/folders/1CoIngFTtAhjIjqjT0ePzvmnvh9b9lR8m" TargetMode="External"/><Relationship Id="rId8" Type="http://schemas.openxmlformats.org/officeDocument/2006/relationships/hyperlink" Target="https://drive.google.com/drive/u/1/folders/16fceEVUGI_36Iyy58X0FOyifN7MEgl2h"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drive.google.com/drive/folders/1IwFtU6USxk7tqEItVE0cLlb5l4OwHZL_?usp=sharing" TargetMode="External"/><Relationship Id="rId2" Type="http://schemas.openxmlformats.org/officeDocument/2006/relationships/hyperlink" Target="https://drive.google.com/drive/folders/1x9Pr_jX9w3c_qDHO7FLdjdSavldhai6-?usp=sharing" TargetMode="External"/><Relationship Id="rId3" Type="http://schemas.openxmlformats.org/officeDocument/2006/relationships/hyperlink" Target="https://drive.google.com/drive/folders/1zNk_fQAQJOM7lt_vcP6InPT2Fq_kdhTJ?usp=sharing" TargetMode="External"/><Relationship Id="rId4" Type="http://schemas.openxmlformats.org/officeDocument/2006/relationships/hyperlink" Target="https://drive.google.com/drive/folders/1aer8hzRpLvfC07cUit6a4i6mCxnxxSwI?usp=sharing" TargetMode="External"/><Relationship Id="rId9" Type="http://schemas.openxmlformats.org/officeDocument/2006/relationships/drawing" Target="../drawings/drawing26.xml"/><Relationship Id="rId5" Type="http://schemas.openxmlformats.org/officeDocument/2006/relationships/hyperlink" Target="https://drive.google.com/drive/folders/1z5h5jOefd-z2pXtJj2BQwdf_WANh6RKa?usp=sharing" TargetMode="External"/><Relationship Id="rId6" Type="http://schemas.openxmlformats.org/officeDocument/2006/relationships/hyperlink" Target="https://drive.google.com/drive/folders/19pdOG1ikG_ZJi_euLBy7kgR4y9kJ4S33?usp=sharing" TargetMode="External"/><Relationship Id="rId7" Type="http://schemas.openxmlformats.org/officeDocument/2006/relationships/hyperlink" Target="https://drive.google.com/drive/folders/1et2pPznntJhWNM8PMQq950pD1YI2K_eo?usp=sharing" TargetMode="External"/><Relationship Id="rId8" Type="http://schemas.openxmlformats.org/officeDocument/2006/relationships/hyperlink" Target="https://drive.google.com/drive/folders/1CIATy8agdHZ-LsBHXSsFK80e2H1DQGpC?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s3FB80LqvI8SPwr9S_0BieGYn5TwHs9q" TargetMode="External"/><Relationship Id="rId42" Type="http://schemas.openxmlformats.org/officeDocument/2006/relationships/hyperlink" Target="https://drive.google.com/drive/u/0/folders/19n-BfvodAqqRDwR-VKQ-mDrZZuO43Jp9" TargetMode="External"/><Relationship Id="rId41" Type="http://schemas.openxmlformats.org/officeDocument/2006/relationships/hyperlink" Target="https://drive.google.com/drive/u/1/folders/1YiqM_h7N_dbsy6gEfFMdFil7EWI2gKbW" TargetMode="External"/><Relationship Id="rId44" Type="http://schemas.openxmlformats.org/officeDocument/2006/relationships/hyperlink" Target="https://drive.google.com/drive/folders/1lmzrgbDyzTtLVELP4XvDM1zoob1wxf96?usp=sharing" TargetMode="External"/><Relationship Id="rId43" Type="http://schemas.openxmlformats.org/officeDocument/2006/relationships/hyperlink" Target="https://drive.google.com/drive/folders/1NB7I2PfIMRwSSADTj-4W8IroElIBzlyQ?usp=sharing" TargetMode="External"/><Relationship Id="rId46" Type="http://schemas.openxmlformats.org/officeDocument/2006/relationships/hyperlink" Target="https://drive.google.com/drive/folders/1SZ0RG4S06cXdENPNHfd4pjJBOEejPU7f?usp=sharing" TargetMode="External"/><Relationship Id="rId45" Type="http://schemas.openxmlformats.org/officeDocument/2006/relationships/hyperlink" Target="https://drive.google.com/drive/folders/1xGk0uSruhh86XnDQU2uX8TE-IaKSHx3f?usp=sharing" TargetMode="External"/><Relationship Id="rId107" Type="http://schemas.openxmlformats.org/officeDocument/2006/relationships/drawing" Target="../drawings/drawing4.xml"/><Relationship Id="rId106" Type="http://schemas.openxmlformats.org/officeDocument/2006/relationships/hyperlink" Target="https://drive.google.com/drive/folders/1CIATy8agdHZ-LsBHXSsFK80e2H1DQGpC?usp=sharing" TargetMode="External"/><Relationship Id="rId105" Type="http://schemas.openxmlformats.org/officeDocument/2006/relationships/hyperlink" Target="https://drive.google.com/drive/folders/1et2pPznntJhWNM8PMQq950pD1YI2K_eo?usp=sharing" TargetMode="External"/><Relationship Id="rId104" Type="http://schemas.openxmlformats.org/officeDocument/2006/relationships/hyperlink" Target="https://drive.google.com/drive/folders/19pdOG1ikG_ZJi_euLBy7kgR4y9kJ4S33?usp=sharing" TargetMode="External"/><Relationship Id="rId108" Type="http://schemas.openxmlformats.org/officeDocument/2006/relationships/vmlDrawing" Target="../drawings/vmlDrawing1.vml"/><Relationship Id="rId48" Type="http://schemas.openxmlformats.org/officeDocument/2006/relationships/hyperlink" Target="https://drive.google.com/drive/folders/1B0ercEBPx_Iv7xkTHYyiyth-nYnpCmYS?usp=sharing" TargetMode="External"/><Relationship Id="rId47" Type="http://schemas.openxmlformats.org/officeDocument/2006/relationships/hyperlink" Target="https://drive.google.com/drive/folders/16-xxx6VG8M1l7YSVoP4W8QofwbIPkIPZ?usp=sharing" TargetMode="External"/><Relationship Id="rId49" Type="http://schemas.openxmlformats.org/officeDocument/2006/relationships/hyperlink" Target="https://drive.google.com/drive/folders/1O-BHLpDVC2uOioIVfFwf3Mn2YfbeTlCH?usp=sharing" TargetMode="External"/><Relationship Id="rId103" Type="http://schemas.openxmlformats.org/officeDocument/2006/relationships/hyperlink" Target="https://drive.google.com/drive/folders/1z5h5jOefd-z2pXtJj2BQwdf_WANh6RKa?usp=sharing" TargetMode="External"/><Relationship Id="rId102" Type="http://schemas.openxmlformats.org/officeDocument/2006/relationships/hyperlink" Target="https://drive.google.com/drive/folders/1aer8hzRpLvfC07cUit6a4i6mCxnxxSwI?usp=sharing" TargetMode="External"/><Relationship Id="rId101" Type="http://schemas.openxmlformats.org/officeDocument/2006/relationships/hyperlink" Target="https://drive.google.com/drive/folders/1zNk_fQAQJOM7lt_vcP6InPT2Fq_kdhTJ?usp=sharing" TargetMode="External"/><Relationship Id="rId100" Type="http://schemas.openxmlformats.org/officeDocument/2006/relationships/hyperlink" Target="https://drive.google.com/drive/folders/1x9Pr_jX9w3c_qDHO7FLdjdSavldhai6-?usp=sharing" TargetMode="External"/><Relationship Id="rId31" Type="http://schemas.openxmlformats.org/officeDocument/2006/relationships/hyperlink" Target="https://drive.google.com/drive/folders/1Yx7PgLI7Gm1EpLH64uLTGnWI3LCamwFn" TargetMode="External"/><Relationship Id="rId30" Type="http://schemas.openxmlformats.org/officeDocument/2006/relationships/hyperlink" Target="https://drive.google.com/drive/folders/1Yx7PgLI7Gm1EpLH64uLTGnWI3LCamwFn" TargetMode="External"/><Relationship Id="rId33" Type="http://schemas.openxmlformats.org/officeDocument/2006/relationships/hyperlink" Target="https://www.defensajuridica.gov.co/Paginas/Default.aspx" TargetMode="External"/><Relationship Id="rId32" Type="http://schemas.openxmlformats.org/officeDocument/2006/relationships/hyperlink" Target="https://drive.google.com/drive/folders/1Yx7PgLI7Gm1EpLH64uLTGnWI3LCamwFn" TargetMode="External"/><Relationship Id="rId35" Type="http://schemas.openxmlformats.org/officeDocument/2006/relationships/hyperlink" Target="https://drive.google.com/drive/folders/1P-YUpQqXNoQRrYOTiaKjmsZtHhBL_TDD?usp=sharing" TargetMode="External"/><Relationship Id="rId34" Type="http://schemas.openxmlformats.org/officeDocument/2006/relationships/hyperlink" Target="https://drive.google.com/drive/folders/1Lzbc6bv79N5mKIlEosXVba2x-pNxEF2U?usp=sharing" TargetMode="External"/><Relationship Id="rId37" Type="http://schemas.openxmlformats.org/officeDocument/2006/relationships/hyperlink" Target="https://docs.google.com/spreadsheets/d/1XX1hK76vKZokmWvcQLv9yz_GhUoODjWbraG6K6d8EEg/edit" TargetMode="External"/><Relationship Id="rId36" Type="http://schemas.openxmlformats.org/officeDocument/2006/relationships/hyperlink" Target="https://drive.google.com/file/d/1ZKNdgb3E4nWOSO-aqHgQFF8tQX-WVG3i/view?usp=sharing" TargetMode="External"/><Relationship Id="rId39" Type="http://schemas.openxmlformats.org/officeDocument/2006/relationships/hyperlink" Target="https://drive.google.com/drive/u/1/folders/1R9b7_7SE4iA0CimBa2qexD6XSAofr_wl" TargetMode="External"/><Relationship Id="rId38" Type="http://schemas.openxmlformats.org/officeDocument/2006/relationships/hyperlink" Target="https://drive.google.com/file/d/1PHt6v_0dgDD_KulceYCVdR5tnzYTRTlS/view?usp=sharing" TargetMode="External"/><Relationship Id="rId20" Type="http://schemas.openxmlformats.org/officeDocument/2006/relationships/hyperlink" Target="https://drive.google.com/drive/u/1/folders/1talNgOubajKwuHUtAYuwVUe9rCVa6TGK" TargetMode="External"/><Relationship Id="rId22" Type="http://schemas.openxmlformats.org/officeDocument/2006/relationships/hyperlink" Target="https://drive.google.com/drive/u/1/folders/1fCg_caOR48Rxu54XDTZgbyi9lWjqEXPa" TargetMode="External"/><Relationship Id="rId21" Type="http://schemas.openxmlformats.org/officeDocument/2006/relationships/hyperlink" Target="https://drive.google.com/drive/u/1/folders/19pCCLgtnRbtZ15L-ZJumE-RmLwRCTwnF" TargetMode="External"/><Relationship Id="rId24" Type="http://schemas.openxmlformats.org/officeDocument/2006/relationships/hyperlink" Target="https://www.aunap.gov.co/index.php/secretraria-general/financiera" TargetMode="External"/><Relationship Id="rId23" Type="http://schemas.openxmlformats.org/officeDocument/2006/relationships/hyperlink" Target="https://www.aunap.gov.co/index.php/secretraria-general/financiera" TargetMode="External"/><Relationship Id="rId26" Type="http://schemas.openxmlformats.org/officeDocument/2006/relationships/hyperlink" Target="https://drive.google.com/drive/folders/1d7sseEbkAHVJiq9umaS9rpxBcrF6Qbf3?usp=sharing" TargetMode="External"/><Relationship Id="rId25" Type="http://schemas.openxmlformats.org/officeDocument/2006/relationships/hyperlink" Target="https://www.aunap.gov.co/index.php/secretraria-general/financiera" TargetMode="External"/><Relationship Id="rId28" Type="http://schemas.openxmlformats.org/officeDocument/2006/relationships/hyperlink" Target="https://drive.google.com/drive/folders/1lRP69se5VGe85jyEwV6HiATudccwhcj1?usp=sharing" TargetMode="External"/><Relationship Id="rId27" Type="http://schemas.openxmlformats.org/officeDocument/2006/relationships/hyperlink" Target="https://drive.google.com/drive/folders/1LjChXYjNNyxc9TolNsp0MwhDwhlsJH8p?usp=sharing" TargetMode="External"/><Relationship Id="rId29" Type="http://schemas.openxmlformats.org/officeDocument/2006/relationships/hyperlink" Target="https://drive.google.com/drive/folders/1Yx7PgLI7Gm1EpLH64uLTGnWI3LCamwFn" TargetMode="External"/><Relationship Id="rId95" Type="http://schemas.openxmlformats.org/officeDocument/2006/relationships/hyperlink" Target="https://drive.google.com/drive/folders/1CoIngFTtAhjIjqjT0ePzvmnvh9b9lR8m" TargetMode="External"/><Relationship Id="rId94" Type="http://schemas.openxmlformats.org/officeDocument/2006/relationships/hyperlink" Target="https://drive.google.com/drive/folders/135xbFIVOZMf8ZMhrJCqjEUPuTybOzv8v" TargetMode="External"/><Relationship Id="rId97" Type="http://schemas.openxmlformats.org/officeDocument/2006/relationships/hyperlink" Target="https://docs.google.com/spreadsheets/d/1TQeejKOXR3nXYtWGE-UI6Dyme8Y14-PC7WcfmViJdE4/edit" TargetMode="External"/><Relationship Id="rId96" Type="http://schemas.openxmlformats.org/officeDocument/2006/relationships/hyperlink" Target="https://drive.google.com/drive/u/1/folders/16fceEVUGI_36Iyy58X0FOyifN7MEgl2h" TargetMode="External"/><Relationship Id="rId11" Type="http://schemas.openxmlformats.org/officeDocument/2006/relationships/hyperlink" Target="https://drive.google.com/drive/folders/12Lrpnc5wY75LywqFEzSzVpucTP7XtSa5" TargetMode="External"/><Relationship Id="rId99" Type="http://schemas.openxmlformats.org/officeDocument/2006/relationships/hyperlink" Target="https://drive.google.com/drive/folders/1IwFtU6USxk7tqEItVE0cLlb5l4OwHZL_?usp=sharing" TargetMode="External"/><Relationship Id="rId10" Type="http://schemas.openxmlformats.org/officeDocument/2006/relationships/hyperlink" Target="https://drive.google.com/file/d/1kKL_0oJISDN0vqo3-1jRyZSbnd8NyImx/view?usp=sharing" TargetMode="External"/><Relationship Id="rId98" Type="http://schemas.openxmlformats.org/officeDocument/2006/relationships/hyperlink" Target="https://drive.google.com/drive/u/1/folders/16vm4h69fQppI_PfsqdiT0HbWghO72BMz" TargetMode="External"/><Relationship Id="rId13" Type="http://schemas.openxmlformats.org/officeDocument/2006/relationships/hyperlink" Target="https://drive.google.com/drive/folders/1gf8io1RgaFWHfj6c0JO9i4V1L-V-SRtq" TargetMode="External"/><Relationship Id="rId12" Type="http://schemas.openxmlformats.org/officeDocument/2006/relationships/hyperlink" Target="https://drive.google.com/drive/folders/1ig7yBCy_DBPgvB9yfx_8I7Frao3wytjW" TargetMode="External"/><Relationship Id="rId91" Type="http://schemas.openxmlformats.org/officeDocument/2006/relationships/hyperlink" Target="https://drive.google.com/drive/folders/1vBGpcRz5WEflF30VeNl54rjzVnBdrdly" TargetMode="External"/><Relationship Id="rId90" Type="http://schemas.openxmlformats.org/officeDocument/2006/relationships/hyperlink" Target="https://docs.google.com/spreadsheets/d/1Sp0HuSWoactxMTEM5_BtKci_LUjQOXtSdd2FLZ7Z_N0/edit" TargetMode="External"/><Relationship Id="rId93" Type="http://schemas.openxmlformats.org/officeDocument/2006/relationships/hyperlink" Target="https://drive.google.com/drive/folders/1zLutZgO3l3joLSILJ_F2BekxwJ6Lirqy" TargetMode="External"/><Relationship Id="rId92" Type="http://schemas.openxmlformats.org/officeDocument/2006/relationships/hyperlink" Target="https://drive.google.com/drive/folders/1grB8f-n7Pzg9aRe8dtccSXqN3lJx9Ah0" TargetMode="External"/><Relationship Id="rId15" Type="http://schemas.openxmlformats.org/officeDocument/2006/relationships/hyperlink" Target="https://drive.google.com/drive/folders/1985i26SHHJMr8xeDwJVcaNMTDD263Bki" TargetMode="External"/><Relationship Id="rId14" Type="http://schemas.openxmlformats.org/officeDocument/2006/relationships/hyperlink" Target="https://drive.google.com/drive/folders/1Q7U_unLOvk2VhsZZzPfCtwscIge_MKE9" TargetMode="External"/><Relationship Id="rId17" Type="http://schemas.openxmlformats.org/officeDocument/2006/relationships/hyperlink" Target="https://drive.google.com/file/d/1ieOqmATG716cQZHvW0egPVAOp4hRGRug/view?usp=sharing" TargetMode="External"/><Relationship Id="rId16" Type="http://schemas.openxmlformats.org/officeDocument/2006/relationships/hyperlink" Target="https://drive.google.com/file/d/1V48tlSlvHAflIE3Ipved5hZ2ov1VrauB/view?usp=sharing" TargetMode="External"/><Relationship Id="rId19" Type="http://schemas.openxmlformats.org/officeDocument/2006/relationships/hyperlink" Target="https://drive.google.com/drive/u/1/folders/1lfw5fH9Eh0n6JcZHZ_1pHqkTSJaOnMSJ" TargetMode="External"/><Relationship Id="rId18" Type="http://schemas.openxmlformats.org/officeDocument/2006/relationships/hyperlink" Target="https://drive.google.com/drive/folders/1vplUtCRjcKYYLzhJVC57AyX3_Hw32gZL" TargetMode="External"/><Relationship Id="rId84" Type="http://schemas.openxmlformats.org/officeDocument/2006/relationships/hyperlink" Target="https://drive.google.com/drive/folders/1JXn3WjkkCehEZqijNRw_8M8hZTN4Zhzw?usp=sharing" TargetMode="External"/><Relationship Id="rId83" Type="http://schemas.openxmlformats.org/officeDocument/2006/relationships/hyperlink" Target="https://drive.google.com/drive/folders/1Y_Hw3xO2847CBQTu6Wihw9l86tNrH-tW?usp=sharing" TargetMode="External"/><Relationship Id="rId86" Type="http://schemas.openxmlformats.org/officeDocument/2006/relationships/hyperlink" Target="https://drive.google.com/drive/folders/1Gcf9nkhGu8av3oO9f4gPItydJ75vV1pN?usp=sharing" TargetMode="External"/><Relationship Id="rId85" Type="http://schemas.openxmlformats.org/officeDocument/2006/relationships/hyperlink" Target="https://drive.google.com/drive/folders/1hyTzou6SMrUgOpI6TIRPTnbW932ngynU?usp=sharing" TargetMode="External"/><Relationship Id="rId88" Type="http://schemas.openxmlformats.org/officeDocument/2006/relationships/hyperlink" Target="https://drive.google.com/file/d/1UmrE2QKe9RVKoEAXa64A-9rXRnDYmcU_/view?usp=sharing" TargetMode="External"/><Relationship Id="rId87" Type="http://schemas.openxmlformats.org/officeDocument/2006/relationships/hyperlink" Target="https://drive.google.com/drive/folders/11ODZ9eXVCXpI4lWrMqS_hFI20r6uxYHc?usp=sharing" TargetMode="External"/><Relationship Id="rId89" Type="http://schemas.openxmlformats.org/officeDocument/2006/relationships/hyperlink" Target="https://drive.google.com/drive/u/1/folders/1girl3gray4WznNhYjdOvgeJJizawb1Xk" TargetMode="External"/><Relationship Id="rId80" Type="http://schemas.openxmlformats.org/officeDocument/2006/relationships/hyperlink" Target="https://drive.google.com/drive/folders/1hjyMP7Pk9pqiaxEP-lO2k6sHJgCAp_5W?usp=sharing" TargetMode="External"/><Relationship Id="rId82" Type="http://schemas.openxmlformats.org/officeDocument/2006/relationships/hyperlink" Target="https://drive.google.com/file/d/1AoUSa1d317GU9CsS8X2lWy7otre1Er0Q/view?usp=sharing" TargetMode="External"/><Relationship Id="rId81" Type="http://schemas.openxmlformats.org/officeDocument/2006/relationships/hyperlink" Target="https://drive.google.com/file/d/15n1x8LMBLaJ-7fPUTdeOx-cF_snk9riu/view?usp=sharing" TargetMode="External"/><Relationship Id="rId1" Type="http://schemas.openxmlformats.org/officeDocument/2006/relationships/comments" Target="../comments1.xml"/><Relationship Id="rId2" Type="http://schemas.openxmlformats.org/officeDocument/2006/relationships/hyperlink" Target="https://drive.google.com/drive/folders/1_2x575-FBknilG0yMkXREc6CIJCzbBUo" TargetMode="External"/><Relationship Id="rId3" Type="http://schemas.openxmlformats.org/officeDocument/2006/relationships/hyperlink" Target="https://drive.google.com/file/d/1aWRkg2PfEs8PIovP-wTHfPenzRjfYPa9/view?usp=sharing" TargetMode="External"/><Relationship Id="rId4" Type="http://schemas.openxmlformats.org/officeDocument/2006/relationships/hyperlink" Target="https://drive.google.com/file/d/1-JV0g_iGRPsUrAF2GmmKpXDK3mJmL184/view?usp=sharing" TargetMode="External"/><Relationship Id="rId9" Type="http://schemas.openxmlformats.org/officeDocument/2006/relationships/hyperlink" Target="https://drive.google.com/drive/u/0/folders/1ueDHg43A1arq0Yd7PUg_Yhmh0C1BhZwL" TargetMode="External"/><Relationship Id="rId5" Type="http://schemas.openxmlformats.org/officeDocument/2006/relationships/hyperlink" Target="https://drive.google.com/file/d/14eKpi2S-qEF3SXDXruXMUSiGF8CyriFZ/view?usp=sharing" TargetMode="External"/><Relationship Id="rId6" Type="http://schemas.openxmlformats.org/officeDocument/2006/relationships/hyperlink" Target="https://drive.google.com/file/d/1MFlY0Slmf4uK70bNeJhTyrduyaW1XCX6/view?usp=sharing" TargetMode="External"/><Relationship Id="rId7" Type="http://schemas.openxmlformats.org/officeDocument/2006/relationships/hyperlink" Target="https://drive.google.com/file/d/14vJcw2gkfns2wU9il00poRzbo7KE7XCF/view?usp=sharing" TargetMode="External"/><Relationship Id="rId8" Type="http://schemas.openxmlformats.org/officeDocument/2006/relationships/hyperlink" Target="https://drive.google.com/drive/u/0/folders/1ueDHg43A1arq0Yd7PUg_Yhmh0C1BhZwL" TargetMode="External"/><Relationship Id="rId73" Type="http://schemas.openxmlformats.org/officeDocument/2006/relationships/hyperlink" Target="https://drive.google.com/file/d/1xm9KiGAPk9WNjbnvDYXm23EXBOJXZ04W/view?usp=sharing" TargetMode="External"/><Relationship Id="rId72" Type="http://schemas.openxmlformats.org/officeDocument/2006/relationships/hyperlink" Target="https://drive.google.com/file/d/1o8fnADHZ9enqG3Z-5baqQq2GdMUf6Myc/view?usp=sharing" TargetMode="External"/><Relationship Id="rId75" Type="http://schemas.openxmlformats.org/officeDocument/2006/relationships/hyperlink" Target="https://drive.google.com/file/d/1WcIEhHlrxavdjrH5cjM110KrkFgF5cEV/view?usp=sharing" TargetMode="External"/><Relationship Id="rId74" Type="http://schemas.openxmlformats.org/officeDocument/2006/relationships/hyperlink" Target="https://drive.google.com/file/d/1sY-OYWwi1u7RsMU2YohfVPvTLaaYDrm1/view?usp=sharing" TargetMode="External"/><Relationship Id="rId77" Type="http://schemas.openxmlformats.org/officeDocument/2006/relationships/hyperlink" Target="https://drive.google.com/file/d/18laHvpQR2KrbkUiEzk4NC60jxNcnBHwO/view?usp=sharing" TargetMode="External"/><Relationship Id="rId76" Type="http://schemas.openxmlformats.org/officeDocument/2006/relationships/hyperlink" Target="https://drive.google.com/file/d/1QklpuE4s0iCSqfCyYoWSlYo4Kd-9SsAR/view?usp=sharing" TargetMode="External"/><Relationship Id="rId79" Type="http://schemas.openxmlformats.org/officeDocument/2006/relationships/hyperlink" Target="https://drive.google.com/drive/folders/1EEhndqCTZLPDnxaJZQXj-kEcvqbzxfDl?usp=sharing" TargetMode="External"/><Relationship Id="rId78" Type="http://schemas.openxmlformats.org/officeDocument/2006/relationships/hyperlink" Target="https://drive.google.com/file/d/1U7XWuqzfHjIE0grJyiGJC8HVGpFU7xeL/view?usp=sharing" TargetMode="External"/><Relationship Id="rId71" Type="http://schemas.openxmlformats.org/officeDocument/2006/relationships/hyperlink" Target="https://drive.google.com/drive/folders/1_GMXa6H0jGOSDxtLlU5C_kZtJM4cv0ay" TargetMode="External"/><Relationship Id="rId70" Type="http://schemas.openxmlformats.org/officeDocument/2006/relationships/hyperlink" Target="https://drive.google.com/drive/folders/1_GMXa6H0jGOSDxtLlU5C_kZtJM4cv0ay" TargetMode="External"/><Relationship Id="rId62" Type="http://schemas.openxmlformats.org/officeDocument/2006/relationships/hyperlink" Target="https://drive.google.com/drive/folders/1_GMXa6H0jGOSDxtLlU5C_kZtJM4cv0ay" TargetMode="External"/><Relationship Id="rId61" Type="http://schemas.openxmlformats.org/officeDocument/2006/relationships/hyperlink" Target="https://drive.google.com/drive/folders/1EtoSetoszaEo6XFMZoTKQEtpICrDpg61?usp=sharing" TargetMode="External"/><Relationship Id="rId64" Type="http://schemas.openxmlformats.org/officeDocument/2006/relationships/hyperlink" Target="https://drive.google.com/drive/folders/1_GMXa6H0jGOSDxtLlU5C_kZtJM4cv0ay" TargetMode="External"/><Relationship Id="rId63" Type="http://schemas.openxmlformats.org/officeDocument/2006/relationships/hyperlink" Target="https://drive.google.com/drive/folders/1_GMXa6H0jGOSDxtLlU5C_kZtJM4cv0ay" TargetMode="External"/><Relationship Id="rId66" Type="http://schemas.openxmlformats.org/officeDocument/2006/relationships/hyperlink" Target="https://drive.google.com/drive/folders/1_GMXa6H0jGOSDxtLlU5C_kZtJM4cv0ay" TargetMode="External"/><Relationship Id="rId65" Type="http://schemas.openxmlformats.org/officeDocument/2006/relationships/hyperlink" Target="https://drive.google.com/drive/folders/1_GMXa6H0jGOSDxtLlU5C_kZtJM4cv0ay" TargetMode="External"/><Relationship Id="rId68" Type="http://schemas.openxmlformats.org/officeDocument/2006/relationships/hyperlink" Target="https://drive.google.com/drive/folders/1_GMXa6H0jGOSDxtLlU5C_kZtJM4cv0ay" TargetMode="External"/><Relationship Id="rId67" Type="http://schemas.openxmlformats.org/officeDocument/2006/relationships/hyperlink" Target="https://drive.google.com/drive/folders/1_GMXa6H0jGOSDxtLlU5C_kZtJM4cv0ay" TargetMode="External"/><Relationship Id="rId60" Type="http://schemas.openxmlformats.org/officeDocument/2006/relationships/hyperlink" Target="https://drive.google.com/drive/folders/1fFIKd0nct5-p5ZlOX5NQGN-ZGHcxduC8?usp=sharing" TargetMode="External"/><Relationship Id="rId69" Type="http://schemas.openxmlformats.org/officeDocument/2006/relationships/hyperlink" Target="https://drive.google.com/drive/folders/1zpQ3atICDLnNkVN3loVZZijl1jjT1l0w" TargetMode="External"/><Relationship Id="rId51" Type="http://schemas.openxmlformats.org/officeDocument/2006/relationships/hyperlink" Target="https://drive.google.com/drive/folders/1kzgav-qgeVN9aps2MZtVvH4hQibDj-0n?usp=sharing" TargetMode="External"/><Relationship Id="rId50" Type="http://schemas.openxmlformats.org/officeDocument/2006/relationships/hyperlink" Target="https://drive.google.com/drive/folders/1vQBf4upsNEi1tJVKZWc0VVlf4dANbkc2?usp=sharing" TargetMode="External"/><Relationship Id="rId53" Type="http://schemas.openxmlformats.org/officeDocument/2006/relationships/hyperlink" Target="https://drive.google.com/drive/folders/1kzgav-qgeVN9aps2MZtVvH4hQibDj-0n?usp=sharing" TargetMode="External"/><Relationship Id="rId52" Type="http://schemas.openxmlformats.org/officeDocument/2006/relationships/hyperlink" Target="https://drive.google.com/drive/folders/1npWQFZ0m9ED4H05Lpe9-sv20hI50V9or?usp=sharing" TargetMode="External"/><Relationship Id="rId55" Type="http://schemas.openxmlformats.org/officeDocument/2006/relationships/hyperlink" Target="https://drive.google.com/drive/folders/15CTvvALIR5CZAFeS-LOYt9HpFXwh3216?usp=sharing" TargetMode="External"/><Relationship Id="rId54" Type="http://schemas.openxmlformats.org/officeDocument/2006/relationships/hyperlink" Target="https://drive.google.com/drive/folders/1kzgav-qgeVN9aps2MZtVvH4hQibDj-0n?usp=sharing" TargetMode="External"/><Relationship Id="rId57" Type="http://schemas.openxmlformats.org/officeDocument/2006/relationships/hyperlink" Target="https://drive.google.com/drive/folders/1nOThh0PDgJZjSjMClQ3NkXxHu6FDPrhm?usp=sharing" TargetMode="External"/><Relationship Id="rId56" Type="http://schemas.openxmlformats.org/officeDocument/2006/relationships/hyperlink" Target="https://drive.google.com/drive/folders/1J4Kl9amOSx9BK6WWrQWQopObwVRspVIM?usp=sharing" TargetMode="External"/><Relationship Id="rId59" Type="http://schemas.openxmlformats.org/officeDocument/2006/relationships/hyperlink" Target="https://drive.google.com/drive/folders/16ZxQMXYaStMXJRRVTqiTzPTmbmBOQtCg?usp=sharing" TargetMode="External"/><Relationship Id="rId58" Type="http://schemas.openxmlformats.org/officeDocument/2006/relationships/hyperlink" Target="https://drive.google.com/drive/folders/1DJkyJowVePHz-cPk6WeAshEhoLMjdqC3?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_2x575-FBknilG0yMkXREc6CIJCzbBUo"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aWRkg2PfEs8PIovP-wTHfPenzRjfYPa9/view?usp=sharing" TargetMode="External"/><Relationship Id="rId2" Type="http://schemas.openxmlformats.org/officeDocument/2006/relationships/hyperlink" Target="https://drive.google.com/file/d/1-JV0g_iGRPsUrAF2GmmKpXDK3mJmL184/view?usp=sharing" TargetMode="External"/><Relationship Id="rId3" Type="http://schemas.openxmlformats.org/officeDocument/2006/relationships/hyperlink" Target="https://drive.google.com/file/d/14eKpi2S-qEF3SXDXruXMUSiGF8CyriFZ/view?usp=sharing" TargetMode="External"/><Relationship Id="rId4" Type="http://schemas.openxmlformats.org/officeDocument/2006/relationships/hyperlink" Target="https://drive.google.com/file/d/1MFlY0Slmf4uK70bNeJhTyrduyaW1XCX6/view?usp=sharing" TargetMode="External"/><Relationship Id="rId5" Type="http://schemas.openxmlformats.org/officeDocument/2006/relationships/hyperlink" Target="https://drive.google.com/file/d/14vJcw2gkfns2wU9il00poRzbo7KE7XCF/view?usp=sharing" TargetMode="External"/><Relationship Id="rId6" Type="http://schemas.openxmlformats.org/officeDocument/2006/relationships/hyperlink" Target="https://www.youtube.com/watch?v=Mk9Jrq1s6pM" TargetMode="External"/><Relationship Id="rId7" Type="http://schemas.openxmlformats.org/officeDocument/2006/relationships/hyperlink" Target="https://www.aunap.gov.co/index.php/atencion-al-ciudadano/rendicion-de-cuentas" TargetMode="External"/><Relationship Id="rId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u/0/folders/1ueDHg43A1arq0Yd7PUg_Yhmh0C1BhZwL" TargetMode="External"/><Relationship Id="rId2" Type="http://schemas.openxmlformats.org/officeDocument/2006/relationships/hyperlink" Target="https://drive.google.com/drive/u/0/folders/1ueDHg43A1arq0Yd7PUg_Yhmh0C1BhZwL"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XoV4CWd9GUqA7LvuxlBXKcT4sGHpoohj/view?usp=sharing" TargetMode="External"/><Relationship Id="rId2" Type="http://schemas.openxmlformats.org/officeDocument/2006/relationships/hyperlink" Target="https://drive.google.com/file/d/1XoV4CWd9GUqA7LvuxlBXKcT4sGHpoohj/view?usp=sharing" TargetMode="External"/><Relationship Id="rId3" Type="http://schemas.openxmlformats.org/officeDocument/2006/relationships/hyperlink" Target="https://drive.google.com/file/d/1XoV4CWd9GUqA7LvuxlBXKcT4sGHpoohj/view?usp=sharing" TargetMode="External"/><Relationship Id="rId4" Type="http://schemas.openxmlformats.org/officeDocument/2006/relationships/hyperlink" Target="https://drive.google.com/file/d/1XoV4CWd9GUqA7LvuxlBXKcT4sGHpoohj/view?usp=sharing" TargetMode="External"/><Relationship Id="rId5" Type="http://schemas.openxmlformats.org/officeDocument/2006/relationships/hyperlink" Target="https://drive.google.com/file/d/1XoV4CWd9GUqA7LvuxlBXKcT4sGHpoohj/view?usp=sharing" TargetMode="External"/><Relationship Id="rId6"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file/d/1kKL_0oJISDN0vqo3-1jRyZSbnd8NyImx/view?usp=sharing"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21.88"/>
    <col customWidth="1" min="3" max="3" width="2.63"/>
    <col customWidth="1" min="4" max="4" width="21.88"/>
    <col customWidth="1" min="5" max="5" width="2.63"/>
    <col customWidth="1" min="6" max="6" width="21.88"/>
    <col customWidth="1" min="7" max="7" width="2.63"/>
  </cols>
  <sheetData>
    <row r="1" ht="15.0" customHeight="1">
      <c r="A1" s="1" t="s">
        <v>0</v>
      </c>
      <c r="B1" s="1"/>
      <c r="C1" s="1"/>
      <c r="D1" s="1"/>
      <c r="E1" s="1"/>
      <c r="F1" s="1"/>
      <c r="G1" s="2"/>
    </row>
    <row r="2" ht="35.25" customHeight="1">
      <c r="A2" s="1"/>
      <c r="B2" s="3" t="s">
        <v>1</v>
      </c>
      <c r="C2" s="1"/>
      <c r="D2" s="3" t="s">
        <v>2</v>
      </c>
      <c r="E2" s="1"/>
      <c r="F2" s="3" t="s">
        <v>3</v>
      </c>
      <c r="G2" s="2"/>
    </row>
    <row r="3" ht="35.25" customHeight="1">
      <c r="A3" s="1"/>
      <c r="B3" s="3" t="s">
        <v>4</v>
      </c>
      <c r="C3" s="1"/>
      <c r="D3" s="3" t="s">
        <v>5</v>
      </c>
      <c r="E3" s="1"/>
      <c r="F3" s="3" t="s">
        <v>6</v>
      </c>
      <c r="G3" s="2"/>
    </row>
    <row r="4" ht="35.25" customHeight="1">
      <c r="A4" s="1"/>
      <c r="B4" s="3" t="s">
        <v>7</v>
      </c>
      <c r="C4" s="1"/>
      <c r="D4" s="3" t="s">
        <v>8</v>
      </c>
      <c r="E4" s="1"/>
      <c r="F4" s="3" t="s">
        <v>9</v>
      </c>
      <c r="G4" s="2"/>
    </row>
    <row r="5" ht="35.25" customHeight="1">
      <c r="A5" s="1"/>
      <c r="B5" s="3" t="s">
        <v>10</v>
      </c>
      <c r="C5" s="1"/>
      <c r="D5" s="3" t="s">
        <v>11</v>
      </c>
      <c r="E5" s="1"/>
      <c r="F5" s="3" t="s">
        <v>12</v>
      </c>
      <c r="G5" s="2"/>
    </row>
    <row r="6" ht="35.25" customHeight="1">
      <c r="A6" s="1"/>
      <c r="B6" s="3" t="s">
        <v>13</v>
      </c>
      <c r="C6" s="1"/>
      <c r="D6" s="3" t="s">
        <v>14</v>
      </c>
      <c r="E6" s="1"/>
      <c r="F6" s="3" t="s">
        <v>15</v>
      </c>
      <c r="G6" s="2"/>
    </row>
    <row r="7" ht="35.25" customHeight="1">
      <c r="A7" s="1"/>
      <c r="B7" s="3" t="s">
        <v>16</v>
      </c>
      <c r="C7" s="1"/>
      <c r="D7" s="3" t="s">
        <v>17</v>
      </c>
      <c r="E7" s="1"/>
      <c r="F7" s="3" t="s">
        <v>18</v>
      </c>
      <c r="G7" s="4"/>
    </row>
    <row r="8" ht="35.25" customHeight="1">
      <c r="A8" s="1"/>
      <c r="B8" s="3" t="s">
        <v>19</v>
      </c>
      <c r="C8" s="1"/>
      <c r="D8" s="3" t="s">
        <v>20</v>
      </c>
      <c r="E8" s="1"/>
      <c r="F8" s="3" t="s">
        <v>21</v>
      </c>
      <c r="G8" s="2"/>
    </row>
    <row r="9" ht="35.25" customHeight="1">
      <c r="A9" s="1"/>
      <c r="B9" s="3" t="s">
        <v>22</v>
      </c>
      <c r="C9" s="1"/>
      <c r="D9" s="3" t="s">
        <v>23</v>
      </c>
      <c r="E9" s="1"/>
      <c r="F9" s="1"/>
      <c r="G9" s="2"/>
    </row>
    <row r="10" ht="15.0" customHeight="1">
      <c r="A10" s="2"/>
      <c r="B10" s="2"/>
      <c r="C10" s="2"/>
      <c r="D10" s="2"/>
      <c r="E10" s="2"/>
      <c r="F10" s="2"/>
      <c r="G10" s="2"/>
    </row>
  </sheetData>
  <hyperlinks>
    <hyperlink display="Administrativa" location="Administrativa!A1" ref="B2"/>
    <hyperlink display="Financiera" location="Financiera!A1" ref="D2"/>
    <hyperlink display="R_Barrancabermeja" location="R_Barrancabermeja!A1" ref="F2"/>
    <hyperlink display="A_Ciudadano" location="A_Ciudadano!A1" ref="B3"/>
    <hyperlink display="G_Documental" location="G_Documental!A1" ref="D3"/>
    <hyperlink display="R_Barranquilla" location="R_Barranquilla!A1" ref="F3"/>
    <hyperlink display="Comunicaciones" location="Comunicaciones!A1" ref="B4"/>
    <hyperlink display="OA_Juridica" location="OA_Juridica!A1" ref="D4"/>
    <hyperlink display="R_Bogota" location="R_Bogota!A1" ref="F4"/>
    <hyperlink display="Contratos" location="Contratos!A1" ref="B5"/>
    <hyperlink display="OGCI" location="OGCI!A1" ref="D5"/>
    <hyperlink display="R_Cali" location="R_Cali!A1" ref="F5"/>
    <hyperlink display="C_Interno" location="C_Interno!A1" ref="B6"/>
    <hyperlink display="Planeación" location="Planeación!A1" ref="D6"/>
    <hyperlink display="R_Magangue" location="R_Magangue!A1" ref="F6"/>
    <hyperlink display="CI_Disciplinario" location="CI_Disciplinario!A1" ref="B7"/>
    <hyperlink display="Sistemas" location="Sistemas!A1" ref="D7"/>
    <hyperlink display="R_Medellin" location="R_Medellin!A1" ref="F7"/>
    <hyperlink display="DTAF" location="DTAF!A1" ref="B8"/>
    <hyperlink display="T_Humano" location="Sistemas!A1" ref="D8"/>
    <hyperlink display="R_Villavicencio" location="R_Villavicencio!A1" ref="F8"/>
    <hyperlink display="DTIV" location="DTIV!A1" ref="B9"/>
    <hyperlink display="Consolidado" location="Consolidado!A1" ref="D9"/>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23.0</v>
      </c>
      <c r="C4" s="103" t="s">
        <v>256</v>
      </c>
      <c r="D4" s="103" t="s">
        <v>257</v>
      </c>
      <c r="E4" s="103" t="s">
        <v>258</v>
      </c>
      <c r="F4" s="104">
        <v>2.01901100028E12</v>
      </c>
      <c r="G4" s="105" t="s">
        <v>259</v>
      </c>
      <c r="H4" s="103" t="s">
        <v>260</v>
      </c>
      <c r="I4" s="103" t="s">
        <v>261</v>
      </c>
      <c r="J4" s="103" t="s">
        <v>262</v>
      </c>
      <c r="K4" s="106" t="s">
        <v>120</v>
      </c>
      <c r="L4" s="106" t="s">
        <v>121</v>
      </c>
      <c r="M4" s="106" t="s">
        <v>122</v>
      </c>
      <c r="N4" s="107" t="s">
        <v>263</v>
      </c>
      <c r="O4" s="108"/>
      <c r="P4" s="109">
        <v>14000.0</v>
      </c>
      <c r="Q4" s="110" t="s">
        <v>264</v>
      </c>
      <c r="R4" s="111" t="s">
        <v>177</v>
      </c>
      <c r="S4" s="109">
        <v>0.0</v>
      </c>
      <c r="T4" s="109">
        <v>7000.0</v>
      </c>
      <c r="U4" s="112">
        <v>0.0</v>
      </c>
      <c r="V4" s="112">
        <v>7000.0</v>
      </c>
      <c r="W4" s="113" t="s">
        <v>19</v>
      </c>
      <c r="X4" s="105" t="s">
        <v>265</v>
      </c>
      <c r="Y4" s="103" t="s">
        <v>266</v>
      </c>
      <c r="Z4" s="105" t="s">
        <v>267</v>
      </c>
      <c r="AA4" s="103" t="s">
        <v>268</v>
      </c>
      <c r="AB4" s="103" t="s">
        <v>155</v>
      </c>
      <c r="AC4" s="103" t="s">
        <v>269</v>
      </c>
      <c r="AD4" s="103" t="s">
        <v>198</v>
      </c>
      <c r="AE4" s="103" t="s">
        <v>270</v>
      </c>
      <c r="AF4" s="103" t="s">
        <v>158</v>
      </c>
      <c r="AG4" s="114">
        <v>14328.0</v>
      </c>
      <c r="AH4" s="115" t="s">
        <v>271</v>
      </c>
      <c r="AI4" s="124" t="s">
        <v>272</v>
      </c>
      <c r="AJ4" s="117">
        <f t="shared" ref="AJ4:AJ16" si="1">$AK$1</f>
        <v>44396</v>
      </c>
      <c r="AK4" s="118">
        <f t="shared" ref="AK4:AK16" si="2">AJ4-$AL$1</f>
        <v>-318</v>
      </c>
      <c r="AL4" s="119" t="str">
        <f t="shared" ref="AL4:AL16" si="3">IF(ISBLANK(AG4),"Pendiente Ejecución"&amp;CHAR(10),)&amp;IF(ISBLANK(AH4),"Pendiente Justificación"&amp;CHAR(10),)&amp;IF(ISBLANK(AI4),"Pendiente Evidencia",)&amp;IF(OR(ISBLANK(AG4),ISBLANK(AH4),ISBLANK(AI4)),,"Reporte ok")</f>
        <v>Reporte ok</v>
      </c>
      <c r="AM4" s="119"/>
      <c r="AN4" s="120"/>
    </row>
    <row r="5" ht="67.5" customHeight="1">
      <c r="A5" s="45"/>
      <c r="B5" s="103">
        <v>24.0</v>
      </c>
      <c r="C5" s="103" t="s">
        <v>256</v>
      </c>
      <c r="D5" s="103" t="s">
        <v>257</v>
      </c>
      <c r="E5" s="103" t="s">
        <v>258</v>
      </c>
      <c r="F5" s="104">
        <v>2.01901100028E12</v>
      </c>
      <c r="G5" s="105" t="s">
        <v>259</v>
      </c>
      <c r="H5" s="103" t="s">
        <v>260</v>
      </c>
      <c r="I5" s="103" t="s">
        <v>273</v>
      </c>
      <c r="J5" s="103" t="s">
        <v>274</v>
      </c>
      <c r="K5" s="106" t="s">
        <v>120</v>
      </c>
      <c r="L5" s="106" t="s">
        <v>121</v>
      </c>
      <c r="M5" s="106" t="s">
        <v>122</v>
      </c>
      <c r="N5" s="107" t="s">
        <v>275</v>
      </c>
      <c r="O5" s="108">
        <v>-3.0</v>
      </c>
      <c r="P5" s="109">
        <v>4.0</v>
      </c>
      <c r="Q5" s="110" t="s">
        <v>274</v>
      </c>
      <c r="R5" s="111" t="s">
        <v>177</v>
      </c>
      <c r="S5" s="109">
        <v>0.0</v>
      </c>
      <c r="T5" s="109">
        <v>1.0</v>
      </c>
      <c r="U5" s="112">
        <v>0.0</v>
      </c>
      <c r="V5" s="112">
        <v>3.0</v>
      </c>
      <c r="W5" s="113" t="s">
        <v>19</v>
      </c>
      <c r="X5" s="105" t="s">
        <v>265</v>
      </c>
      <c r="Y5" s="103" t="s">
        <v>266</v>
      </c>
      <c r="Z5" s="105" t="s">
        <v>267</v>
      </c>
      <c r="AA5" s="103" t="s">
        <v>268</v>
      </c>
      <c r="AB5" s="103" t="s">
        <v>155</v>
      </c>
      <c r="AC5" s="103" t="s">
        <v>269</v>
      </c>
      <c r="AD5" s="103" t="s">
        <v>198</v>
      </c>
      <c r="AE5" s="103" t="s">
        <v>270</v>
      </c>
      <c r="AF5" s="103" t="s">
        <v>158</v>
      </c>
      <c r="AG5" s="114">
        <v>1.0</v>
      </c>
      <c r="AH5" s="130" t="s">
        <v>276</v>
      </c>
      <c r="AI5" s="124" t="s">
        <v>277</v>
      </c>
      <c r="AJ5" s="117">
        <f t="shared" si="1"/>
        <v>44396</v>
      </c>
      <c r="AK5" s="118">
        <f t="shared" si="2"/>
        <v>-318</v>
      </c>
      <c r="AL5" s="119" t="str">
        <f t="shared" si="3"/>
        <v>Reporte ok</v>
      </c>
      <c r="AM5" s="119"/>
      <c r="AN5" s="120"/>
    </row>
    <row r="6" ht="67.5" customHeight="1">
      <c r="A6" s="45"/>
      <c r="B6" s="103">
        <v>25.0</v>
      </c>
      <c r="C6" s="103" t="s">
        <v>256</v>
      </c>
      <c r="D6" s="103" t="s">
        <v>257</v>
      </c>
      <c r="E6" s="103" t="s">
        <v>258</v>
      </c>
      <c r="F6" s="104">
        <v>2.01901100028E12</v>
      </c>
      <c r="G6" s="105" t="s">
        <v>259</v>
      </c>
      <c r="H6" s="103" t="s">
        <v>278</v>
      </c>
      <c r="I6" s="103" t="s">
        <v>279</v>
      </c>
      <c r="J6" s="103" t="s">
        <v>280</v>
      </c>
      <c r="K6" s="106" t="s">
        <v>120</v>
      </c>
      <c r="L6" s="106" t="s">
        <v>121</v>
      </c>
      <c r="M6" s="106" t="s">
        <v>122</v>
      </c>
      <c r="N6" s="107" t="s">
        <v>281</v>
      </c>
      <c r="O6" s="108">
        <v>-61.0</v>
      </c>
      <c r="P6" s="109">
        <v>200.0</v>
      </c>
      <c r="Q6" s="110" t="s">
        <v>282</v>
      </c>
      <c r="R6" s="111" t="s">
        <v>124</v>
      </c>
      <c r="S6" s="109">
        <v>0.0</v>
      </c>
      <c r="T6" s="109">
        <v>0.0</v>
      </c>
      <c r="U6" s="112">
        <v>0.0</v>
      </c>
      <c r="V6" s="112">
        <v>200.0</v>
      </c>
      <c r="W6" s="113" t="s">
        <v>19</v>
      </c>
      <c r="X6" s="105" t="s">
        <v>265</v>
      </c>
      <c r="Y6" s="103" t="s">
        <v>266</v>
      </c>
      <c r="Z6" s="105" t="s">
        <v>267</v>
      </c>
      <c r="AA6" s="103" t="s">
        <v>268</v>
      </c>
      <c r="AB6" s="103" t="s">
        <v>155</v>
      </c>
      <c r="AC6" s="103" t="s">
        <v>269</v>
      </c>
      <c r="AD6" s="103" t="s">
        <v>198</v>
      </c>
      <c r="AE6" s="103" t="s">
        <v>270</v>
      </c>
      <c r="AF6" s="103" t="s">
        <v>158</v>
      </c>
      <c r="AG6" s="114">
        <v>0.0</v>
      </c>
      <c r="AH6" s="115" t="s">
        <v>283</v>
      </c>
      <c r="AI6" s="115" t="s">
        <v>283</v>
      </c>
      <c r="AJ6" s="117">
        <f t="shared" si="1"/>
        <v>44396</v>
      </c>
      <c r="AK6" s="118">
        <f t="shared" si="2"/>
        <v>-318</v>
      </c>
      <c r="AL6" s="119" t="str">
        <f t="shared" si="3"/>
        <v>Reporte ok</v>
      </c>
      <c r="AM6" s="119"/>
      <c r="AN6" s="120"/>
    </row>
    <row r="7" ht="67.5" customHeight="1">
      <c r="A7" s="45"/>
      <c r="B7" s="103">
        <v>26.0</v>
      </c>
      <c r="C7" s="103" t="s">
        <v>256</v>
      </c>
      <c r="D7" s="103" t="s">
        <v>257</v>
      </c>
      <c r="E7" s="103" t="s">
        <v>258</v>
      </c>
      <c r="F7" s="104">
        <v>2.01901100028E12</v>
      </c>
      <c r="G7" s="105" t="s">
        <v>259</v>
      </c>
      <c r="H7" s="103" t="s">
        <v>278</v>
      </c>
      <c r="I7" s="103" t="s">
        <v>284</v>
      </c>
      <c r="J7" s="103" t="s">
        <v>285</v>
      </c>
      <c r="K7" s="106" t="s">
        <v>120</v>
      </c>
      <c r="L7" s="106" t="s">
        <v>121</v>
      </c>
      <c r="M7" s="106" t="s">
        <v>122</v>
      </c>
      <c r="N7" s="107" t="s">
        <v>286</v>
      </c>
      <c r="O7" s="108">
        <v>-1.0</v>
      </c>
      <c r="P7" s="109">
        <v>3.0</v>
      </c>
      <c r="Q7" s="110" t="s">
        <v>287</v>
      </c>
      <c r="R7" s="111" t="s">
        <v>124</v>
      </c>
      <c r="S7" s="109">
        <v>0.0</v>
      </c>
      <c r="T7" s="109">
        <v>0.0</v>
      </c>
      <c r="U7" s="112">
        <v>0.0</v>
      </c>
      <c r="V7" s="112">
        <v>3.0</v>
      </c>
      <c r="W7" s="113" t="s">
        <v>19</v>
      </c>
      <c r="X7" s="105" t="s">
        <v>265</v>
      </c>
      <c r="Y7" s="103" t="s">
        <v>266</v>
      </c>
      <c r="Z7" s="105" t="s">
        <v>267</v>
      </c>
      <c r="AA7" s="103" t="s">
        <v>268</v>
      </c>
      <c r="AB7" s="103" t="s">
        <v>155</v>
      </c>
      <c r="AC7" s="103" t="s">
        <v>269</v>
      </c>
      <c r="AD7" s="103" t="s">
        <v>198</v>
      </c>
      <c r="AE7" s="103" t="s">
        <v>270</v>
      </c>
      <c r="AF7" s="103" t="s">
        <v>158</v>
      </c>
      <c r="AG7" s="114">
        <v>0.0</v>
      </c>
      <c r="AH7" s="115" t="s">
        <v>283</v>
      </c>
      <c r="AI7" s="115" t="s">
        <v>283</v>
      </c>
      <c r="AJ7" s="117">
        <f t="shared" si="1"/>
        <v>44396</v>
      </c>
      <c r="AK7" s="118">
        <f t="shared" si="2"/>
        <v>-318</v>
      </c>
      <c r="AL7" s="119" t="str">
        <f t="shared" si="3"/>
        <v>Reporte ok</v>
      </c>
      <c r="AM7" s="119"/>
      <c r="AN7" s="120"/>
    </row>
    <row r="8" ht="67.5" customHeight="1">
      <c r="A8" s="45"/>
      <c r="B8" s="103">
        <v>27.0</v>
      </c>
      <c r="C8" s="103" t="s">
        <v>256</v>
      </c>
      <c r="D8" s="103" t="s">
        <v>257</v>
      </c>
      <c r="E8" s="103" t="s">
        <v>258</v>
      </c>
      <c r="F8" s="104">
        <v>2.01901100028E12</v>
      </c>
      <c r="G8" s="105" t="s">
        <v>259</v>
      </c>
      <c r="H8" s="103" t="s">
        <v>278</v>
      </c>
      <c r="I8" s="103" t="s">
        <v>284</v>
      </c>
      <c r="J8" s="103" t="s">
        <v>288</v>
      </c>
      <c r="K8" s="106" t="s">
        <v>289</v>
      </c>
      <c r="L8" s="106" t="s">
        <v>290</v>
      </c>
      <c r="M8" s="106" t="s">
        <v>122</v>
      </c>
      <c r="N8" s="107" t="s">
        <v>291</v>
      </c>
      <c r="O8" s="108">
        <v>15.0</v>
      </c>
      <c r="P8" s="109">
        <v>15.0</v>
      </c>
      <c r="Q8" s="110" t="s">
        <v>292</v>
      </c>
      <c r="R8" s="111" t="s">
        <v>124</v>
      </c>
      <c r="S8" s="109">
        <v>0.0</v>
      </c>
      <c r="T8" s="109">
        <v>0.0</v>
      </c>
      <c r="U8" s="112">
        <v>0.0</v>
      </c>
      <c r="V8" s="112">
        <v>15.0</v>
      </c>
      <c r="W8" s="113" t="s">
        <v>19</v>
      </c>
      <c r="X8" s="105" t="s">
        <v>265</v>
      </c>
      <c r="Y8" s="103" t="s">
        <v>266</v>
      </c>
      <c r="Z8" s="105" t="s">
        <v>267</v>
      </c>
      <c r="AA8" s="103" t="s">
        <v>268</v>
      </c>
      <c r="AB8" s="103" t="s">
        <v>155</v>
      </c>
      <c r="AC8" s="103" t="s">
        <v>269</v>
      </c>
      <c r="AD8" s="103" t="s">
        <v>198</v>
      </c>
      <c r="AE8" s="103" t="s">
        <v>270</v>
      </c>
      <c r="AF8" s="103" t="s">
        <v>158</v>
      </c>
      <c r="AG8" s="114">
        <v>0.0</v>
      </c>
      <c r="AH8" s="115" t="s">
        <v>283</v>
      </c>
      <c r="AI8" s="115" t="s">
        <v>283</v>
      </c>
      <c r="AJ8" s="117">
        <f t="shared" si="1"/>
        <v>44396</v>
      </c>
      <c r="AK8" s="118">
        <f t="shared" si="2"/>
        <v>-318</v>
      </c>
      <c r="AL8" s="119" t="str">
        <f t="shared" si="3"/>
        <v>Reporte ok</v>
      </c>
      <c r="AM8" s="119"/>
      <c r="AN8" s="120"/>
    </row>
    <row r="9" ht="67.5" customHeight="1">
      <c r="A9" s="45"/>
      <c r="B9" s="103">
        <v>28.0</v>
      </c>
      <c r="C9" s="103" t="s">
        <v>256</v>
      </c>
      <c r="D9" s="103" t="s">
        <v>257</v>
      </c>
      <c r="E9" s="103" t="s">
        <v>258</v>
      </c>
      <c r="F9" s="104">
        <v>2.01901100028E12</v>
      </c>
      <c r="G9" s="105" t="s">
        <v>259</v>
      </c>
      <c r="H9" s="103" t="s">
        <v>260</v>
      </c>
      <c r="I9" s="103" t="s">
        <v>273</v>
      </c>
      <c r="J9" s="103" t="s">
        <v>293</v>
      </c>
      <c r="K9" s="106" t="s">
        <v>120</v>
      </c>
      <c r="L9" s="106" t="s">
        <v>121</v>
      </c>
      <c r="M9" s="106" t="s">
        <v>122</v>
      </c>
      <c r="N9" s="107" t="s">
        <v>294</v>
      </c>
      <c r="O9" s="108">
        <v>-3.0</v>
      </c>
      <c r="P9" s="109">
        <v>11.0</v>
      </c>
      <c r="Q9" s="110" t="s">
        <v>295</v>
      </c>
      <c r="R9" s="111" t="s">
        <v>177</v>
      </c>
      <c r="S9" s="109">
        <v>0.0</v>
      </c>
      <c r="T9" s="109">
        <v>5.0</v>
      </c>
      <c r="U9" s="112">
        <v>0.0</v>
      </c>
      <c r="V9" s="112">
        <v>6.0</v>
      </c>
      <c r="W9" s="113" t="s">
        <v>19</v>
      </c>
      <c r="X9" s="105" t="s">
        <v>265</v>
      </c>
      <c r="Y9" s="103" t="s">
        <v>266</v>
      </c>
      <c r="Z9" s="105" t="s">
        <v>267</v>
      </c>
      <c r="AA9" s="103" t="s">
        <v>268</v>
      </c>
      <c r="AB9" s="103" t="s">
        <v>155</v>
      </c>
      <c r="AC9" s="103" t="s">
        <v>269</v>
      </c>
      <c r="AD9" s="103" t="s">
        <v>198</v>
      </c>
      <c r="AE9" s="103" t="s">
        <v>270</v>
      </c>
      <c r="AF9" s="103" t="s">
        <v>158</v>
      </c>
      <c r="AG9" s="114">
        <v>5.0</v>
      </c>
      <c r="AH9" s="130" t="s">
        <v>296</v>
      </c>
      <c r="AI9" s="124" t="s">
        <v>297</v>
      </c>
      <c r="AJ9" s="117">
        <f t="shared" si="1"/>
        <v>44396</v>
      </c>
      <c r="AK9" s="118">
        <f t="shared" si="2"/>
        <v>-318</v>
      </c>
      <c r="AL9" s="119" t="str">
        <f t="shared" si="3"/>
        <v>Reporte ok</v>
      </c>
      <c r="AM9" s="119"/>
      <c r="AN9" s="120"/>
    </row>
    <row r="10" ht="67.5" customHeight="1">
      <c r="A10" s="45"/>
      <c r="B10" s="103">
        <v>29.0</v>
      </c>
      <c r="C10" s="103" t="s">
        <v>256</v>
      </c>
      <c r="D10" s="103" t="s">
        <v>257</v>
      </c>
      <c r="E10" s="103" t="s">
        <v>258</v>
      </c>
      <c r="F10" s="104">
        <v>2.01901100028E12</v>
      </c>
      <c r="G10" s="105" t="s">
        <v>259</v>
      </c>
      <c r="H10" s="103" t="s">
        <v>278</v>
      </c>
      <c r="I10" s="103" t="s">
        <v>279</v>
      </c>
      <c r="J10" s="103" t="s">
        <v>298</v>
      </c>
      <c r="K10" s="106" t="s">
        <v>289</v>
      </c>
      <c r="L10" s="106" t="s">
        <v>290</v>
      </c>
      <c r="M10" s="106" t="s">
        <v>122</v>
      </c>
      <c r="N10" s="107" t="s">
        <v>299</v>
      </c>
      <c r="O10" s="108">
        <v>15.0</v>
      </c>
      <c r="P10" s="109">
        <v>5000.0</v>
      </c>
      <c r="Q10" s="110" t="s">
        <v>300</v>
      </c>
      <c r="R10" s="111" t="s">
        <v>124</v>
      </c>
      <c r="S10" s="109">
        <v>0.0</v>
      </c>
      <c r="T10" s="109">
        <v>0.0</v>
      </c>
      <c r="U10" s="112">
        <v>0.0</v>
      </c>
      <c r="V10" s="112">
        <v>5000.0</v>
      </c>
      <c r="W10" s="113" t="s">
        <v>19</v>
      </c>
      <c r="X10" s="105" t="s">
        <v>265</v>
      </c>
      <c r="Y10" s="103" t="s">
        <v>266</v>
      </c>
      <c r="Z10" s="105" t="s">
        <v>267</v>
      </c>
      <c r="AA10" s="103" t="s">
        <v>268</v>
      </c>
      <c r="AB10" s="103" t="s">
        <v>155</v>
      </c>
      <c r="AC10" s="103" t="s">
        <v>269</v>
      </c>
      <c r="AD10" s="103" t="s">
        <v>198</v>
      </c>
      <c r="AE10" s="103" t="s">
        <v>270</v>
      </c>
      <c r="AF10" s="103" t="s">
        <v>158</v>
      </c>
      <c r="AG10" s="114">
        <v>0.0</v>
      </c>
      <c r="AH10" s="115" t="s">
        <v>283</v>
      </c>
      <c r="AI10" s="115" t="s">
        <v>283</v>
      </c>
      <c r="AJ10" s="117">
        <f t="shared" si="1"/>
        <v>44396</v>
      </c>
      <c r="AK10" s="118">
        <f t="shared" si="2"/>
        <v>-318</v>
      </c>
      <c r="AL10" s="119" t="str">
        <f t="shared" si="3"/>
        <v>Reporte ok</v>
      </c>
      <c r="AM10" s="119"/>
      <c r="AN10" s="120"/>
    </row>
    <row r="11" ht="67.5" customHeight="1">
      <c r="A11" s="45"/>
      <c r="B11" s="103">
        <v>30.0</v>
      </c>
      <c r="C11" s="103" t="s">
        <v>256</v>
      </c>
      <c r="D11" s="103" t="s">
        <v>257</v>
      </c>
      <c r="E11" s="103" t="s">
        <v>258</v>
      </c>
      <c r="F11" s="104">
        <v>2.01901100028E12</v>
      </c>
      <c r="G11" s="105" t="s">
        <v>259</v>
      </c>
      <c r="H11" s="103" t="s">
        <v>278</v>
      </c>
      <c r="I11" s="103" t="s">
        <v>279</v>
      </c>
      <c r="J11" s="103" t="s">
        <v>280</v>
      </c>
      <c r="K11" s="106" t="s">
        <v>289</v>
      </c>
      <c r="L11" s="106" t="s">
        <v>290</v>
      </c>
      <c r="M11" s="106" t="s">
        <v>122</v>
      </c>
      <c r="N11" s="107" t="s">
        <v>301</v>
      </c>
      <c r="O11" s="108">
        <v>15.0</v>
      </c>
      <c r="P11" s="109">
        <v>6.0</v>
      </c>
      <c r="Q11" s="110" t="s">
        <v>302</v>
      </c>
      <c r="R11" s="111" t="s">
        <v>172</v>
      </c>
      <c r="S11" s="109">
        <v>1.0</v>
      </c>
      <c r="T11" s="109">
        <v>1.0</v>
      </c>
      <c r="U11" s="112">
        <v>2.0</v>
      </c>
      <c r="V11" s="112">
        <v>2.0</v>
      </c>
      <c r="W11" s="113" t="s">
        <v>19</v>
      </c>
      <c r="X11" s="105" t="s">
        <v>265</v>
      </c>
      <c r="Y11" s="103" t="s">
        <v>266</v>
      </c>
      <c r="Z11" s="105" t="s">
        <v>267</v>
      </c>
      <c r="AA11" s="103" t="s">
        <v>268</v>
      </c>
      <c r="AB11" s="103" t="s">
        <v>155</v>
      </c>
      <c r="AC11" s="103" t="s">
        <v>269</v>
      </c>
      <c r="AD11" s="103" t="s">
        <v>198</v>
      </c>
      <c r="AE11" s="103" t="s">
        <v>270</v>
      </c>
      <c r="AF11" s="103" t="s">
        <v>158</v>
      </c>
      <c r="AG11" s="114">
        <v>1.0</v>
      </c>
      <c r="AH11" s="130" t="s">
        <v>303</v>
      </c>
      <c r="AI11" s="124" t="s">
        <v>304</v>
      </c>
      <c r="AJ11" s="117">
        <f t="shared" si="1"/>
        <v>44396</v>
      </c>
      <c r="AK11" s="118">
        <f t="shared" si="2"/>
        <v>-318</v>
      </c>
      <c r="AL11" s="119" t="str">
        <f t="shared" si="3"/>
        <v>Reporte ok</v>
      </c>
      <c r="AM11" s="119"/>
      <c r="AN11" s="120"/>
    </row>
    <row r="12" ht="67.5" customHeight="1">
      <c r="A12" s="45"/>
      <c r="B12" s="103">
        <v>31.0</v>
      </c>
      <c r="C12" s="103" t="s">
        <v>256</v>
      </c>
      <c r="D12" s="103" t="s">
        <v>257</v>
      </c>
      <c r="E12" s="103" t="s">
        <v>258</v>
      </c>
      <c r="F12" s="104">
        <v>2.01901100028E12</v>
      </c>
      <c r="G12" s="105" t="s">
        <v>259</v>
      </c>
      <c r="H12" s="103" t="s">
        <v>260</v>
      </c>
      <c r="I12" s="103" t="s">
        <v>261</v>
      </c>
      <c r="J12" s="103" t="s">
        <v>305</v>
      </c>
      <c r="K12" s="106" t="s">
        <v>289</v>
      </c>
      <c r="L12" s="106" t="s">
        <v>290</v>
      </c>
      <c r="M12" s="106" t="s">
        <v>122</v>
      </c>
      <c r="N12" s="107" t="s">
        <v>306</v>
      </c>
      <c r="O12" s="108">
        <v>15.0</v>
      </c>
      <c r="P12" s="109">
        <v>1.0</v>
      </c>
      <c r="Q12" s="110" t="s">
        <v>307</v>
      </c>
      <c r="R12" s="111" t="s">
        <v>124</v>
      </c>
      <c r="S12" s="109">
        <v>0.0</v>
      </c>
      <c r="T12" s="109">
        <v>0.0</v>
      </c>
      <c r="U12" s="112">
        <v>0.0</v>
      </c>
      <c r="V12" s="112">
        <v>1.0</v>
      </c>
      <c r="W12" s="113" t="s">
        <v>19</v>
      </c>
      <c r="X12" s="105" t="s">
        <v>265</v>
      </c>
      <c r="Y12" s="103" t="s">
        <v>266</v>
      </c>
      <c r="Z12" s="105" t="s">
        <v>267</v>
      </c>
      <c r="AA12" s="103" t="s">
        <v>268</v>
      </c>
      <c r="AB12" s="103" t="s">
        <v>155</v>
      </c>
      <c r="AC12" s="103" t="s">
        <v>269</v>
      </c>
      <c r="AD12" s="103" t="s">
        <v>198</v>
      </c>
      <c r="AE12" s="103" t="s">
        <v>270</v>
      </c>
      <c r="AF12" s="103" t="s">
        <v>158</v>
      </c>
      <c r="AG12" s="114">
        <v>0.0</v>
      </c>
      <c r="AH12" s="115" t="s">
        <v>283</v>
      </c>
      <c r="AI12" s="115" t="s">
        <v>283</v>
      </c>
      <c r="AJ12" s="117">
        <f t="shared" si="1"/>
        <v>44396</v>
      </c>
      <c r="AK12" s="118">
        <f t="shared" si="2"/>
        <v>-318</v>
      </c>
      <c r="AL12" s="119" t="str">
        <f t="shared" si="3"/>
        <v>Reporte ok</v>
      </c>
      <c r="AM12" s="119"/>
      <c r="AN12" s="120"/>
    </row>
    <row r="13" ht="67.5" customHeight="1">
      <c r="A13" s="45"/>
      <c r="B13" s="103">
        <v>32.0</v>
      </c>
      <c r="C13" s="103" t="s">
        <v>256</v>
      </c>
      <c r="D13" s="103" t="s">
        <v>257</v>
      </c>
      <c r="E13" s="103" t="s">
        <v>258</v>
      </c>
      <c r="F13" s="104">
        <v>2.01901100028E12</v>
      </c>
      <c r="G13" s="105" t="s">
        <v>259</v>
      </c>
      <c r="H13" s="103" t="s">
        <v>260</v>
      </c>
      <c r="I13" s="103" t="s">
        <v>261</v>
      </c>
      <c r="J13" s="103" t="s">
        <v>305</v>
      </c>
      <c r="K13" s="106" t="s">
        <v>289</v>
      </c>
      <c r="L13" s="106" t="s">
        <v>290</v>
      </c>
      <c r="M13" s="106" t="s">
        <v>122</v>
      </c>
      <c r="N13" s="107" t="s">
        <v>308</v>
      </c>
      <c r="O13" s="108">
        <v>15.0</v>
      </c>
      <c r="P13" s="109">
        <v>1.0</v>
      </c>
      <c r="Q13" s="110" t="s">
        <v>309</v>
      </c>
      <c r="R13" s="111" t="s">
        <v>124</v>
      </c>
      <c r="S13" s="109">
        <v>0.0</v>
      </c>
      <c r="T13" s="109">
        <v>0.0</v>
      </c>
      <c r="U13" s="112">
        <v>0.0</v>
      </c>
      <c r="V13" s="112">
        <v>1.0</v>
      </c>
      <c r="W13" s="113" t="s">
        <v>19</v>
      </c>
      <c r="X13" s="105" t="s">
        <v>265</v>
      </c>
      <c r="Y13" s="103" t="s">
        <v>266</v>
      </c>
      <c r="Z13" s="105" t="s">
        <v>267</v>
      </c>
      <c r="AA13" s="103" t="s">
        <v>268</v>
      </c>
      <c r="AB13" s="103" t="s">
        <v>155</v>
      </c>
      <c r="AC13" s="103" t="s">
        <v>269</v>
      </c>
      <c r="AD13" s="103" t="s">
        <v>198</v>
      </c>
      <c r="AE13" s="103" t="s">
        <v>270</v>
      </c>
      <c r="AF13" s="103" t="s">
        <v>158</v>
      </c>
      <c r="AG13" s="114">
        <v>0.0</v>
      </c>
      <c r="AH13" s="115" t="s">
        <v>283</v>
      </c>
      <c r="AI13" s="115" t="s">
        <v>283</v>
      </c>
      <c r="AJ13" s="117">
        <f t="shared" si="1"/>
        <v>44396</v>
      </c>
      <c r="AK13" s="118">
        <f t="shared" si="2"/>
        <v>-318</v>
      </c>
      <c r="AL13" s="119" t="str">
        <f t="shared" si="3"/>
        <v>Reporte ok</v>
      </c>
      <c r="AM13" s="119"/>
      <c r="AN13" s="120"/>
    </row>
    <row r="14" ht="67.5" customHeight="1">
      <c r="A14" s="45"/>
      <c r="B14" s="103">
        <v>33.0</v>
      </c>
      <c r="C14" s="103" t="s">
        <v>256</v>
      </c>
      <c r="D14" s="103" t="s">
        <v>257</v>
      </c>
      <c r="E14" s="103" t="s">
        <v>258</v>
      </c>
      <c r="F14" s="104">
        <v>2.01901100028E12</v>
      </c>
      <c r="G14" s="105" t="s">
        <v>259</v>
      </c>
      <c r="H14" s="103" t="s">
        <v>260</v>
      </c>
      <c r="I14" s="103" t="s">
        <v>261</v>
      </c>
      <c r="J14" s="103" t="s">
        <v>262</v>
      </c>
      <c r="K14" s="106" t="s">
        <v>289</v>
      </c>
      <c r="L14" s="106" t="s">
        <v>290</v>
      </c>
      <c r="M14" s="106" t="s">
        <v>122</v>
      </c>
      <c r="N14" s="107" t="s">
        <v>310</v>
      </c>
      <c r="O14" s="108">
        <v>15.0</v>
      </c>
      <c r="P14" s="109">
        <v>1.0</v>
      </c>
      <c r="Q14" s="110" t="s">
        <v>311</v>
      </c>
      <c r="R14" s="111" t="s">
        <v>124</v>
      </c>
      <c r="S14" s="109">
        <v>0.0</v>
      </c>
      <c r="T14" s="109">
        <v>0.0</v>
      </c>
      <c r="U14" s="112">
        <v>0.0</v>
      </c>
      <c r="V14" s="112">
        <v>1.0</v>
      </c>
      <c r="W14" s="113" t="s">
        <v>19</v>
      </c>
      <c r="X14" s="105" t="s">
        <v>265</v>
      </c>
      <c r="Y14" s="103" t="s">
        <v>266</v>
      </c>
      <c r="Z14" s="105" t="s">
        <v>267</v>
      </c>
      <c r="AA14" s="103" t="s">
        <v>268</v>
      </c>
      <c r="AB14" s="103" t="s">
        <v>155</v>
      </c>
      <c r="AC14" s="103" t="s">
        <v>269</v>
      </c>
      <c r="AD14" s="103" t="s">
        <v>198</v>
      </c>
      <c r="AE14" s="103" t="s">
        <v>270</v>
      </c>
      <c r="AF14" s="103" t="s">
        <v>158</v>
      </c>
      <c r="AG14" s="114">
        <v>0.0</v>
      </c>
      <c r="AH14" s="115" t="s">
        <v>283</v>
      </c>
      <c r="AI14" s="115" t="s">
        <v>283</v>
      </c>
      <c r="AJ14" s="117">
        <f t="shared" si="1"/>
        <v>44396</v>
      </c>
      <c r="AK14" s="118">
        <f t="shared" si="2"/>
        <v>-318</v>
      </c>
      <c r="AL14" s="119" t="str">
        <f t="shared" si="3"/>
        <v>Reporte ok</v>
      </c>
      <c r="AM14" s="119"/>
      <c r="AN14" s="120"/>
    </row>
    <row r="15" ht="67.5" customHeight="1">
      <c r="A15" s="45"/>
      <c r="B15" s="103">
        <v>34.0</v>
      </c>
      <c r="C15" s="103" t="s">
        <v>256</v>
      </c>
      <c r="D15" s="103" t="s">
        <v>257</v>
      </c>
      <c r="E15" s="103" t="s">
        <v>258</v>
      </c>
      <c r="F15" s="104">
        <v>2.01901100028E12</v>
      </c>
      <c r="G15" s="105" t="s">
        <v>259</v>
      </c>
      <c r="H15" s="103" t="s">
        <v>260</v>
      </c>
      <c r="I15" s="103" t="s">
        <v>261</v>
      </c>
      <c r="J15" s="103" t="s">
        <v>262</v>
      </c>
      <c r="K15" s="106" t="s">
        <v>120</v>
      </c>
      <c r="L15" s="106" t="s">
        <v>121</v>
      </c>
      <c r="M15" s="106" t="s">
        <v>122</v>
      </c>
      <c r="N15" s="107" t="s">
        <v>312</v>
      </c>
      <c r="O15" s="108">
        <v>-7140.0</v>
      </c>
      <c r="P15" s="109">
        <v>12.0</v>
      </c>
      <c r="Q15" s="110" t="s">
        <v>313</v>
      </c>
      <c r="R15" s="111" t="s">
        <v>177</v>
      </c>
      <c r="S15" s="109">
        <v>0.0</v>
      </c>
      <c r="T15" s="109">
        <v>7.0</v>
      </c>
      <c r="U15" s="112">
        <v>0.0</v>
      </c>
      <c r="V15" s="112">
        <v>5.0</v>
      </c>
      <c r="W15" s="113" t="s">
        <v>19</v>
      </c>
      <c r="X15" s="105" t="s">
        <v>265</v>
      </c>
      <c r="Y15" s="103" t="s">
        <v>266</v>
      </c>
      <c r="Z15" s="105" t="s">
        <v>267</v>
      </c>
      <c r="AA15" s="103" t="s">
        <v>268</v>
      </c>
      <c r="AB15" s="103" t="s">
        <v>155</v>
      </c>
      <c r="AC15" s="103" t="s">
        <v>269</v>
      </c>
      <c r="AD15" s="103" t="s">
        <v>198</v>
      </c>
      <c r="AE15" s="103" t="s">
        <v>270</v>
      </c>
      <c r="AF15" s="103" t="s">
        <v>158</v>
      </c>
      <c r="AG15" s="114">
        <v>7.0</v>
      </c>
      <c r="AH15" s="130" t="s">
        <v>314</v>
      </c>
      <c r="AI15" s="124" t="s">
        <v>315</v>
      </c>
      <c r="AJ15" s="117">
        <f t="shared" si="1"/>
        <v>44396</v>
      </c>
      <c r="AK15" s="118">
        <f t="shared" si="2"/>
        <v>-318</v>
      </c>
      <c r="AL15" s="119" t="str">
        <f t="shared" si="3"/>
        <v>Reporte ok</v>
      </c>
      <c r="AM15" s="119"/>
      <c r="AN15" s="120"/>
    </row>
    <row r="16" ht="67.5" customHeight="1">
      <c r="A16" s="45"/>
      <c r="B16" s="103">
        <v>35.0</v>
      </c>
      <c r="C16" s="103" t="s">
        <v>256</v>
      </c>
      <c r="D16" s="103" t="s">
        <v>257</v>
      </c>
      <c r="E16" s="103" t="s">
        <v>258</v>
      </c>
      <c r="F16" s="104">
        <v>2.01901100028E12</v>
      </c>
      <c r="G16" s="105" t="s">
        <v>259</v>
      </c>
      <c r="H16" s="103" t="s">
        <v>260</v>
      </c>
      <c r="I16" s="103" t="s">
        <v>261</v>
      </c>
      <c r="J16" s="103" t="s">
        <v>262</v>
      </c>
      <c r="K16" s="106" t="s">
        <v>289</v>
      </c>
      <c r="L16" s="106" t="s">
        <v>290</v>
      </c>
      <c r="M16" s="106" t="s">
        <v>122</v>
      </c>
      <c r="N16" s="107" t="s">
        <v>316</v>
      </c>
      <c r="O16" s="108">
        <v>15.0</v>
      </c>
      <c r="P16" s="109">
        <v>11500.0</v>
      </c>
      <c r="Q16" s="110" t="s">
        <v>317</v>
      </c>
      <c r="R16" s="111" t="s">
        <v>124</v>
      </c>
      <c r="S16" s="109">
        <v>0.0</v>
      </c>
      <c r="T16" s="109">
        <v>0.0</v>
      </c>
      <c r="U16" s="112">
        <v>0.0</v>
      </c>
      <c r="V16" s="112">
        <v>11500.0</v>
      </c>
      <c r="W16" s="113" t="s">
        <v>19</v>
      </c>
      <c r="X16" s="105" t="s">
        <v>265</v>
      </c>
      <c r="Y16" s="103" t="s">
        <v>266</v>
      </c>
      <c r="Z16" s="105" t="s">
        <v>267</v>
      </c>
      <c r="AA16" s="103" t="s">
        <v>268</v>
      </c>
      <c r="AB16" s="103" t="s">
        <v>155</v>
      </c>
      <c r="AC16" s="103" t="s">
        <v>269</v>
      </c>
      <c r="AD16" s="103" t="s">
        <v>198</v>
      </c>
      <c r="AE16" s="103" t="s">
        <v>270</v>
      </c>
      <c r="AF16" s="103" t="s">
        <v>158</v>
      </c>
      <c r="AG16" s="114">
        <v>0.0</v>
      </c>
      <c r="AH16" s="115" t="s">
        <v>283</v>
      </c>
      <c r="AI16" s="115" t="s">
        <v>283</v>
      </c>
      <c r="AJ16" s="117">
        <f t="shared" si="1"/>
        <v>44396</v>
      </c>
      <c r="AK16" s="118">
        <f t="shared" si="2"/>
        <v>-318</v>
      </c>
      <c r="AL16" s="119" t="str">
        <f t="shared" si="3"/>
        <v>Reporte ok</v>
      </c>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5"/>
      <c r="AJ17" s="117"/>
      <c r="AK17" s="118"/>
      <c r="AL17" s="119"/>
      <c r="AM17" s="119"/>
      <c r="AN17" s="120"/>
    </row>
    <row r="18" ht="15.75" customHeight="1"/>
    <row r="19" ht="15.75" customHeight="1">
      <c r="F19" s="131"/>
    </row>
  </sheetData>
  <autoFilter ref="$A$3:$AN$18"/>
  <mergeCells count="2">
    <mergeCell ref="B1:C1"/>
    <mergeCell ref="AG2:AM2"/>
  </mergeCells>
  <conditionalFormatting sqref="AK4:AK18">
    <cfRule type="cellIs" dxfId="2" priority="1" operator="greaterThan">
      <formula>0</formula>
    </cfRule>
  </conditionalFormatting>
  <conditionalFormatting sqref="AK4:AK18">
    <cfRule type="cellIs" dxfId="3" priority="2" operator="lessThan">
      <formula>0</formula>
    </cfRule>
  </conditionalFormatting>
  <conditionalFormatting sqref="AK12:AK13">
    <cfRule type="cellIs" dxfId="2" priority="3" operator="greaterThan">
      <formula>0</formula>
    </cfRule>
  </conditionalFormatting>
  <conditionalFormatting sqref="AK12:AK13">
    <cfRule type="cellIs" dxfId="3" priority="4" operator="lessThan">
      <formula>0</formula>
    </cfRule>
  </conditionalFormatting>
  <conditionalFormatting sqref="AK5:AK7">
    <cfRule type="cellIs" dxfId="2" priority="5" operator="greaterThan">
      <formula>0</formula>
    </cfRule>
  </conditionalFormatting>
  <conditionalFormatting sqref="AK5:AK7">
    <cfRule type="cellIs" dxfId="3" priority="6"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9"/>
    <hyperlink r:id="rId4" ref="AI11"/>
    <hyperlink r:id="rId5" ref="AI15"/>
  </hyperlinks>
  <printOptions gridLines="1" horizontalCentered="1"/>
  <pageMargins bottom="0.75" footer="0.0" header="0.0" left="0.7" right="0.7" top="0.75"/>
  <pageSetup cellComments="atEnd" orientation="portrait" pageOrder="overThenDown"/>
  <drawing r:id="rId6"/>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36.0</v>
      </c>
      <c r="C4" s="103" t="s">
        <v>318</v>
      </c>
      <c r="D4" s="103" t="s">
        <v>319</v>
      </c>
      <c r="E4" s="103" t="s">
        <v>115</v>
      </c>
      <c r="F4" s="104">
        <v>2.018011000241E12</v>
      </c>
      <c r="G4" s="105" t="s">
        <v>116</v>
      </c>
      <c r="H4" s="103" t="s">
        <v>138</v>
      </c>
      <c r="I4" s="103" t="s">
        <v>139</v>
      </c>
      <c r="J4" s="103" t="s">
        <v>140</v>
      </c>
      <c r="K4" s="106" t="s">
        <v>141</v>
      </c>
      <c r="L4" s="106" t="s">
        <v>121</v>
      </c>
      <c r="M4" s="106" t="s">
        <v>122</v>
      </c>
      <c r="N4" s="107" t="s">
        <v>320</v>
      </c>
      <c r="O4" s="108"/>
      <c r="P4" s="109">
        <v>1.0</v>
      </c>
      <c r="Q4" s="110" t="s">
        <v>321</v>
      </c>
      <c r="R4" s="111" t="s">
        <v>124</v>
      </c>
      <c r="S4" s="109">
        <v>0.0</v>
      </c>
      <c r="T4" s="109">
        <v>0.0</v>
      </c>
      <c r="U4" s="112">
        <v>0.0</v>
      </c>
      <c r="V4" s="112">
        <v>1.0</v>
      </c>
      <c r="W4" s="113" t="s">
        <v>322</v>
      </c>
      <c r="X4" s="105" t="s">
        <v>323</v>
      </c>
      <c r="Y4" s="103" t="s">
        <v>324</v>
      </c>
      <c r="Z4" s="105" t="s">
        <v>325</v>
      </c>
      <c r="AA4" s="103" t="s">
        <v>154</v>
      </c>
      <c r="AB4" s="103" t="s">
        <v>155</v>
      </c>
      <c r="AC4" s="103" t="s">
        <v>131</v>
      </c>
      <c r="AD4" s="103" t="s">
        <v>216</v>
      </c>
      <c r="AE4" s="103" t="s">
        <v>216</v>
      </c>
      <c r="AF4" s="103" t="s">
        <v>134</v>
      </c>
      <c r="AG4" s="114">
        <v>0.0</v>
      </c>
      <c r="AH4" s="115" t="s">
        <v>326</v>
      </c>
      <c r="AI4" s="116"/>
      <c r="AJ4" s="117">
        <f t="shared" ref="AJ4:AJ6" si="1">$AK$1</f>
        <v>44396</v>
      </c>
      <c r="AK4" s="118">
        <f t="shared" ref="AK4:AK6" si="2">AJ4-$AL$1</f>
        <v>-318</v>
      </c>
      <c r="AL4" s="119" t="str">
        <f t="shared" ref="AL4:AL6" si="3">IF(ISBLANK(AG4),"Pendiente Ejecución"&amp;CHAR(10),)&amp;IF(ISBLANK(AH4),"Pendiente Justificación"&amp;CHAR(10),)&amp;IF(ISBLANK(AI4),"Pendiente Evidencia",)&amp;IF(OR(ISBLANK(AG4),ISBLANK(AH4),ISBLANK(AI4)),,"Reporte ok")</f>
        <v>Pendiente Evidencia</v>
      </c>
      <c r="AM4" s="119"/>
      <c r="AN4" s="120"/>
    </row>
    <row r="5" ht="67.5" customHeight="1">
      <c r="A5" s="45"/>
      <c r="B5" s="103">
        <v>37.0</v>
      </c>
      <c r="C5" s="103" t="s">
        <v>318</v>
      </c>
      <c r="D5" s="103" t="s">
        <v>319</v>
      </c>
      <c r="E5" s="103" t="s">
        <v>115</v>
      </c>
      <c r="F5" s="104">
        <v>2.018011000241E12</v>
      </c>
      <c r="G5" s="105" t="s">
        <v>116</v>
      </c>
      <c r="H5" s="103" t="s">
        <v>138</v>
      </c>
      <c r="I5" s="103" t="s">
        <v>139</v>
      </c>
      <c r="J5" s="103" t="s">
        <v>140</v>
      </c>
      <c r="K5" s="106" t="s">
        <v>141</v>
      </c>
      <c r="L5" s="106" t="s">
        <v>121</v>
      </c>
      <c r="M5" s="106" t="s">
        <v>142</v>
      </c>
      <c r="N5" s="107" t="s">
        <v>327</v>
      </c>
      <c r="O5" s="108"/>
      <c r="P5" s="121">
        <v>1.0</v>
      </c>
      <c r="Q5" s="110" t="s">
        <v>328</v>
      </c>
      <c r="R5" s="111" t="s">
        <v>172</v>
      </c>
      <c r="S5" s="121">
        <v>0.25</v>
      </c>
      <c r="T5" s="121">
        <v>0.25</v>
      </c>
      <c r="U5" s="121">
        <v>0.25</v>
      </c>
      <c r="V5" s="121">
        <v>0.25</v>
      </c>
      <c r="W5" s="113" t="s">
        <v>322</v>
      </c>
      <c r="X5" s="105" t="s">
        <v>323</v>
      </c>
      <c r="Y5" s="103" t="s">
        <v>324</v>
      </c>
      <c r="Z5" s="105" t="s">
        <v>325</v>
      </c>
      <c r="AA5" s="103" t="s">
        <v>154</v>
      </c>
      <c r="AB5" s="103" t="s">
        <v>155</v>
      </c>
      <c r="AC5" s="103" t="s">
        <v>131</v>
      </c>
      <c r="AD5" s="103" t="s">
        <v>216</v>
      </c>
      <c r="AE5" s="103" t="s">
        <v>216</v>
      </c>
      <c r="AF5" s="103" t="s">
        <v>134</v>
      </c>
      <c r="AG5" s="122">
        <v>0.15</v>
      </c>
      <c r="AH5" s="115" t="s">
        <v>329</v>
      </c>
      <c r="AI5" s="124" t="s">
        <v>330</v>
      </c>
      <c r="AJ5" s="117">
        <f t="shared" si="1"/>
        <v>44396</v>
      </c>
      <c r="AK5" s="118">
        <f t="shared" si="2"/>
        <v>-318</v>
      </c>
      <c r="AL5" s="119" t="str">
        <f t="shared" si="3"/>
        <v>Reporte ok</v>
      </c>
      <c r="AM5" s="119"/>
      <c r="AN5" s="120"/>
    </row>
    <row r="6" ht="67.5" customHeight="1">
      <c r="A6" s="45"/>
      <c r="B6" s="103">
        <v>38.0</v>
      </c>
      <c r="C6" s="103" t="s">
        <v>318</v>
      </c>
      <c r="D6" s="103" t="s">
        <v>319</v>
      </c>
      <c r="E6" s="103" t="s">
        <v>115</v>
      </c>
      <c r="F6" s="104">
        <v>2.018011000241E12</v>
      </c>
      <c r="G6" s="105" t="s">
        <v>116</v>
      </c>
      <c r="H6" s="103" t="s">
        <v>138</v>
      </c>
      <c r="I6" s="103" t="s">
        <v>139</v>
      </c>
      <c r="J6" s="103" t="s">
        <v>140</v>
      </c>
      <c r="K6" s="106" t="s">
        <v>141</v>
      </c>
      <c r="L6" s="106" t="s">
        <v>121</v>
      </c>
      <c r="M6" s="106" t="s">
        <v>122</v>
      </c>
      <c r="N6" s="107" t="s">
        <v>331</v>
      </c>
      <c r="O6" s="108"/>
      <c r="P6" s="109">
        <v>11.0</v>
      </c>
      <c r="Q6" s="110" t="s">
        <v>332</v>
      </c>
      <c r="R6" s="111" t="s">
        <v>172</v>
      </c>
      <c r="S6" s="109">
        <v>2.0</v>
      </c>
      <c r="T6" s="109">
        <v>3.0</v>
      </c>
      <c r="U6" s="112">
        <v>3.0</v>
      </c>
      <c r="V6" s="112">
        <v>3.0</v>
      </c>
      <c r="W6" s="113" t="s">
        <v>322</v>
      </c>
      <c r="X6" s="105" t="s">
        <v>323</v>
      </c>
      <c r="Y6" s="103" t="s">
        <v>324</v>
      </c>
      <c r="Z6" s="105" t="s">
        <v>325</v>
      </c>
      <c r="AA6" s="103" t="s">
        <v>154</v>
      </c>
      <c r="AB6" s="103" t="s">
        <v>155</v>
      </c>
      <c r="AC6" s="103" t="s">
        <v>131</v>
      </c>
      <c r="AD6" s="103" t="s">
        <v>216</v>
      </c>
      <c r="AE6" s="103" t="s">
        <v>216</v>
      </c>
      <c r="AF6" s="103" t="s">
        <v>134</v>
      </c>
      <c r="AG6" s="114">
        <v>2.0</v>
      </c>
      <c r="AH6" s="115" t="s">
        <v>333</v>
      </c>
      <c r="AI6" s="124" t="s">
        <v>334</v>
      </c>
      <c r="AJ6" s="117">
        <f t="shared" si="1"/>
        <v>44396</v>
      </c>
      <c r="AK6" s="118">
        <f t="shared" si="2"/>
        <v>-318</v>
      </c>
      <c r="AL6" s="119" t="str">
        <f t="shared" si="3"/>
        <v>Reporte ok</v>
      </c>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8"/>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5"/>
    <hyperlink r:id="rId2" ref="AI6"/>
  </hyperlinks>
  <printOptions gridLines="1" horizontalCentered="1"/>
  <pageMargins bottom="0.75" footer="0.0" header="0.0" left="0.7" right="0.7" top="0.75"/>
  <pageSetup cellComments="atEnd" orientation="portrait" pageOrder="overThenDown"/>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39.0</v>
      </c>
      <c r="C4" s="103" t="s">
        <v>335</v>
      </c>
      <c r="D4" s="103" t="s">
        <v>336</v>
      </c>
      <c r="E4" s="103" t="s">
        <v>337</v>
      </c>
      <c r="F4" s="104">
        <v>2.019011000276E12</v>
      </c>
      <c r="G4" s="105" t="s">
        <v>338</v>
      </c>
      <c r="H4" s="103" t="s">
        <v>339</v>
      </c>
      <c r="I4" s="103" t="s">
        <v>340</v>
      </c>
      <c r="J4" s="103" t="s">
        <v>341</v>
      </c>
      <c r="K4" s="106" t="s">
        <v>120</v>
      </c>
      <c r="L4" s="106" t="s">
        <v>121</v>
      </c>
      <c r="M4" s="106" t="s">
        <v>122</v>
      </c>
      <c r="N4" s="107" t="s">
        <v>342</v>
      </c>
      <c r="O4" s="108">
        <v>110.0</v>
      </c>
      <c r="P4" s="109">
        <v>70.0</v>
      </c>
      <c r="Q4" s="110" t="s">
        <v>343</v>
      </c>
      <c r="R4" s="111" t="s">
        <v>124</v>
      </c>
      <c r="S4" s="109">
        <v>0.0</v>
      </c>
      <c r="T4" s="109">
        <v>18.0</v>
      </c>
      <c r="U4" s="112">
        <v>35.0</v>
      </c>
      <c r="V4" s="112">
        <v>17.0</v>
      </c>
      <c r="W4" s="113" t="s">
        <v>336</v>
      </c>
      <c r="X4" s="105" t="s">
        <v>344</v>
      </c>
      <c r="Y4" s="103" t="s">
        <v>345</v>
      </c>
      <c r="Z4" s="105" t="s">
        <v>346</v>
      </c>
      <c r="AA4" s="103" t="s">
        <v>154</v>
      </c>
      <c r="AB4" s="103" t="s">
        <v>155</v>
      </c>
      <c r="AC4" s="103" t="s">
        <v>347</v>
      </c>
      <c r="AD4" s="103" t="s">
        <v>198</v>
      </c>
      <c r="AE4" s="103" t="s">
        <v>270</v>
      </c>
      <c r="AF4" s="103" t="s">
        <v>158</v>
      </c>
      <c r="AG4" s="114">
        <v>18.0</v>
      </c>
      <c r="AH4" s="115" t="s">
        <v>348</v>
      </c>
      <c r="AI4" s="124" t="s">
        <v>349</v>
      </c>
      <c r="AJ4" s="117">
        <f t="shared" ref="AJ4:AJ10" si="1">$AK$1</f>
        <v>44396</v>
      </c>
      <c r="AK4" s="118">
        <f t="shared" ref="AK4:AK10" si="2">AJ4-$AL$1</f>
        <v>-318</v>
      </c>
      <c r="AL4" s="119" t="str">
        <f t="shared" ref="AL4:AL10" si="3">IF(ISBLANK(AG4),"Pendiente Ejecución"&amp;CHAR(10),)&amp;IF(ISBLANK(AH4),"Pendiente Justificación"&amp;CHAR(10),)&amp;IF(ISBLANK(AI4),"Pendiente Evidencia",)&amp;IF(OR(ISBLANK(AG4),ISBLANK(AH4),ISBLANK(AI4)),,"Reporte ok")</f>
        <v>Reporte ok</v>
      </c>
      <c r="AM4" s="119"/>
      <c r="AN4" s="120"/>
    </row>
    <row r="5" ht="67.5" customHeight="1">
      <c r="A5" s="45"/>
      <c r="B5" s="103">
        <v>40.0</v>
      </c>
      <c r="C5" s="103" t="s">
        <v>335</v>
      </c>
      <c r="D5" s="103" t="s">
        <v>336</v>
      </c>
      <c r="E5" s="103" t="s">
        <v>337</v>
      </c>
      <c r="F5" s="104">
        <v>2.019011000276E12</v>
      </c>
      <c r="G5" s="105" t="s">
        <v>338</v>
      </c>
      <c r="H5" s="103" t="s">
        <v>350</v>
      </c>
      <c r="I5" s="103" t="s">
        <v>351</v>
      </c>
      <c r="J5" s="103" t="s">
        <v>352</v>
      </c>
      <c r="K5" s="106" t="s">
        <v>120</v>
      </c>
      <c r="L5" s="106" t="s">
        <v>121</v>
      </c>
      <c r="M5" s="106" t="s">
        <v>122</v>
      </c>
      <c r="N5" s="107" t="s">
        <v>353</v>
      </c>
      <c r="O5" s="108">
        <v>157.0</v>
      </c>
      <c r="P5" s="109">
        <v>380.0</v>
      </c>
      <c r="Q5" s="110" t="s">
        <v>354</v>
      </c>
      <c r="R5" s="111" t="s">
        <v>124</v>
      </c>
      <c r="S5" s="109">
        <v>70.0</v>
      </c>
      <c r="T5" s="109">
        <v>106.0</v>
      </c>
      <c r="U5" s="112">
        <v>106.0</v>
      </c>
      <c r="V5" s="112">
        <v>98.0</v>
      </c>
      <c r="W5" s="113" t="s">
        <v>336</v>
      </c>
      <c r="X5" s="105" t="s">
        <v>344</v>
      </c>
      <c r="Y5" s="103" t="s">
        <v>345</v>
      </c>
      <c r="Z5" s="105" t="s">
        <v>346</v>
      </c>
      <c r="AA5" s="103" t="s">
        <v>154</v>
      </c>
      <c r="AB5" s="103" t="s">
        <v>155</v>
      </c>
      <c r="AC5" s="103" t="s">
        <v>347</v>
      </c>
      <c r="AD5" s="103" t="s">
        <v>198</v>
      </c>
      <c r="AE5" s="103" t="s">
        <v>270</v>
      </c>
      <c r="AF5" s="103" t="s">
        <v>158</v>
      </c>
      <c r="AG5" s="114">
        <v>127.0</v>
      </c>
      <c r="AH5" s="115" t="s">
        <v>355</v>
      </c>
      <c r="AI5" s="124" t="s">
        <v>356</v>
      </c>
      <c r="AJ5" s="117">
        <f t="shared" si="1"/>
        <v>44396</v>
      </c>
      <c r="AK5" s="118">
        <f t="shared" si="2"/>
        <v>-318</v>
      </c>
      <c r="AL5" s="119" t="str">
        <f t="shared" si="3"/>
        <v>Reporte ok</v>
      </c>
      <c r="AM5" s="119"/>
      <c r="AN5" s="120"/>
    </row>
    <row r="6" ht="67.5" customHeight="1">
      <c r="A6" s="45"/>
      <c r="B6" s="103">
        <v>41.0</v>
      </c>
      <c r="C6" s="103" t="s">
        <v>335</v>
      </c>
      <c r="D6" s="103" t="s">
        <v>336</v>
      </c>
      <c r="E6" s="103" t="s">
        <v>337</v>
      </c>
      <c r="F6" s="104">
        <v>2.019011000276E12</v>
      </c>
      <c r="G6" s="105" t="s">
        <v>338</v>
      </c>
      <c r="H6" s="103" t="s">
        <v>350</v>
      </c>
      <c r="I6" s="103" t="s">
        <v>351</v>
      </c>
      <c r="J6" s="103" t="s">
        <v>357</v>
      </c>
      <c r="K6" s="106" t="s">
        <v>141</v>
      </c>
      <c r="L6" s="106" t="s">
        <v>121</v>
      </c>
      <c r="M6" s="106" t="s">
        <v>122</v>
      </c>
      <c r="N6" s="107" t="s">
        <v>358</v>
      </c>
      <c r="O6" s="108"/>
      <c r="P6" s="109">
        <v>3.0</v>
      </c>
      <c r="Q6" s="110" t="s">
        <v>359</v>
      </c>
      <c r="R6" s="111" t="s">
        <v>172</v>
      </c>
      <c r="S6" s="109">
        <v>0.0</v>
      </c>
      <c r="T6" s="109">
        <v>1.0</v>
      </c>
      <c r="U6" s="112">
        <v>1.0</v>
      </c>
      <c r="V6" s="112">
        <v>1.0</v>
      </c>
      <c r="W6" s="113" t="s">
        <v>336</v>
      </c>
      <c r="X6" s="105" t="s">
        <v>344</v>
      </c>
      <c r="Y6" s="103" t="s">
        <v>345</v>
      </c>
      <c r="Z6" s="105" t="s">
        <v>346</v>
      </c>
      <c r="AA6" s="103" t="s">
        <v>154</v>
      </c>
      <c r="AB6" s="103" t="s">
        <v>155</v>
      </c>
      <c r="AC6" s="103" t="s">
        <v>347</v>
      </c>
      <c r="AD6" s="103" t="s">
        <v>198</v>
      </c>
      <c r="AE6" s="103" t="s">
        <v>270</v>
      </c>
      <c r="AF6" s="103" t="s">
        <v>158</v>
      </c>
      <c r="AG6" s="114">
        <v>1.0</v>
      </c>
      <c r="AH6" s="115" t="s">
        <v>360</v>
      </c>
      <c r="AI6" s="124" t="s">
        <v>361</v>
      </c>
      <c r="AJ6" s="117">
        <f t="shared" si="1"/>
        <v>44396</v>
      </c>
      <c r="AK6" s="118">
        <f t="shared" si="2"/>
        <v>-318</v>
      </c>
      <c r="AL6" s="119" t="str">
        <f t="shared" si="3"/>
        <v>Reporte ok</v>
      </c>
      <c r="AM6" s="119"/>
      <c r="AN6" s="120"/>
    </row>
    <row r="7" ht="67.5" customHeight="1">
      <c r="A7" s="45"/>
      <c r="B7" s="103">
        <v>42.0</v>
      </c>
      <c r="C7" s="103" t="s">
        <v>335</v>
      </c>
      <c r="D7" s="103" t="s">
        <v>336</v>
      </c>
      <c r="E7" s="103" t="s">
        <v>337</v>
      </c>
      <c r="F7" s="104">
        <v>2.019011000276E12</v>
      </c>
      <c r="G7" s="105" t="s">
        <v>338</v>
      </c>
      <c r="H7" s="103" t="s">
        <v>350</v>
      </c>
      <c r="I7" s="103" t="s">
        <v>351</v>
      </c>
      <c r="J7" s="103" t="s">
        <v>362</v>
      </c>
      <c r="K7" s="106" t="s">
        <v>141</v>
      </c>
      <c r="L7" s="106" t="s">
        <v>121</v>
      </c>
      <c r="M7" s="106" t="s">
        <v>122</v>
      </c>
      <c r="N7" s="107" t="s">
        <v>363</v>
      </c>
      <c r="O7" s="108"/>
      <c r="P7" s="109">
        <v>1.0</v>
      </c>
      <c r="Q7" s="110" t="s">
        <v>364</v>
      </c>
      <c r="R7" s="111" t="s">
        <v>124</v>
      </c>
      <c r="S7" s="109">
        <v>0.0</v>
      </c>
      <c r="T7" s="109">
        <v>0.0</v>
      </c>
      <c r="U7" s="112">
        <v>1.0</v>
      </c>
      <c r="V7" s="112">
        <v>0.0</v>
      </c>
      <c r="W7" s="113" t="s">
        <v>336</v>
      </c>
      <c r="X7" s="105" t="s">
        <v>344</v>
      </c>
      <c r="Y7" s="103" t="s">
        <v>345</v>
      </c>
      <c r="Z7" s="105" t="s">
        <v>346</v>
      </c>
      <c r="AA7" s="103" t="s">
        <v>154</v>
      </c>
      <c r="AB7" s="103" t="s">
        <v>155</v>
      </c>
      <c r="AC7" s="103" t="s">
        <v>347</v>
      </c>
      <c r="AD7" s="103" t="s">
        <v>198</v>
      </c>
      <c r="AE7" s="103" t="s">
        <v>270</v>
      </c>
      <c r="AF7" s="103" t="s">
        <v>158</v>
      </c>
      <c r="AG7" s="114">
        <v>0.0</v>
      </c>
      <c r="AH7" s="115" t="s">
        <v>365</v>
      </c>
      <c r="AI7" s="125" t="s">
        <v>366</v>
      </c>
      <c r="AJ7" s="117">
        <f t="shared" si="1"/>
        <v>44396</v>
      </c>
      <c r="AK7" s="118">
        <f t="shared" si="2"/>
        <v>-318</v>
      </c>
      <c r="AL7" s="119" t="str">
        <f t="shared" si="3"/>
        <v>Reporte ok</v>
      </c>
      <c r="AM7" s="119"/>
      <c r="AN7" s="120"/>
    </row>
    <row r="8" ht="67.5" customHeight="1">
      <c r="A8" s="45"/>
      <c r="B8" s="103">
        <v>43.0</v>
      </c>
      <c r="C8" s="103" t="s">
        <v>335</v>
      </c>
      <c r="D8" s="103" t="s">
        <v>336</v>
      </c>
      <c r="E8" s="103" t="s">
        <v>337</v>
      </c>
      <c r="F8" s="104">
        <v>2.019011000276E12</v>
      </c>
      <c r="G8" s="105" t="s">
        <v>338</v>
      </c>
      <c r="H8" s="103" t="s">
        <v>350</v>
      </c>
      <c r="I8" s="103" t="s">
        <v>351</v>
      </c>
      <c r="J8" s="103" t="s">
        <v>367</v>
      </c>
      <c r="K8" s="106" t="s">
        <v>141</v>
      </c>
      <c r="L8" s="106" t="s">
        <v>121</v>
      </c>
      <c r="M8" s="106" t="s">
        <v>122</v>
      </c>
      <c r="N8" s="107" t="s">
        <v>368</v>
      </c>
      <c r="O8" s="108"/>
      <c r="P8" s="109">
        <v>12.0</v>
      </c>
      <c r="Q8" s="110" t="s">
        <v>369</v>
      </c>
      <c r="R8" s="111" t="s">
        <v>150</v>
      </c>
      <c r="S8" s="109">
        <v>3.0</v>
      </c>
      <c r="T8" s="109">
        <v>3.0</v>
      </c>
      <c r="U8" s="112">
        <v>3.0</v>
      </c>
      <c r="V8" s="112">
        <v>3.0</v>
      </c>
      <c r="W8" s="113" t="s">
        <v>336</v>
      </c>
      <c r="X8" s="105" t="s">
        <v>344</v>
      </c>
      <c r="Y8" s="103" t="s">
        <v>345</v>
      </c>
      <c r="Z8" s="105" t="s">
        <v>346</v>
      </c>
      <c r="AA8" s="103" t="s">
        <v>154</v>
      </c>
      <c r="AB8" s="103" t="s">
        <v>155</v>
      </c>
      <c r="AC8" s="103" t="s">
        <v>347</v>
      </c>
      <c r="AD8" s="103" t="s">
        <v>198</v>
      </c>
      <c r="AE8" s="103" t="s">
        <v>270</v>
      </c>
      <c r="AF8" s="103" t="s">
        <v>158</v>
      </c>
      <c r="AG8" s="114">
        <v>3.0</v>
      </c>
      <c r="AH8" s="115" t="s">
        <v>370</v>
      </c>
      <c r="AI8" s="124" t="s">
        <v>371</v>
      </c>
      <c r="AJ8" s="117">
        <f t="shared" si="1"/>
        <v>44396</v>
      </c>
      <c r="AK8" s="118">
        <f t="shared" si="2"/>
        <v>-318</v>
      </c>
      <c r="AL8" s="119" t="str">
        <f t="shared" si="3"/>
        <v>Reporte ok</v>
      </c>
      <c r="AM8" s="119"/>
      <c r="AN8" s="120"/>
    </row>
    <row r="9" ht="67.5" customHeight="1">
      <c r="A9" s="45"/>
      <c r="B9" s="103">
        <v>44.0</v>
      </c>
      <c r="C9" s="103" t="s">
        <v>335</v>
      </c>
      <c r="D9" s="103" t="s">
        <v>336</v>
      </c>
      <c r="E9" s="103" t="s">
        <v>372</v>
      </c>
      <c r="F9" s="104">
        <v>2.019011000275E12</v>
      </c>
      <c r="G9" s="105" t="s">
        <v>373</v>
      </c>
      <c r="H9" s="103" t="s">
        <v>374</v>
      </c>
      <c r="I9" s="103" t="s">
        <v>375</v>
      </c>
      <c r="J9" s="103" t="s">
        <v>376</v>
      </c>
      <c r="K9" s="106" t="s">
        <v>120</v>
      </c>
      <c r="L9" s="106" t="s">
        <v>121</v>
      </c>
      <c r="M9" s="106" t="s">
        <v>122</v>
      </c>
      <c r="N9" s="107" t="s">
        <v>377</v>
      </c>
      <c r="O9" s="108">
        <v>3.0</v>
      </c>
      <c r="P9" s="109">
        <v>5.0</v>
      </c>
      <c r="Q9" s="110" t="s">
        <v>378</v>
      </c>
      <c r="R9" s="111" t="s">
        <v>379</v>
      </c>
      <c r="S9" s="109">
        <v>1.0</v>
      </c>
      <c r="T9" s="109">
        <v>1.0</v>
      </c>
      <c r="U9" s="112">
        <v>2.0</v>
      </c>
      <c r="V9" s="112">
        <v>1.0</v>
      </c>
      <c r="W9" s="113" t="s">
        <v>336</v>
      </c>
      <c r="X9" s="105" t="s">
        <v>344</v>
      </c>
      <c r="Y9" s="103" t="s">
        <v>345</v>
      </c>
      <c r="Z9" s="105" t="s">
        <v>346</v>
      </c>
      <c r="AA9" s="103" t="s">
        <v>154</v>
      </c>
      <c r="AB9" s="103" t="s">
        <v>155</v>
      </c>
      <c r="AC9" s="103" t="s">
        <v>347</v>
      </c>
      <c r="AD9" s="103" t="s">
        <v>198</v>
      </c>
      <c r="AE9" s="103" t="s">
        <v>270</v>
      </c>
      <c r="AF9" s="103" t="s">
        <v>158</v>
      </c>
      <c r="AG9" s="114">
        <v>1.0</v>
      </c>
      <c r="AH9" s="115" t="s">
        <v>380</v>
      </c>
      <c r="AI9" s="124" t="s">
        <v>381</v>
      </c>
      <c r="AJ9" s="117">
        <f t="shared" si="1"/>
        <v>44396</v>
      </c>
      <c r="AK9" s="118">
        <f t="shared" si="2"/>
        <v>-318</v>
      </c>
      <c r="AL9" s="119" t="str">
        <f t="shared" si="3"/>
        <v>Reporte ok</v>
      </c>
      <c r="AM9" s="119"/>
      <c r="AN9" s="120"/>
    </row>
    <row r="10" ht="67.5" customHeight="1">
      <c r="A10" s="45"/>
      <c r="B10" s="103">
        <v>45.0</v>
      </c>
      <c r="C10" s="103" t="s">
        <v>335</v>
      </c>
      <c r="D10" s="103" t="s">
        <v>336</v>
      </c>
      <c r="E10" s="103" t="s">
        <v>337</v>
      </c>
      <c r="F10" s="104">
        <v>2.019011000276E12</v>
      </c>
      <c r="G10" s="105" t="s">
        <v>338</v>
      </c>
      <c r="H10" s="103" t="s">
        <v>350</v>
      </c>
      <c r="I10" s="103" t="s">
        <v>351</v>
      </c>
      <c r="J10" s="103" t="s">
        <v>357</v>
      </c>
      <c r="K10" s="106" t="s">
        <v>141</v>
      </c>
      <c r="L10" s="106" t="s">
        <v>121</v>
      </c>
      <c r="M10" s="106" t="s">
        <v>122</v>
      </c>
      <c r="N10" s="107" t="s">
        <v>382</v>
      </c>
      <c r="O10" s="108"/>
      <c r="P10" s="109">
        <v>8.0</v>
      </c>
      <c r="Q10" s="110" t="s">
        <v>383</v>
      </c>
      <c r="R10" s="111" t="s">
        <v>150</v>
      </c>
      <c r="S10" s="109">
        <v>1.0</v>
      </c>
      <c r="T10" s="109">
        <v>0.0</v>
      </c>
      <c r="U10" s="112">
        <v>4.0</v>
      </c>
      <c r="V10" s="112">
        <v>3.0</v>
      </c>
      <c r="W10" s="113" t="s">
        <v>336</v>
      </c>
      <c r="X10" s="105" t="s">
        <v>344</v>
      </c>
      <c r="Y10" s="103" t="s">
        <v>345</v>
      </c>
      <c r="Z10" s="105" t="s">
        <v>346</v>
      </c>
      <c r="AA10" s="103" t="s">
        <v>154</v>
      </c>
      <c r="AB10" s="103" t="s">
        <v>155</v>
      </c>
      <c r="AC10" s="103" t="s">
        <v>347</v>
      </c>
      <c r="AD10" s="103" t="s">
        <v>198</v>
      </c>
      <c r="AE10" s="103" t="s">
        <v>270</v>
      </c>
      <c r="AF10" s="103" t="s">
        <v>158</v>
      </c>
      <c r="AG10" s="114">
        <v>0.0</v>
      </c>
      <c r="AH10" s="115" t="s">
        <v>365</v>
      </c>
      <c r="AI10" s="125" t="s">
        <v>366</v>
      </c>
      <c r="AJ10" s="117">
        <f t="shared" si="1"/>
        <v>44396</v>
      </c>
      <c r="AK10" s="118">
        <f t="shared" si="2"/>
        <v>-318</v>
      </c>
      <c r="AL10" s="119" t="str">
        <f t="shared" si="3"/>
        <v>Reporte ok</v>
      </c>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2"/>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6"/>
    <hyperlink r:id="rId4" ref="AI8"/>
    <hyperlink r:id="rId5" ref="AI9"/>
  </hyperlinks>
  <printOptions gridLines="1" horizontalCentered="1"/>
  <pageMargins bottom="0.75" footer="0.0" header="0.0" left="0.7" right="0.7" top="0.75"/>
  <pageSetup cellComments="atEnd" orientation="portrait" pageOrder="overThenDown"/>
  <drawing r:id="rId6"/>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46.0</v>
      </c>
      <c r="C4" s="103" t="s">
        <v>384</v>
      </c>
      <c r="D4" s="103" t="s">
        <v>2</v>
      </c>
      <c r="E4" s="103" t="s">
        <v>115</v>
      </c>
      <c r="F4" s="104">
        <v>2.018011000241E12</v>
      </c>
      <c r="G4" s="105" t="s">
        <v>116</v>
      </c>
      <c r="H4" s="103" t="s">
        <v>138</v>
      </c>
      <c r="I4" s="103" t="s">
        <v>139</v>
      </c>
      <c r="J4" s="103" t="s">
        <v>140</v>
      </c>
      <c r="K4" s="106" t="s">
        <v>141</v>
      </c>
      <c r="L4" s="106" t="s">
        <v>121</v>
      </c>
      <c r="M4" s="106" t="s">
        <v>122</v>
      </c>
      <c r="N4" s="107" t="s">
        <v>385</v>
      </c>
      <c r="O4" s="108"/>
      <c r="P4" s="109">
        <v>12.0</v>
      </c>
      <c r="Q4" s="110" t="s">
        <v>386</v>
      </c>
      <c r="R4" s="111" t="s">
        <v>150</v>
      </c>
      <c r="S4" s="109">
        <v>3.0</v>
      </c>
      <c r="T4" s="109">
        <v>3.0</v>
      </c>
      <c r="U4" s="112">
        <v>3.0</v>
      </c>
      <c r="V4" s="112">
        <v>3.0</v>
      </c>
      <c r="W4" s="113" t="s">
        <v>2</v>
      </c>
      <c r="X4" s="105" t="s">
        <v>387</v>
      </c>
      <c r="Y4" s="103" t="s">
        <v>388</v>
      </c>
      <c r="Z4" s="105" t="s">
        <v>389</v>
      </c>
      <c r="AA4" s="103" t="s">
        <v>154</v>
      </c>
      <c r="AB4" s="103" t="s">
        <v>187</v>
      </c>
      <c r="AC4" s="103" t="s">
        <v>131</v>
      </c>
      <c r="AD4" s="103" t="s">
        <v>156</v>
      </c>
      <c r="AE4" s="103" t="s">
        <v>157</v>
      </c>
      <c r="AF4" s="103" t="s">
        <v>134</v>
      </c>
      <c r="AG4" s="114">
        <v>3.0</v>
      </c>
      <c r="AH4" s="115" t="s">
        <v>390</v>
      </c>
      <c r="AI4" s="124" t="s">
        <v>391</v>
      </c>
      <c r="AJ4" s="117">
        <f t="shared" ref="AJ4:AJ6" si="1">$AK$1</f>
        <v>44396</v>
      </c>
      <c r="AK4" s="118">
        <f t="shared" ref="AK4:AK6" si="2">AJ4-$AL$1</f>
        <v>-318</v>
      </c>
      <c r="AL4" s="119" t="str">
        <f t="shared" ref="AL4:AL6" si="3">IF(ISBLANK(AG4),"Pendiente Ejecución"&amp;CHAR(10),)&amp;IF(ISBLANK(AH4),"Pendiente Justificación"&amp;CHAR(10),)&amp;IF(ISBLANK(AI4),"Pendiente Evidencia",)&amp;IF(OR(ISBLANK(AG4),ISBLANK(AH4),ISBLANK(AI4)),,"Reporte ok")</f>
        <v>Reporte ok</v>
      </c>
      <c r="AM4" s="119"/>
      <c r="AN4" s="120"/>
    </row>
    <row r="5" ht="67.5" customHeight="1">
      <c r="A5" s="45"/>
      <c r="B5" s="103">
        <v>47.0</v>
      </c>
      <c r="C5" s="103" t="s">
        <v>384</v>
      </c>
      <c r="D5" s="103" t="s">
        <v>2</v>
      </c>
      <c r="E5" s="103" t="s">
        <v>115</v>
      </c>
      <c r="F5" s="104">
        <v>2.018011000241E12</v>
      </c>
      <c r="G5" s="105" t="s">
        <v>116</v>
      </c>
      <c r="H5" s="103" t="s">
        <v>138</v>
      </c>
      <c r="I5" s="103" t="s">
        <v>139</v>
      </c>
      <c r="J5" s="103" t="s">
        <v>140</v>
      </c>
      <c r="K5" s="106" t="s">
        <v>141</v>
      </c>
      <c r="L5" s="106" t="s">
        <v>121</v>
      </c>
      <c r="M5" s="106" t="s">
        <v>122</v>
      </c>
      <c r="N5" s="107" t="s">
        <v>392</v>
      </c>
      <c r="O5" s="108"/>
      <c r="P5" s="109">
        <v>12.0</v>
      </c>
      <c r="Q5" s="110" t="s">
        <v>386</v>
      </c>
      <c r="R5" s="111" t="s">
        <v>150</v>
      </c>
      <c r="S5" s="109">
        <v>3.0</v>
      </c>
      <c r="T5" s="109">
        <v>3.0</v>
      </c>
      <c r="U5" s="112">
        <v>3.0</v>
      </c>
      <c r="V5" s="112">
        <v>3.0</v>
      </c>
      <c r="W5" s="113" t="s">
        <v>2</v>
      </c>
      <c r="X5" s="105" t="s">
        <v>387</v>
      </c>
      <c r="Y5" s="103" t="s">
        <v>388</v>
      </c>
      <c r="Z5" s="105" t="s">
        <v>389</v>
      </c>
      <c r="AA5" s="103" t="s">
        <v>154</v>
      </c>
      <c r="AB5" s="103" t="s">
        <v>187</v>
      </c>
      <c r="AC5" s="103" t="s">
        <v>131</v>
      </c>
      <c r="AD5" s="103" t="s">
        <v>156</v>
      </c>
      <c r="AE5" s="103" t="s">
        <v>157</v>
      </c>
      <c r="AF5" s="103" t="s">
        <v>134</v>
      </c>
      <c r="AG5" s="114">
        <v>3.0</v>
      </c>
      <c r="AH5" s="115" t="s">
        <v>390</v>
      </c>
      <c r="AI5" s="124" t="s">
        <v>391</v>
      </c>
      <c r="AJ5" s="117">
        <f t="shared" si="1"/>
        <v>44396</v>
      </c>
      <c r="AK5" s="118">
        <f t="shared" si="2"/>
        <v>-318</v>
      </c>
      <c r="AL5" s="119" t="str">
        <f t="shared" si="3"/>
        <v>Reporte ok</v>
      </c>
      <c r="AM5" s="119"/>
      <c r="AN5" s="120"/>
    </row>
    <row r="6" ht="67.5" customHeight="1">
      <c r="A6" s="45"/>
      <c r="B6" s="103">
        <v>48.0</v>
      </c>
      <c r="C6" s="103" t="s">
        <v>384</v>
      </c>
      <c r="D6" s="103" t="s">
        <v>2</v>
      </c>
      <c r="E6" s="103" t="s">
        <v>115</v>
      </c>
      <c r="F6" s="104">
        <v>2.018011000241E12</v>
      </c>
      <c r="G6" s="105" t="s">
        <v>116</v>
      </c>
      <c r="H6" s="103" t="s">
        <v>138</v>
      </c>
      <c r="I6" s="103" t="s">
        <v>139</v>
      </c>
      <c r="J6" s="103" t="s">
        <v>140</v>
      </c>
      <c r="K6" s="106" t="s">
        <v>141</v>
      </c>
      <c r="L6" s="106" t="s">
        <v>121</v>
      </c>
      <c r="M6" s="106" t="s">
        <v>122</v>
      </c>
      <c r="N6" s="107" t="s">
        <v>393</v>
      </c>
      <c r="O6" s="108"/>
      <c r="P6" s="109">
        <v>12.0</v>
      </c>
      <c r="Q6" s="110" t="s">
        <v>394</v>
      </c>
      <c r="R6" s="111" t="s">
        <v>150</v>
      </c>
      <c r="S6" s="109">
        <v>3.0</v>
      </c>
      <c r="T6" s="109">
        <v>3.0</v>
      </c>
      <c r="U6" s="112">
        <v>3.0</v>
      </c>
      <c r="V6" s="112">
        <v>3.0</v>
      </c>
      <c r="W6" s="113" t="s">
        <v>2</v>
      </c>
      <c r="X6" s="105" t="s">
        <v>387</v>
      </c>
      <c r="Y6" s="103" t="s">
        <v>388</v>
      </c>
      <c r="Z6" s="105" t="s">
        <v>389</v>
      </c>
      <c r="AA6" s="103" t="s">
        <v>154</v>
      </c>
      <c r="AB6" s="103" t="s">
        <v>187</v>
      </c>
      <c r="AC6" s="103" t="s">
        <v>131</v>
      </c>
      <c r="AD6" s="103" t="s">
        <v>156</v>
      </c>
      <c r="AE6" s="103" t="s">
        <v>133</v>
      </c>
      <c r="AF6" s="103" t="s">
        <v>134</v>
      </c>
      <c r="AG6" s="114">
        <v>3.0</v>
      </c>
      <c r="AH6" s="115" t="s">
        <v>390</v>
      </c>
      <c r="AI6" s="124" t="s">
        <v>395</v>
      </c>
      <c r="AJ6" s="117">
        <f t="shared" si="1"/>
        <v>44396</v>
      </c>
      <c r="AK6" s="118">
        <f t="shared" si="2"/>
        <v>-318</v>
      </c>
      <c r="AL6" s="119" t="str">
        <f t="shared" si="3"/>
        <v>Reporte ok</v>
      </c>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8"/>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location="estados-financieros" ref="AI4"/>
    <hyperlink r:id="rId2" location="estados-financieros" ref="AI5"/>
    <hyperlink r:id="rId3" ref="AI6"/>
  </hyperlinks>
  <printOptions gridLines="1" horizontalCentered="1"/>
  <pageMargins bottom="0.75" footer="0.0" header="0.0" left="0.7" right="0.7" top="0.75"/>
  <pageSetup cellComments="atEnd" orientation="portrait" pageOrder="overThenDown"/>
  <drawing r:id="rId4"/>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49.0</v>
      </c>
      <c r="C4" s="103" t="s">
        <v>396</v>
      </c>
      <c r="D4" s="103" t="s">
        <v>397</v>
      </c>
      <c r="E4" s="103" t="s">
        <v>115</v>
      </c>
      <c r="F4" s="104">
        <v>2.018011000241E12</v>
      </c>
      <c r="G4" s="105" t="s">
        <v>116</v>
      </c>
      <c r="H4" s="103" t="s">
        <v>138</v>
      </c>
      <c r="I4" s="103" t="s">
        <v>398</v>
      </c>
      <c r="J4" s="103" t="s">
        <v>399</v>
      </c>
      <c r="K4" s="106" t="s">
        <v>141</v>
      </c>
      <c r="L4" s="106" t="s">
        <v>121</v>
      </c>
      <c r="M4" s="106" t="s">
        <v>122</v>
      </c>
      <c r="N4" s="107" t="s">
        <v>400</v>
      </c>
      <c r="O4" s="108"/>
      <c r="P4" s="109">
        <v>2.0</v>
      </c>
      <c r="Q4" s="110" t="s">
        <v>401</v>
      </c>
      <c r="R4" s="111" t="s">
        <v>177</v>
      </c>
      <c r="S4" s="109">
        <v>0.0</v>
      </c>
      <c r="T4" s="109">
        <v>1.0</v>
      </c>
      <c r="U4" s="112">
        <v>0.0</v>
      </c>
      <c r="V4" s="112">
        <v>1.0</v>
      </c>
      <c r="W4" s="113" t="s">
        <v>397</v>
      </c>
      <c r="X4" s="105" t="s">
        <v>126</v>
      </c>
      <c r="Y4" s="103" t="s">
        <v>402</v>
      </c>
      <c r="Z4" s="105" t="s">
        <v>128</v>
      </c>
      <c r="AA4" s="103" t="s">
        <v>403</v>
      </c>
      <c r="AB4" s="103" t="s">
        <v>404</v>
      </c>
      <c r="AC4" s="103" t="s">
        <v>131</v>
      </c>
      <c r="AD4" s="103" t="s">
        <v>156</v>
      </c>
      <c r="AE4" s="103" t="s">
        <v>397</v>
      </c>
      <c r="AF4" s="103" t="s">
        <v>134</v>
      </c>
      <c r="AG4" s="114">
        <v>1.0</v>
      </c>
      <c r="AH4" s="115" t="s">
        <v>405</v>
      </c>
      <c r="AI4" s="123" t="s">
        <v>406</v>
      </c>
      <c r="AJ4" s="117">
        <f t="shared" ref="AJ4:AJ6" si="1">$AK$1</f>
        <v>44396</v>
      </c>
      <c r="AK4" s="118">
        <f t="shared" ref="AK4:AK6" si="2">AJ4-$AL$1</f>
        <v>-318</v>
      </c>
      <c r="AL4" s="119" t="str">
        <f t="shared" ref="AL4:AL6" si="3">IF(ISBLANK(AG4),"Pendiente Ejecución"&amp;CHAR(10),)&amp;IF(ISBLANK(AH4),"Pendiente Justificación"&amp;CHAR(10),)&amp;IF(ISBLANK(AI4),"Pendiente Evidencia",)&amp;IF(OR(ISBLANK(AG4),ISBLANK(AH4),ISBLANK(AI4)),,"Reporte ok")</f>
        <v>Reporte ok</v>
      </c>
      <c r="AM4" s="119"/>
      <c r="AN4" s="120"/>
    </row>
    <row r="5" ht="67.5" customHeight="1">
      <c r="A5" s="45"/>
      <c r="B5" s="103">
        <v>50.0</v>
      </c>
      <c r="C5" s="103" t="s">
        <v>396</v>
      </c>
      <c r="D5" s="103" t="s">
        <v>397</v>
      </c>
      <c r="E5" s="103" t="s">
        <v>115</v>
      </c>
      <c r="F5" s="104">
        <v>2.018011000241E12</v>
      </c>
      <c r="G5" s="105" t="s">
        <v>116</v>
      </c>
      <c r="H5" s="103" t="s">
        <v>138</v>
      </c>
      <c r="I5" s="103" t="s">
        <v>398</v>
      </c>
      <c r="J5" s="103" t="s">
        <v>399</v>
      </c>
      <c r="K5" s="106" t="s">
        <v>141</v>
      </c>
      <c r="L5" s="106" t="s">
        <v>121</v>
      </c>
      <c r="M5" s="106" t="s">
        <v>122</v>
      </c>
      <c r="N5" s="107" t="s">
        <v>400</v>
      </c>
      <c r="O5" s="108"/>
      <c r="P5" s="109">
        <v>2.0</v>
      </c>
      <c r="Q5" s="110" t="s">
        <v>407</v>
      </c>
      <c r="R5" s="111" t="s">
        <v>177</v>
      </c>
      <c r="S5" s="109">
        <v>0.0</v>
      </c>
      <c r="T5" s="109">
        <v>1.0</v>
      </c>
      <c r="U5" s="112">
        <v>0.0</v>
      </c>
      <c r="V5" s="112">
        <v>1.0</v>
      </c>
      <c r="W5" s="113" t="s">
        <v>397</v>
      </c>
      <c r="X5" s="105" t="s">
        <v>126</v>
      </c>
      <c r="Y5" s="103" t="s">
        <v>402</v>
      </c>
      <c r="Z5" s="105" t="s">
        <v>128</v>
      </c>
      <c r="AA5" s="103" t="s">
        <v>403</v>
      </c>
      <c r="AB5" s="103" t="s">
        <v>404</v>
      </c>
      <c r="AC5" s="103" t="s">
        <v>131</v>
      </c>
      <c r="AD5" s="103" t="s">
        <v>156</v>
      </c>
      <c r="AE5" s="103" t="s">
        <v>397</v>
      </c>
      <c r="AF5" s="103" t="s">
        <v>134</v>
      </c>
      <c r="AG5" s="114">
        <v>1.0</v>
      </c>
      <c r="AH5" s="115" t="s">
        <v>408</v>
      </c>
      <c r="AI5" s="123" t="s">
        <v>409</v>
      </c>
      <c r="AJ5" s="117">
        <f t="shared" si="1"/>
        <v>44396</v>
      </c>
      <c r="AK5" s="118">
        <f t="shared" si="2"/>
        <v>-318</v>
      </c>
      <c r="AL5" s="119" t="str">
        <f t="shared" si="3"/>
        <v>Reporte ok</v>
      </c>
      <c r="AM5" s="119"/>
      <c r="AN5" s="120"/>
    </row>
    <row r="6" ht="67.5" customHeight="1">
      <c r="A6" s="45"/>
      <c r="B6" s="103">
        <v>51.0</v>
      </c>
      <c r="C6" s="103" t="s">
        <v>396</v>
      </c>
      <c r="D6" s="103" t="s">
        <v>397</v>
      </c>
      <c r="E6" s="103" t="s">
        <v>115</v>
      </c>
      <c r="F6" s="104">
        <v>2.018011000241E12</v>
      </c>
      <c r="G6" s="105" t="s">
        <v>116</v>
      </c>
      <c r="H6" s="103" t="s">
        <v>138</v>
      </c>
      <c r="I6" s="103" t="s">
        <v>398</v>
      </c>
      <c r="J6" s="103" t="s">
        <v>399</v>
      </c>
      <c r="K6" s="106" t="s">
        <v>141</v>
      </c>
      <c r="L6" s="106" t="s">
        <v>121</v>
      </c>
      <c r="M6" s="106" t="s">
        <v>122</v>
      </c>
      <c r="N6" s="107" t="s">
        <v>400</v>
      </c>
      <c r="O6" s="108"/>
      <c r="P6" s="109">
        <v>4.0</v>
      </c>
      <c r="Q6" s="110" t="s">
        <v>410</v>
      </c>
      <c r="R6" s="111" t="s">
        <v>172</v>
      </c>
      <c r="S6" s="109">
        <v>1.0</v>
      </c>
      <c r="T6" s="109">
        <v>1.0</v>
      </c>
      <c r="U6" s="112">
        <v>1.0</v>
      </c>
      <c r="V6" s="112">
        <v>1.0</v>
      </c>
      <c r="W6" s="113" t="s">
        <v>397</v>
      </c>
      <c r="X6" s="105" t="s">
        <v>126</v>
      </c>
      <c r="Y6" s="103" t="s">
        <v>402</v>
      </c>
      <c r="Z6" s="105" t="s">
        <v>128</v>
      </c>
      <c r="AA6" s="103" t="s">
        <v>403</v>
      </c>
      <c r="AB6" s="103" t="s">
        <v>404</v>
      </c>
      <c r="AC6" s="103" t="s">
        <v>131</v>
      </c>
      <c r="AD6" s="103" t="s">
        <v>156</v>
      </c>
      <c r="AE6" s="103" t="s">
        <v>397</v>
      </c>
      <c r="AF6" s="103" t="s">
        <v>134</v>
      </c>
      <c r="AG6" s="114">
        <v>1.0</v>
      </c>
      <c r="AH6" s="115" t="s">
        <v>411</v>
      </c>
      <c r="AI6" s="123" t="s">
        <v>412</v>
      </c>
      <c r="AJ6" s="117">
        <f t="shared" si="1"/>
        <v>44396</v>
      </c>
      <c r="AK6" s="118">
        <f t="shared" si="2"/>
        <v>-318</v>
      </c>
      <c r="AL6" s="119" t="str">
        <f t="shared" si="3"/>
        <v>Reporte ok</v>
      </c>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8"/>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conditionalFormatting sqref="AK4:AK8">
    <cfRule type="cellIs" dxfId="2" priority="3" operator="greaterThan">
      <formula>0</formula>
    </cfRule>
  </conditionalFormatting>
  <conditionalFormatting sqref="AK4:AK8">
    <cfRule type="cellIs" dxfId="3" priority="4"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6"/>
  </hyperlinks>
  <printOptions gridLines="1" horizontalCentered="1"/>
  <pageMargins bottom="0.75" footer="0.0" header="0.0" left="0.7" right="0.7" top="0.75"/>
  <pageSetup cellComments="atEnd" orientation="portrait" pageOrder="overThenDown"/>
  <drawing r:id="rId4"/>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8.0"/>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52.0</v>
      </c>
      <c r="C4" s="103" t="s">
        <v>413</v>
      </c>
      <c r="D4" s="103" t="s">
        <v>414</v>
      </c>
      <c r="E4" s="103" t="s">
        <v>115</v>
      </c>
      <c r="F4" s="104">
        <v>2.018011000241E12</v>
      </c>
      <c r="G4" s="105" t="s">
        <v>116</v>
      </c>
      <c r="H4" s="103" t="s">
        <v>138</v>
      </c>
      <c r="I4" s="103" t="s">
        <v>139</v>
      </c>
      <c r="J4" s="103" t="s">
        <v>140</v>
      </c>
      <c r="K4" s="106" t="s">
        <v>141</v>
      </c>
      <c r="L4" s="106" t="s">
        <v>290</v>
      </c>
      <c r="M4" s="106" t="s">
        <v>142</v>
      </c>
      <c r="N4" s="107" t="s">
        <v>415</v>
      </c>
      <c r="O4" s="108"/>
      <c r="P4" s="121">
        <v>1.0</v>
      </c>
      <c r="Q4" s="110" t="s">
        <v>416</v>
      </c>
      <c r="R4" s="111" t="s">
        <v>172</v>
      </c>
      <c r="S4" s="121">
        <v>1.0</v>
      </c>
      <c r="T4" s="121">
        <v>1.0</v>
      </c>
      <c r="U4" s="121">
        <v>1.0</v>
      </c>
      <c r="V4" s="121">
        <v>1.0</v>
      </c>
      <c r="W4" s="113" t="s">
        <v>417</v>
      </c>
      <c r="X4" s="105" t="s">
        <v>418</v>
      </c>
      <c r="Y4" s="103" t="s">
        <v>419</v>
      </c>
      <c r="Z4" s="105" t="s">
        <v>420</v>
      </c>
      <c r="AA4" s="103" t="s">
        <v>154</v>
      </c>
      <c r="AB4" s="103" t="s">
        <v>155</v>
      </c>
      <c r="AC4" s="103" t="s">
        <v>269</v>
      </c>
      <c r="AD4" s="103" t="s">
        <v>198</v>
      </c>
      <c r="AE4" s="103" t="s">
        <v>421</v>
      </c>
      <c r="AF4" s="103" t="s">
        <v>134</v>
      </c>
      <c r="AG4" s="122">
        <v>1.0</v>
      </c>
      <c r="AH4" s="132" t="s">
        <v>422</v>
      </c>
      <c r="AI4" s="123" t="s">
        <v>423</v>
      </c>
      <c r="AJ4" s="117">
        <f t="shared" ref="AJ4:AJ8" si="1">$AK$1</f>
        <v>44396</v>
      </c>
      <c r="AK4" s="118">
        <f t="shared" ref="AK4:AK8" si="2">AJ4-$AL$1</f>
        <v>-318</v>
      </c>
      <c r="AL4" s="119" t="str">
        <f t="shared" ref="AL4:AL8" si="3">IF(ISBLANK(AG4),"Pendiente Ejecución"&amp;CHAR(10),)&amp;IF(ISBLANK(AH4),"Pendiente Justificación"&amp;CHAR(10),)&amp;IF(ISBLANK(AI4),"Pendiente Evidencia",)&amp;IF(OR(ISBLANK(AG4),ISBLANK(AH4),ISBLANK(AI4)),,"Reporte ok")</f>
        <v>Reporte ok</v>
      </c>
      <c r="AM4" s="119"/>
      <c r="AN4" s="120"/>
    </row>
    <row r="5" ht="67.5" customHeight="1">
      <c r="A5" s="45"/>
      <c r="B5" s="103">
        <v>53.0</v>
      </c>
      <c r="C5" s="103" t="s">
        <v>413</v>
      </c>
      <c r="D5" s="103" t="s">
        <v>414</v>
      </c>
      <c r="E5" s="103" t="s">
        <v>115</v>
      </c>
      <c r="F5" s="104">
        <v>2.018011000241E12</v>
      </c>
      <c r="G5" s="105" t="s">
        <v>116</v>
      </c>
      <c r="H5" s="103" t="s">
        <v>138</v>
      </c>
      <c r="I5" s="103" t="s">
        <v>139</v>
      </c>
      <c r="J5" s="103" t="s">
        <v>140</v>
      </c>
      <c r="K5" s="106" t="s">
        <v>141</v>
      </c>
      <c r="L5" s="106" t="s">
        <v>121</v>
      </c>
      <c r="M5" s="106" t="s">
        <v>142</v>
      </c>
      <c r="N5" s="107" t="s">
        <v>424</v>
      </c>
      <c r="O5" s="108"/>
      <c r="P5" s="121">
        <v>1.0</v>
      </c>
      <c r="Q5" s="110" t="s">
        <v>425</v>
      </c>
      <c r="R5" s="111" t="s">
        <v>172</v>
      </c>
      <c r="S5" s="121">
        <v>1.0</v>
      </c>
      <c r="T5" s="121">
        <v>1.0</v>
      </c>
      <c r="U5" s="121">
        <v>1.0</v>
      </c>
      <c r="V5" s="121">
        <v>1.0</v>
      </c>
      <c r="W5" s="113" t="s">
        <v>417</v>
      </c>
      <c r="X5" s="105" t="s">
        <v>418</v>
      </c>
      <c r="Y5" s="103" t="s">
        <v>419</v>
      </c>
      <c r="Z5" s="105" t="s">
        <v>420</v>
      </c>
      <c r="AA5" s="103" t="s">
        <v>154</v>
      </c>
      <c r="AB5" s="103" t="s">
        <v>155</v>
      </c>
      <c r="AC5" s="103" t="s">
        <v>347</v>
      </c>
      <c r="AD5" s="103" t="s">
        <v>198</v>
      </c>
      <c r="AE5" s="103" t="s">
        <v>421</v>
      </c>
      <c r="AF5" s="103" t="s">
        <v>134</v>
      </c>
      <c r="AG5" s="122">
        <v>1.0</v>
      </c>
      <c r="AH5" s="132" t="s">
        <v>426</v>
      </c>
      <c r="AI5" s="123" t="s">
        <v>423</v>
      </c>
      <c r="AJ5" s="117">
        <f t="shared" si="1"/>
        <v>44396</v>
      </c>
      <c r="AK5" s="118">
        <f t="shared" si="2"/>
        <v>-318</v>
      </c>
      <c r="AL5" s="119" t="str">
        <f t="shared" si="3"/>
        <v>Reporte ok</v>
      </c>
      <c r="AM5" s="119"/>
      <c r="AN5" s="120"/>
    </row>
    <row r="6" ht="67.5" customHeight="1">
      <c r="A6" s="45"/>
      <c r="B6" s="103">
        <v>54.0</v>
      </c>
      <c r="C6" s="103" t="s">
        <v>413</v>
      </c>
      <c r="D6" s="103" t="s">
        <v>414</v>
      </c>
      <c r="E6" s="103" t="s">
        <v>115</v>
      </c>
      <c r="F6" s="104">
        <v>2.018011000241E12</v>
      </c>
      <c r="G6" s="105" t="s">
        <v>116</v>
      </c>
      <c r="H6" s="103" t="s">
        <v>138</v>
      </c>
      <c r="I6" s="103" t="s">
        <v>139</v>
      </c>
      <c r="J6" s="103" t="s">
        <v>140</v>
      </c>
      <c r="K6" s="106" t="s">
        <v>141</v>
      </c>
      <c r="L6" s="106" t="s">
        <v>121</v>
      </c>
      <c r="M6" s="106" t="s">
        <v>142</v>
      </c>
      <c r="N6" s="107" t="s">
        <v>427</v>
      </c>
      <c r="O6" s="108"/>
      <c r="P6" s="121">
        <v>1.0</v>
      </c>
      <c r="Q6" s="110" t="s">
        <v>428</v>
      </c>
      <c r="R6" s="111" t="s">
        <v>172</v>
      </c>
      <c r="S6" s="121">
        <v>1.0</v>
      </c>
      <c r="T6" s="121">
        <v>1.0</v>
      </c>
      <c r="U6" s="121">
        <v>1.0</v>
      </c>
      <c r="V6" s="121">
        <v>1.0</v>
      </c>
      <c r="W6" s="113" t="s">
        <v>417</v>
      </c>
      <c r="X6" s="105" t="s">
        <v>418</v>
      </c>
      <c r="Y6" s="103" t="s">
        <v>419</v>
      </c>
      <c r="Z6" s="105" t="s">
        <v>420</v>
      </c>
      <c r="AA6" s="103" t="s">
        <v>154</v>
      </c>
      <c r="AB6" s="103" t="s">
        <v>155</v>
      </c>
      <c r="AC6" s="103" t="s">
        <v>269</v>
      </c>
      <c r="AD6" s="103" t="s">
        <v>198</v>
      </c>
      <c r="AE6" s="103" t="s">
        <v>421</v>
      </c>
      <c r="AF6" s="103" t="s">
        <v>134</v>
      </c>
      <c r="AG6" s="122">
        <v>1.0</v>
      </c>
      <c r="AH6" s="132" t="s">
        <v>429</v>
      </c>
      <c r="AI6" s="123" t="s">
        <v>423</v>
      </c>
      <c r="AJ6" s="117">
        <f t="shared" si="1"/>
        <v>44396</v>
      </c>
      <c r="AK6" s="118">
        <f t="shared" si="2"/>
        <v>-318</v>
      </c>
      <c r="AL6" s="119" t="str">
        <f t="shared" si="3"/>
        <v>Reporte ok</v>
      </c>
      <c r="AM6" s="119"/>
      <c r="AN6" s="120"/>
    </row>
    <row r="7" ht="67.5" customHeight="1">
      <c r="A7" s="45"/>
      <c r="B7" s="103">
        <v>55.0</v>
      </c>
      <c r="C7" s="103" t="s">
        <v>413</v>
      </c>
      <c r="D7" s="103" t="s">
        <v>414</v>
      </c>
      <c r="E7" s="103" t="s">
        <v>258</v>
      </c>
      <c r="F7" s="104">
        <v>2.01901100028E12</v>
      </c>
      <c r="G7" s="105" t="s">
        <v>259</v>
      </c>
      <c r="H7" s="103" t="s">
        <v>278</v>
      </c>
      <c r="I7" s="103" t="s">
        <v>279</v>
      </c>
      <c r="J7" s="103" t="s">
        <v>280</v>
      </c>
      <c r="K7" s="106" t="s">
        <v>141</v>
      </c>
      <c r="L7" s="106" t="s">
        <v>121</v>
      </c>
      <c r="M7" s="106" t="s">
        <v>142</v>
      </c>
      <c r="N7" s="107" t="s">
        <v>430</v>
      </c>
      <c r="O7" s="108"/>
      <c r="P7" s="121">
        <v>1.0</v>
      </c>
      <c r="Q7" s="110" t="s">
        <v>431</v>
      </c>
      <c r="R7" s="111" t="s">
        <v>172</v>
      </c>
      <c r="S7" s="121">
        <v>1.0</v>
      </c>
      <c r="T7" s="121">
        <v>1.0</v>
      </c>
      <c r="U7" s="121">
        <v>1.0</v>
      </c>
      <c r="V7" s="121">
        <v>1.0</v>
      </c>
      <c r="W7" s="113" t="s">
        <v>417</v>
      </c>
      <c r="X7" s="105" t="s">
        <v>418</v>
      </c>
      <c r="Y7" s="103" t="s">
        <v>419</v>
      </c>
      <c r="Z7" s="105" t="s">
        <v>420</v>
      </c>
      <c r="AA7" s="103" t="s">
        <v>154</v>
      </c>
      <c r="AB7" s="103" t="s">
        <v>155</v>
      </c>
      <c r="AC7" s="103" t="s">
        <v>269</v>
      </c>
      <c r="AD7" s="103" t="s">
        <v>198</v>
      </c>
      <c r="AE7" s="103" t="s">
        <v>421</v>
      </c>
      <c r="AF7" s="103" t="s">
        <v>134</v>
      </c>
      <c r="AG7" s="122">
        <v>1.0</v>
      </c>
      <c r="AH7" s="132" t="s">
        <v>432</v>
      </c>
      <c r="AI7" s="124" t="s">
        <v>433</v>
      </c>
      <c r="AJ7" s="117">
        <f t="shared" si="1"/>
        <v>44396</v>
      </c>
      <c r="AK7" s="118">
        <f t="shared" si="2"/>
        <v>-318</v>
      </c>
      <c r="AL7" s="119" t="str">
        <f t="shared" si="3"/>
        <v>Reporte ok</v>
      </c>
      <c r="AM7" s="119"/>
      <c r="AN7" s="120"/>
    </row>
    <row r="8" ht="67.5" customHeight="1">
      <c r="A8" s="45"/>
      <c r="B8" s="103">
        <v>56.0</v>
      </c>
      <c r="C8" s="103" t="s">
        <v>413</v>
      </c>
      <c r="D8" s="103" t="s">
        <v>414</v>
      </c>
      <c r="E8" s="103" t="s">
        <v>115</v>
      </c>
      <c r="F8" s="104">
        <v>2.018011000241E12</v>
      </c>
      <c r="G8" s="105" t="s">
        <v>116</v>
      </c>
      <c r="H8" s="103" t="s">
        <v>138</v>
      </c>
      <c r="I8" s="103" t="s">
        <v>139</v>
      </c>
      <c r="J8" s="103" t="s">
        <v>140</v>
      </c>
      <c r="K8" s="106" t="s">
        <v>141</v>
      </c>
      <c r="L8" s="106" t="s">
        <v>121</v>
      </c>
      <c r="M8" s="106" t="s">
        <v>142</v>
      </c>
      <c r="N8" s="107" t="s">
        <v>434</v>
      </c>
      <c r="O8" s="108"/>
      <c r="P8" s="121">
        <v>1.0</v>
      </c>
      <c r="Q8" s="110" t="s">
        <v>435</v>
      </c>
      <c r="R8" s="111" t="s">
        <v>172</v>
      </c>
      <c r="S8" s="121">
        <v>1.0</v>
      </c>
      <c r="T8" s="121">
        <v>1.0</v>
      </c>
      <c r="U8" s="121">
        <v>1.0</v>
      </c>
      <c r="V8" s="121">
        <v>1.0</v>
      </c>
      <c r="W8" s="113" t="s">
        <v>417</v>
      </c>
      <c r="X8" s="105" t="s">
        <v>418</v>
      </c>
      <c r="Y8" s="103" t="s">
        <v>419</v>
      </c>
      <c r="Z8" s="105" t="s">
        <v>420</v>
      </c>
      <c r="AA8" s="103" t="s">
        <v>154</v>
      </c>
      <c r="AB8" s="103" t="s">
        <v>155</v>
      </c>
      <c r="AC8" s="103" t="s">
        <v>269</v>
      </c>
      <c r="AD8" s="103" t="s">
        <v>198</v>
      </c>
      <c r="AE8" s="103" t="s">
        <v>421</v>
      </c>
      <c r="AF8" s="103" t="s">
        <v>134</v>
      </c>
      <c r="AG8" s="122">
        <v>1.0</v>
      </c>
      <c r="AH8" s="132" t="s">
        <v>436</v>
      </c>
      <c r="AI8" s="124" t="s">
        <v>437</v>
      </c>
      <c r="AJ8" s="117">
        <f t="shared" si="1"/>
        <v>44396</v>
      </c>
      <c r="AK8" s="118">
        <f t="shared" si="2"/>
        <v>-318</v>
      </c>
      <c r="AL8" s="119" t="str">
        <f t="shared" si="3"/>
        <v>Reporte ok</v>
      </c>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5"/>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6"/>
    <hyperlink r:id="rId4" ref="AI7"/>
    <hyperlink r:id="rId5" ref="AI8"/>
  </hyperlinks>
  <printOptions gridLines="1" horizontalCentered="1"/>
  <pageMargins bottom="0.75" footer="0.0" header="0.0" left="0.7" right="0.7" top="0.75"/>
  <pageSetup cellComments="atEnd" orientation="portrait" pageOrder="overThenDown"/>
  <drawing r:id="rId6"/>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57.0</v>
      </c>
      <c r="C4" s="103" t="s">
        <v>438</v>
      </c>
      <c r="D4" s="103" t="s">
        <v>439</v>
      </c>
      <c r="E4" s="103" t="s">
        <v>440</v>
      </c>
      <c r="F4" s="104">
        <v>2.019011000277E12</v>
      </c>
      <c r="G4" s="105" t="s">
        <v>441</v>
      </c>
      <c r="H4" s="103" t="s">
        <v>442</v>
      </c>
      <c r="I4" s="103" t="s">
        <v>443</v>
      </c>
      <c r="J4" s="103" t="s">
        <v>444</v>
      </c>
      <c r="K4" s="106" t="s">
        <v>120</v>
      </c>
      <c r="L4" s="106" t="s">
        <v>121</v>
      </c>
      <c r="M4" s="106" t="s">
        <v>122</v>
      </c>
      <c r="N4" s="107" t="s">
        <v>445</v>
      </c>
      <c r="O4" s="108">
        <v>3.0</v>
      </c>
      <c r="P4" s="109">
        <v>3.0</v>
      </c>
      <c r="Q4" s="110" t="s">
        <v>446</v>
      </c>
      <c r="R4" s="111" t="s">
        <v>124</v>
      </c>
      <c r="S4" s="109">
        <v>0.0</v>
      </c>
      <c r="T4" s="109">
        <v>0.0</v>
      </c>
      <c r="U4" s="112">
        <v>0.0</v>
      </c>
      <c r="V4" s="112">
        <v>3.0</v>
      </c>
      <c r="W4" s="113" t="s">
        <v>439</v>
      </c>
      <c r="X4" s="105" t="s">
        <v>447</v>
      </c>
      <c r="Y4" s="103" t="s">
        <v>448</v>
      </c>
      <c r="Z4" s="105" t="s">
        <v>449</v>
      </c>
      <c r="AA4" s="103" t="s">
        <v>450</v>
      </c>
      <c r="AB4" s="103" t="s">
        <v>155</v>
      </c>
      <c r="AC4" s="103" t="s">
        <v>347</v>
      </c>
      <c r="AD4" s="103" t="s">
        <v>451</v>
      </c>
      <c r="AE4" s="103" t="s">
        <v>452</v>
      </c>
      <c r="AF4" s="103" t="s">
        <v>158</v>
      </c>
      <c r="AG4" s="114">
        <v>0.0</v>
      </c>
      <c r="AH4" s="115" t="s">
        <v>453</v>
      </c>
      <c r="AI4" s="116"/>
      <c r="AJ4" s="117">
        <f t="shared" ref="AJ4:AJ15" si="1">$AK$1</f>
        <v>44396</v>
      </c>
      <c r="AK4" s="118">
        <f t="shared" ref="AK4:AK15" si="2">AJ4-$AL$1</f>
        <v>-318</v>
      </c>
      <c r="AL4" s="119" t="str">
        <f t="shared" ref="AL4:AL15" si="3">IF(ISBLANK(AG4),"Pendiente Ejecución"&amp;CHAR(10),)&amp;IF(ISBLANK(AH4),"Pendiente Justificación"&amp;CHAR(10),)&amp;IF(ISBLANK(AI4),"Pendiente Evidencia",)&amp;IF(OR(ISBLANK(AG4),ISBLANK(AH4),ISBLANK(AI4)),,"Reporte ok")</f>
        <v>Pendiente Evidencia</v>
      </c>
      <c r="AM4" s="119"/>
      <c r="AN4" s="120"/>
    </row>
    <row r="5" ht="67.5" customHeight="1">
      <c r="A5" s="45"/>
      <c r="B5" s="103">
        <v>58.0</v>
      </c>
      <c r="C5" s="103" t="s">
        <v>438</v>
      </c>
      <c r="D5" s="103" t="s">
        <v>439</v>
      </c>
      <c r="E5" s="103" t="s">
        <v>440</v>
      </c>
      <c r="F5" s="104">
        <v>2.019011000277E12</v>
      </c>
      <c r="G5" s="105" t="s">
        <v>441</v>
      </c>
      <c r="H5" s="103" t="s">
        <v>442</v>
      </c>
      <c r="I5" s="103" t="s">
        <v>443</v>
      </c>
      <c r="J5" s="103" t="s">
        <v>454</v>
      </c>
      <c r="K5" s="106" t="s">
        <v>120</v>
      </c>
      <c r="L5" s="106" t="s">
        <v>121</v>
      </c>
      <c r="M5" s="106" t="s">
        <v>122</v>
      </c>
      <c r="N5" s="107" t="s">
        <v>445</v>
      </c>
      <c r="O5" s="108">
        <v>3.0</v>
      </c>
      <c r="P5" s="109">
        <v>3.0</v>
      </c>
      <c r="Q5" s="110" t="s">
        <v>446</v>
      </c>
      <c r="R5" s="111" t="s">
        <v>124</v>
      </c>
      <c r="S5" s="109">
        <v>0.0</v>
      </c>
      <c r="T5" s="109">
        <v>0.0</v>
      </c>
      <c r="U5" s="112">
        <v>0.0</v>
      </c>
      <c r="V5" s="112">
        <v>3.0</v>
      </c>
      <c r="W5" s="113" t="s">
        <v>439</v>
      </c>
      <c r="X5" s="105" t="s">
        <v>447</v>
      </c>
      <c r="Y5" s="103" t="s">
        <v>448</v>
      </c>
      <c r="Z5" s="105" t="s">
        <v>449</v>
      </c>
      <c r="AA5" s="103" t="s">
        <v>450</v>
      </c>
      <c r="AB5" s="103" t="s">
        <v>155</v>
      </c>
      <c r="AC5" s="103" t="s">
        <v>347</v>
      </c>
      <c r="AD5" s="103" t="s">
        <v>451</v>
      </c>
      <c r="AE5" s="103" t="s">
        <v>452</v>
      </c>
      <c r="AF5" s="103" t="s">
        <v>158</v>
      </c>
      <c r="AG5" s="114">
        <v>0.0</v>
      </c>
      <c r="AH5" s="115" t="s">
        <v>453</v>
      </c>
      <c r="AI5" s="116"/>
      <c r="AJ5" s="117">
        <f t="shared" si="1"/>
        <v>44396</v>
      </c>
      <c r="AK5" s="118">
        <f t="shared" si="2"/>
        <v>-318</v>
      </c>
      <c r="AL5" s="119" t="str">
        <f t="shared" si="3"/>
        <v>Pendiente Evidencia</v>
      </c>
      <c r="AM5" s="119"/>
      <c r="AN5" s="120"/>
    </row>
    <row r="6" ht="67.5" customHeight="1">
      <c r="A6" s="45"/>
      <c r="B6" s="103">
        <v>59.0</v>
      </c>
      <c r="C6" s="103" t="s">
        <v>438</v>
      </c>
      <c r="D6" s="103" t="s">
        <v>439</v>
      </c>
      <c r="E6" s="103" t="s">
        <v>440</v>
      </c>
      <c r="F6" s="104">
        <v>2.019011000277E12</v>
      </c>
      <c r="G6" s="105" t="s">
        <v>441</v>
      </c>
      <c r="H6" s="103" t="s">
        <v>442</v>
      </c>
      <c r="I6" s="103" t="s">
        <v>443</v>
      </c>
      <c r="J6" s="103" t="s">
        <v>454</v>
      </c>
      <c r="K6" s="106" t="s">
        <v>141</v>
      </c>
      <c r="L6" s="106" t="s">
        <v>121</v>
      </c>
      <c r="M6" s="106" t="s">
        <v>142</v>
      </c>
      <c r="N6" s="107" t="s">
        <v>455</v>
      </c>
      <c r="O6" s="108">
        <v>1.0</v>
      </c>
      <c r="P6" s="121">
        <v>1.0</v>
      </c>
      <c r="Q6" s="110" t="s">
        <v>456</v>
      </c>
      <c r="R6" s="111" t="s">
        <v>172</v>
      </c>
      <c r="S6" s="121">
        <v>1.0</v>
      </c>
      <c r="T6" s="121">
        <v>1.0</v>
      </c>
      <c r="U6" s="121">
        <v>1.0</v>
      </c>
      <c r="V6" s="121">
        <v>1.0</v>
      </c>
      <c r="W6" s="113" t="s">
        <v>439</v>
      </c>
      <c r="X6" s="105" t="s">
        <v>447</v>
      </c>
      <c r="Y6" s="103" t="s">
        <v>448</v>
      </c>
      <c r="Z6" s="105" t="s">
        <v>449</v>
      </c>
      <c r="AA6" s="103" t="s">
        <v>450</v>
      </c>
      <c r="AB6" s="103" t="s">
        <v>155</v>
      </c>
      <c r="AC6" s="103" t="s">
        <v>347</v>
      </c>
      <c r="AD6" s="103" t="s">
        <v>451</v>
      </c>
      <c r="AE6" s="103" t="s">
        <v>452</v>
      </c>
      <c r="AF6" s="103" t="s">
        <v>158</v>
      </c>
      <c r="AG6" s="122">
        <v>1.0</v>
      </c>
      <c r="AH6" s="115" t="s">
        <v>457</v>
      </c>
      <c r="AI6" s="133" t="s">
        <v>458</v>
      </c>
      <c r="AJ6" s="117">
        <f t="shared" si="1"/>
        <v>44396</v>
      </c>
      <c r="AK6" s="118">
        <f t="shared" si="2"/>
        <v>-318</v>
      </c>
      <c r="AL6" s="119" t="str">
        <f t="shared" si="3"/>
        <v>Reporte ok</v>
      </c>
      <c r="AM6" s="119"/>
      <c r="AN6" s="120"/>
    </row>
    <row r="7" ht="67.5" customHeight="1">
      <c r="A7" s="45"/>
      <c r="B7" s="103">
        <v>60.0</v>
      </c>
      <c r="C7" s="103" t="s">
        <v>438</v>
      </c>
      <c r="D7" s="103" t="s">
        <v>439</v>
      </c>
      <c r="E7" s="103" t="s">
        <v>440</v>
      </c>
      <c r="F7" s="104">
        <v>2.019011000277E12</v>
      </c>
      <c r="G7" s="105" t="s">
        <v>441</v>
      </c>
      <c r="H7" s="103" t="s">
        <v>459</v>
      </c>
      <c r="I7" s="103" t="s">
        <v>460</v>
      </c>
      <c r="J7" s="103" t="s">
        <v>461</v>
      </c>
      <c r="K7" s="106" t="s">
        <v>120</v>
      </c>
      <c r="L7" s="106" t="s">
        <v>121</v>
      </c>
      <c r="M7" s="106" t="s">
        <v>122</v>
      </c>
      <c r="N7" s="107" t="s">
        <v>462</v>
      </c>
      <c r="O7" s="108">
        <v>4.0</v>
      </c>
      <c r="P7" s="109">
        <v>4.0</v>
      </c>
      <c r="Q7" s="110" t="s">
        <v>463</v>
      </c>
      <c r="R7" s="111" t="s">
        <v>124</v>
      </c>
      <c r="S7" s="109">
        <v>0.0</v>
      </c>
      <c r="T7" s="109">
        <v>0.0</v>
      </c>
      <c r="U7" s="112">
        <v>0.0</v>
      </c>
      <c r="V7" s="112">
        <v>4.0</v>
      </c>
      <c r="W7" s="113" t="s">
        <v>439</v>
      </c>
      <c r="X7" s="105" t="s">
        <v>447</v>
      </c>
      <c r="Y7" s="103" t="s">
        <v>448</v>
      </c>
      <c r="Z7" s="105" t="s">
        <v>449</v>
      </c>
      <c r="AA7" s="103" t="s">
        <v>450</v>
      </c>
      <c r="AB7" s="103" t="s">
        <v>155</v>
      </c>
      <c r="AC7" s="103" t="s">
        <v>347</v>
      </c>
      <c r="AD7" s="103" t="s">
        <v>451</v>
      </c>
      <c r="AE7" s="103" t="s">
        <v>452</v>
      </c>
      <c r="AF7" s="103" t="s">
        <v>158</v>
      </c>
      <c r="AG7" s="114">
        <v>0.0</v>
      </c>
      <c r="AH7" s="115" t="s">
        <v>453</v>
      </c>
      <c r="AI7" s="116"/>
      <c r="AJ7" s="117">
        <f t="shared" si="1"/>
        <v>44396</v>
      </c>
      <c r="AK7" s="118">
        <f t="shared" si="2"/>
        <v>-318</v>
      </c>
      <c r="AL7" s="119" t="str">
        <f t="shared" si="3"/>
        <v>Pendiente Evidencia</v>
      </c>
      <c r="AM7" s="119"/>
      <c r="AN7" s="120"/>
    </row>
    <row r="8" ht="67.5" customHeight="1">
      <c r="A8" s="45"/>
      <c r="B8" s="103">
        <v>61.0</v>
      </c>
      <c r="C8" s="103" t="s">
        <v>438</v>
      </c>
      <c r="D8" s="103" t="s">
        <v>439</v>
      </c>
      <c r="E8" s="103" t="s">
        <v>440</v>
      </c>
      <c r="F8" s="104">
        <v>2.019011000277E12</v>
      </c>
      <c r="G8" s="105" t="s">
        <v>441</v>
      </c>
      <c r="H8" s="103" t="s">
        <v>459</v>
      </c>
      <c r="I8" s="103" t="s">
        <v>460</v>
      </c>
      <c r="J8" s="103" t="s">
        <v>464</v>
      </c>
      <c r="K8" s="106" t="s">
        <v>120</v>
      </c>
      <c r="L8" s="106" t="s">
        <v>121</v>
      </c>
      <c r="M8" s="106" t="s">
        <v>122</v>
      </c>
      <c r="N8" s="107" t="s">
        <v>462</v>
      </c>
      <c r="O8" s="108">
        <v>4.0</v>
      </c>
      <c r="P8" s="109">
        <v>4.0</v>
      </c>
      <c r="Q8" s="110" t="s">
        <v>463</v>
      </c>
      <c r="R8" s="111" t="s">
        <v>124</v>
      </c>
      <c r="S8" s="109">
        <v>0.0</v>
      </c>
      <c r="T8" s="109">
        <v>0.0</v>
      </c>
      <c r="U8" s="112">
        <v>0.0</v>
      </c>
      <c r="V8" s="112">
        <v>4.0</v>
      </c>
      <c r="W8" s="113" t="s">
        <v>439</v>
      </c>
      <c r="X8" s="105" t="s">
        <v>447</v>
      </c>
      <c r="Y8" s="103" t="s">
        <v>448</v>
      </c>
      <c r="Z8" s="105" t="s">
        <v>449</v>
      </c>
      <c r="AA8" s="103" t="s">
        <v>450</v>
      </c>
      <c r="AB8" s="103" t="s">
        <v>155</v>
      </c>
      <c r="AC8" s="103" t="s">
        <v>347</v>
      </c>
      <c r="AD8" s="103" t="s">
        <v>451</v>
      </c>
      <c r="AE8" s="103" t="s">
        <v>452</v>
      </c>
      <c r="AF8" s="103" t="s">
        <v>158</v>
      </c>
      <c r="AG8" s="114">
        <v>0.0</v>
      </c>
      <c r="AH8" s="115" t="s">
        <v>453</v>
      </c>
      <c r="AI8" s="116"/>
      <c r="AJ8" s="117">
        <f t="shared" si="1"/>
        <v>44396</v>
      </c>
      <c r="AK8" s="118">
        <f t="shared" si="2"/>
        <v>-318</v>
      </c>
      <c r="AL8" s="119" t="str">
        <f t="shared" si="3"/>
        <v>Pendiente Evidencia</v>
      </c>
      <c r="AM8" s="119"/>
      <c r="AN8" s="120"/>
    </row>
    <row r="9" ht="67.5" customHeight="1">
      <c r="A9" s="45"/>
      <c r="B9" s="103">
        <v>62.0</v>
      </c>
      <c r="C9" s="103" t="s">
        <v>438</v>
      </c>
      <c r="D9" s="103" t="s">
        <v>439</v>
      </c>
      <c r="E9" s="103" t="s">
        <v>440</v>
      </c>
      <c r="F9" s="104">
        <v>2.019011000277E12</v>
      </c>
      <c r="G9" s="105" t="s">
        <v>441</v>
      </c>
      <c r="H9" s="103" t="s">
        <v>459</v>
      </c>
      <c r="I9" s="103" t="s">
        <v>460</v>
      </c>
      <c r="J9" s="103" t="s">
        <v>461</v>
      </c>
      <c r="K9" s="106" t="s">
        <v>141</v>
      </c>
      <c r="L9" s="106" t="s">
        <v>121</v>
      </c>
      <c r="M9" s="106" t="s">
        <v>142</v>
      </c>
      <c r="N9" s="107" t="s">
        <v>455</v>
      </c>
      <c r="O9" s="108">
        <v>1.0</v>
      </c>
      <c r="P9" s="121">
        <v>1.0</v>
      </c>
      <c r="Q9" s="110" t="s">
        <v>465</v>
      </c>
      <c r="R9" s="111" t="s">
        <v>172</v>
      </c>
      <c r="S9" s="121">
        <v>1.0</v>
      </c>
      <c r="T9" s="121">
        <v>1.0</v>
      </c>
      <c r="U9" s="121">
        <v>1.0</v>
      </c>
      <c r="V9" s="121">
        <v>1.0</v>
      </c>
      <c r="W9" s="113" t="s">
        <v>439</v>
      </c>
      <c r="X9" s="105" t="s">
        <v>447</v>
      </c>
      <c r="Y9" s="103" t="s">
        <v>448</v>
      </c>
      <c r="Z9" s="105" t="s">
        <v>449</v>
      </c>
      <c r="AA9" s="103" t="s">
        <v>450</v>
      </c>
      <c r="AB9" s="103" t="s">
        <v>155</v>
      </c>
      <c r="AC9" s="103" t="s">
        <v>347</v>
      </c>
      <c r="AD9" s="103" t="s">
        <v>451</v>
      </c>
      <c r="AE9" s="103" t="s">
        <v>452</v>
      </c>
      <c r="AF9" s="103" t="s">
        <v>158</v>
      </c>
      <c r="AG9" s="122">
        <v>1.0</v>
      </c>
      <c r="AH9" s="115" t="s">
        <v>466</v>
      </c>
      <c r="AI9" s="133" t="s">
        <v>467</v>
      </c>
      <c r="AJ9" s="117">
        <f t="shared" si="1"/>
        <v>44396</v>
      </c>
      <c r="AK9" s="118">
        <f t="shared" si="2"/>
        <v>-318</v>
      </c>
      <c r="AL9" s="119" t="str">
        <f t="shared" si="3"/>
        <v>Reporte ok</v>
      </c>
      <c r="AM9" s="119"/>
      <c r="AN9" s="120"/>
    </row>
    <row r="10" ht="67.5" customHeight="1">
      <c r="A10" s="45"/>
      <c r="B10" s="103">
        <v>63.0</v>
      </c>
      <c r="C10" s="103" t="s">
        <v>438</v>
      </c>
      <c r="D10" s="103" t="s">
        <v>439</v>
      </c>
      <c r="E10" s="103" t="s">
        <v>440</v>
      </c>
      <c r="F10" s="104">
        <v>2.019011000277E12</v>
      </c>
      <c r="G10" s="105" t="s">
        <v>441</v>
      </c>
      <c r="H10" s="103" t="s">
        <v>459</v>
      </c>
      <c r="I10" s="103" t="s">
        <v>468</v>
      </c>
      <c r="J10" s="103" t="s">
        <v>469</v>
      </c>
      <c r="K10" s="106" t="s">
        <v>120</v>
      </c>
      <c r="L10" s="106" t="s">
        <v>121</v>
      </c>
      <c r="M10" s="106" t="s">
        <v>122</v>
      </c>
      <c r="N10" s="107" t="s">
        <v>470</v>
      </c>
      <c r="O10" s="108">
        <v>1.0</v>
      </c>
      <c r="P10" s="109">
        <v>1.0</v>
      </c>
      <c r="Q10" s="110" t="s">
        <v>471</v>
      </c>
      <c r="R10" s="111" t="s">
        <v>124</v>
      </c>
      <c r="S10" s="109">
        <v>0.0</v>
      </c>
      <c r="T10" s="109">
        <v>0.0</v>
      </c>
      <c r="U10" s="112">
        <v>0.0</v>
      </c>
      <c r="V10" s="112">
        <v>1.0</v>
      </c>
      <c r="W10" s="113" t="s">
        <v>439</v>
      </c>
      <c r="X10" s="105" t="s">
        <v>447</v>
      </c>
      <c r="Y10" s="103" t="s">
        <v>448</v>
      </c>
      <c r="Z10" s="105" t="s">
        <v>449</v>
      </c>
      <c r="AA10" s="103" t="s">
        <v>450</v>
      </c>
      <c r="AB10" s="103" t="s">
        <v>155</v>
      </c>
      <c r="AC10" s="103" t="s">
        <v>347</v>
      </c>
      <c r="AD10" s="103" t="s">
        <v>451</v>
      </c>
      <c r="AE10" s="103" t="s">
        <v>452</v>
      </c>
      <c r="AF10" s="103" t="s">
        <v>158</v>
      </c>
      <c r="AG10" s="114">
        <v>0.0</v>
      </c>
      <c r="AH10" s="115" t="s">
        <v>453</v>
      </c>
      <c r="AI10" s="116"/>
      <c r="AJ10" s="117">
        <f t="shared" si="1"/>
        <v>44396</v>
      </c>
      <c r="AK10" s="118">
        <f t="shared" si="2"/>
        <v>-318</v>
      </c>
      <c r="AL10" s="119" t="str">
        <f t="shared" si="3"/>
        <v>Pendiente Evidencia</v>
      </c>
      <c r="AM10" s="119"/>
      <c r="AN10" s="120"/>
    </row>
    <row r="11" ht="67.5" customHeight="1">
      <c r="A11" s="45"/>
      <c r="B11" s="103">
        <v>64.0</v>
      </c>
      <c r="C11" s="103" t="s">
        <v>438</v>
      </c>
      <c r="D11" s="103" t="s">
        <v>439</v>
      </c>
      <c r="E11" s="103" t="s">
        <v>440</v>
      </c>
      <c r="F11" s="104">
        <v>2.019011000277E12</v>
      </c>
      <c r="G11" s="105" t="s">
        <v>441</v>
      </c>
      <c r="H11" s="103" t="s">
        <v>472</v>
      </c>
      <c r="I11" s="103" t="s">
        <v>473</v>
      </c>
      <c r="J11" s="103" t="s">
        <v>474</v>
      </c>
      <c r="K11" s="106" t="s">
        <v>120</v>
      </c>
      <c r="L11" s="106" t="s">
        <v>121</v>
      </c>
      <c r="M11" s="106" t="s">
        <v>122</v>
      </c>
      <c r="N11" s="107" t="s">
        <v>377</v>
      </c>
      <c r="O11" s="108">
        <v>2.0</v>
      </c>
      <c r="P11" s="109">
        <v>2.0</v>
      </c>
      <c r="Q11" s="110" t="s">
        <v>475</v>
      </c>
      <c r="R11" s="111" t="s">
        <v>124</v>
      </c>
      <c r="S11" s="109">
        <v>0.0</v>
      </c>
      <c r="T11" s="109">
        <v>0.0</v>
      </c>
      <c r="U11" s="112">
        <v>0.0</v>
      </c>
      <c r="V11" s="112">
        <v>2.0</v>
      </c>
      <c r="W11" s="113" t="s">
        <v>439</v>
      </c>
      <c r="X11" s="105" t="s">
        <v>447</v>
      </c>
      <c r="Y11" s="103" t="s">
        <v>448</v>
      </c>
      <c r="Z11" s="105" t="s">
        <v>449</v>
      </c>
      <c r="AA11" s="103" t="s">
        <v>450</v>
      </c>
      <c r="AB11" s="103" t="s">
        <v>155</v>
      </c>
      <c r="AC11" s="103" t="s">
        <v>347</v>
      </c>
      <c r="AD11" s="103" t="s">
        <v>451</v>
      </c>
      <c r="AE11" s="103" t="s">
        <v>452</v>
      </c>
      <c r="AF11" s="103" t="s">
        <v>158</v>
      </c>
      <c r="AG11" s="114">
        <v>0.0</v>
      </c>
      <c r="AH11" s="115" t="s">
        <v>453</v>
      </c>
      <c r="AI11" s="116"/>
      <c r="AJ11" s="117">
        <f t="shared" si="1"/>
        <v>44396</v>
      </c>
      <c r="AK11" s="118">
        <f t="shared" si="2"/>
        <v>-318</v>
      </c>
      <c r="AL11" s="119" t="str">
        <f t="shared" si="3"/>
        <v>Pendiente Evidencia</v>
      </c>
      <c r="AM11" s="119"/>
      <c r="AN11" s="120"/>
    </row>
    <row r="12" ht="67.5" customHeight="1">
      <c r="A12" s="45"/>
      <c r="B12" s="103">
        <v>65.0</v>
      </c>
      <c r="C12" s="103" t="s">
        <v>438</v>
      </c>
      <c r="D12" s="103" t="s">
        <v>439</v>
      </c>
      <c r="E12" s="103" t="s">
        <v>440</v>
      </c>
      <c r="F12" s="104">
        <v>2.019011000277E12</v>
      </c>
      <c r="G12" s="105" t="s">
        <v>441</v>
      </c>
      <c r="H12" s="103" t="s">
        <v>472</v>
      </c>
      <c r="I12" s="103" t="s">
        <v>473</v>
      </c>
      <c r="J12" s="103" t="s">
        <v>476</v>
      </c>
      <c r="K12" s="106" t="s">
        <v>120</v>
      </c>
      <c r="L12" s="106" t="s">
        <v>121</v>
      </c>
      <c r="M12" s="106" t="s">
        <v>122</v>
      </c>
      <c r="N12" s="107" t="s">
        <v>377</v>
      </c>
      <c r="O12" s="108">
        <v>2.0</v>
      </c>
      <c r="P12" s="109">
        <v>2.0</v>
      </c>
      <c r="Q12" s="110" t="s">
        <v>475</v>
      </c>
      <c r="R12" s="111" t="s">
        <v>124</v>
      </c>
      <c r="S12" s="109">
        <v>0.0</v>
      </c>
      <c r="T12" s="109">
        <v>0.0</v>
      </c>
      <c r="U12" s="112">
        <v>0.0</v>
      </c>
      <c r="V12" s="112">
        <v>2.0</v>
      </c>
      <c r="W12" s="113" t="s">
        <v>439</v>
      </c>
      <c r="X12" s="105" t="s">
        <v>447</v>
      </c>
      <c r="Y12" s="103" t="s">
        <v>448</v>
      </c>
      <c r="Z12" s="105" t="s">
        <v>449</v>
      </c>
      <c r="AA12" s="103" t="s">
        <v>450</v>
      </c>
      <c r="AB12" s="103" t="s">
        <v>155</v>
      </c>
      <c r="AC12" s="103" t="s">
        <v>347</v>
      </c>
      <c r="AD12" s="103" t="s">
        <v>451</v>
      </c>
      <c r="AE12" s="103" t="s">
        <v>452</v>
      </c>
      <c r="AF12" s="103" t="s">
        <v>158</v>
      </c>
      <c r="AG12" s="114">
        <v>0.0</v>
      </c>
      <c r="AH12" s="115" t="s">
        <v>453</v>
      </c>
      <c r="AI12" s="116"/>
      <c r="AJ12" s="117">
        <f t="shared" si="1"/>
        <v>44396</v>
      </c>
      <c r="AK12" s="118">
        <f t="shared" si="2"/>
        <v>-318</v>
      </c>
      <c r="AL12" s="119" t="str">
        <f t="shared" si="3"/>
        <v>Pendiente Evidencia</v>
      </c>
      <c r="AM12" s="119"/>
      <c r="AN12" s="120"/>
    </row>
    <row r="13" ht="67.5" customHeight="1">
      <c r="A13" s="45"/>
      <c r="B13" s="103">
        <v>66.0</v>
      </c>
      <c r="C13" s="103" t="s">
        <v>438</v>
      </c>
      <c r="D13" s="103" t="s">
        <v>439</v>
      </c>
      <c r="E13" s="103" t="s">
        <v>440</v>
      </c>
      <c r="F13" s="104">
        <v>2.019011000277E12</v>
      </c>
      <c r="G13" s="105" t="s">
        <v>441</v>
      </c>
      <c r="H13" s="103" t="s">
        <v>472</v>
      </c>
      <c r="I13" s="103" t="s">
        <v>473</v>
      </c>
      <c r="J13" s="103" t="s">
        <v>477</v>
      </c>
      <c r="K13" s="106" t="s">
        <v>120</v>
      </c>
      <c r="L13" s="106" t="s">
        <v>121</v>
      </c>
      <c r="M13" s="106" t="s">
        <v>122</v>
      </c>
      <c r="N13" s="107" t="s">
        <v>377</v>
      </c>
      <c r="O13" s="108">
        <v>2.0</v>
      </c>
      <c r="P13" s="109">
        <v>2.0</v>
      </c>
      <c r="Q13" s="110" t="s">
        <v>475</v>
      </c>
      <c r="R13" s="111" t="s">
        <v>124</v>
      </c>
      <c r="S13" s="109">
        <v>0.0</v>
      </c>
      <c r="T13" s="109">
        <v>0.0</v>
      </c>
      <c r="U13" s="112">
        <v>0.0</v>
      </c>
      <c r="V13" s="112">
        <v>2.0</v>
      </c>
      <c r="W13" s="113" t="s">
        <v>439</v>
      </c>
      <c r="X13" s="105" t="s">
        <v>447</v>
      </c>
      <c r="Y13" s="103" t="s">
        <v>448</v>
      </c>
      <c r="Z13" s="105" t="s">
        <v>449</v>
      </c>
      <c r="AA13" s="103" t="s">
        <v>450</v>
      </c>
      <c r="AB13" s="103" t="s">
        <v>155</v>
      </c>
      <c r="AC13" s="103" t="s">
        <v>347</v>
      </c>
      <c r="AD13" s="103" t="s">
        <v>451</v>
      </c>
      <c r="AE13" s="103" t="s">
        <v>452</v>
      </c>
      <c r="AF13" s="103" t="s">
        <v>158</v>
      </c>
      <c r="AG13" s="114">
        <v>0.0</v>
      </c>
      <c r="AH13" s="115" t="s">
        <v>453</v>
      </c>
      <c r="AI13" s="116"/>
      <c r="AJ13" s="117">
        <f t="shared" si="1"/>
        <v>44396</v>
      </c>
      <c r="AK13" s="118">
        <f t="shared" si="2"/>
        <v>-318</v>
      </c>
      <c r="AL13" s="119" t="str">
        <f t="shared" si="3"/>
        <v>Pendiente Evidencia</v>
      </c>
      <c r="AM13" s="119"/>
      <c r="AN13" s="120"/>
    </row>
    <row r="14" ht="67.5" customHeight="1">
      <c r="A14" s="45"/>
      <c r="B14" s="103">
        <v>67.0</v>
      </c>
      <c r="C14" s="103" t="s">
        <v>438</v>
      </c>
      <c r="D14" s="103" t="s">
        <v>439</v>
      </c>
      <c r="E14" s="103" t="s">
        <v>440</v>
      </c>
      <c r="F14" s="104">
        <v>2.019011000277E12</v>
      </c>
      <c r="G14" s="105" t="s">
        <v>441</v>
      </c>
      <c r="H14" s="103" t="s">
        <v>442</v>
      </c>
      <c r="I14" s="103" t="s">
        <v>443</v>
      </c>
      <c r="J14" s="103" t="s">
        <v>454</v>
      </c>
      <c r="K14" s="106" t="s">
        <v>141</v>
      </c>
      <c r="L14" s="106" t="s">
        <v>121</v>
      </c>
      <c r="M14" s="106" t="s">
        <v>122</v>
      </c>
      <c r="N14" s="107" t="s">
        <v>478</v>
      </c>
      <c r="O14" s="108">
        <v>4.0</v>
      </c>
      <c r="P14" s="109">
        <v>4.0</v>
      </c>
      <c r="Q14" s="110" t="s">
        <v>479</v>
      </c>
      <c r="R14" s="111" t="s">
        <v>172</v>
      </c>
      <c r="S14" s="109">
        <v>0.0</v>
      </c>
      <c r="T14" s="109">
        <v>1.0</v>
      </c>
      <c r="U14" s="112">
        <v>2.0</v>
      </c>
      <c r="V14" s="112">
        <v>1.0</v>
      </c>
      <c r="W14" s="113" t="s">
        <v>439</v>
      </c>
      <c r="X14" s="105" t="s">
        <v>447</v>
      </c>
      <c r="Y14" s="103" t="s">
        <v>448</v>
      </c>
      <c r="Z14" s="105" t="s">
        <v>449</v>
      </c>
      <c r="AA14" s="103" t="s">
        <v>450</v>
      </c>
      <c r="AB14" s="103" t="s">
        <v>155</v>
      </c>
      <c r="AC14" s="103" t="s">
        <v>347</v>
      </c>
      <c r="AD14" s="103" t="s">
        <v>451</v>
      </c>
      <c r="AE14" s="103" t="s">
        <v>452</v>
      </c>
      <c r="AF14" s="103" t="s">
        <v>158</v>
      </c>
      <c r="AG14" s="114">
        <v>1.0</v>
      </c>
      <c r="AH14" s="115" t="s">
        <v>480</v>
      </c>
      <c r="AI14" s="133" t="s">
        <v>481</v>
      </c>
      <c r="AJ14" s="117">
        <f t="shared" si="1"/>
        <v>44396</v>
      </c>
      <c r="AK14" s="118">
        <f t="shared" si="2"/>
        <v>-318</v>
      </c>
      <c r="AL14" s="119" t="str">
        <f t="shared" si="3"/>
        <v>Reporte ok</v>
      </c>
      <c r="AM14" s="119"/>
      <c r="AN14" s="120"/>
    </row>
    <row r="15" ht="67.5" customHeight="1">
      <c r="A15" s="45"/>
      <c r="B15" s="103">
        <v>68.0</v>
      </c>
      <c r="C15" s="103" t="s">
        <v>438</v>
      </c>
      <c r="D15" s="103" t="s">
        <v>439</v>
      </c>
      <c r="E15" s="103" t="s">
        <v>440</v>
      </c>
      <c r="F15" s="104">
        <v>2.019011000277E12</v>
      </c>
      <c r="G15" s="105" t="s">
        <v>441</v>
      </c>
      <c r="H15" s="103" t="s">
        <v>459</v>
      </c>
      <c r="I15" s="103" t="s">
        <v>460</v>
      </c>
      <c r="J15" s="103" t="s">
        <v>461</v>
      </c>
      <c r="K15" s="106" t="s">
        <v>141</v>
      </c>
      <c r="L15" s="106" t="s">
        <v>121</v>
      </c>
      <c r="M15" s="106" t="s">
        <v>122</v>
      </c>
      <c r="N15" s="107" t="s">
        <v>478</v>
      </c>
      <c r="O15" s="108">
        <v>4.0</v>
      </c>
      <c r="P15" s="109">
        <v>4.0</v>
      </c>
      <c r="Q15" s="110" t="s">
        <v>482</v>
      </c>
      <c r="R15" s="111" t="s">
        <v>172</v>
      </c>
      <c r="S15" s="109">
        <v>0.0</v>
      </c>
      <c r="T15" s="109">
        <v>1.0</v>
      </c>
      <c r="U15" s="112">
        <v>2.0</v>
      </c>
      <c r="V15" s="112">
        <v>1.0</v>
      </c>
      <c r="W15" s="113" t="s">
        <v>439</v>
      </c>
      <c r="X15" s="105" t="s">
        <v>447</v>
      </c>
      <c r="Y15" s="103" t="s">
        <v>448</v>
      </c>
      <c r="Z15" s="105" t="s">
        <v>449</v>
      </c>
      <c r="AA15" s="103" t="s">
        <v>450</v>
      </c>
      <c r="AB15" s="103" t="s">
        <v>155</v>
      </c>
      <c r="AC15" s="103" t="s">
        <v>347</v>
      </c>
      <c r="AD15" s="103" t="s">
        <v>451</v>
      </c>
      <c r="AE15" s="103" t="s">
        <v>452</v>
      </c>
      <c r="AF15" s="103" t="s">
        <v>158</v>
      </c>
      <c r="AG15" s="114">
        <v>1.0</v>
      </c>
      <c r="AH15" s="115" t="s">
        <v>483</v>
      </c>
      <c r="AI15" s="133" t="s">
        <v>484</v>
      </c>
      <c r="AJ15" s="117">
        <f t="shared" si="1"/>
        <v>44396</v>
      </c>
      <c r="AK15" s="118">
        <f t="shared" si="2"/>
        <v>-318</v>
      </c>
      <c r="AL15" s="119" t="str">
        <f t="shared" si="3"/>
        <v>Reporte ok</v>
      </c>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7"/>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6"/>
    <hyperlink r:id="rId2" ref="AI9"/>
    <hyperlink r:id="rId3" ref="AI14"/>
    <hyperlink r:id="rId4" ref="AI15"/>
  </hyperlinks>
  <printOptions gridLines="1" horizontalCentered="1"/>
  <pageMargins bottom="0.75" footer="0.0" header="0.0" left="0.7" right="0.7" top="0.75"/>
  <pageSetup cellComments="atEnd" orientation="portrait" pageOrder="overThenDown"/>
  <drawing r:id="rId5"/>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69.0</v>
      </c>
      <c r="C4" s="103" t="s">
        <v>485</v>
      </c>
      <c r="D4" s="103" t="s">
        <v>14</v>
      </c>
      <c r="E4" s="103" t="s">
        <v>115</v>
      </c>
      <c r="F4" s="104">
        <v>2.018011000241E12</v>
      </c>
      <c r="G4" s="105" t="s">
        <v>116</v>
      </c>
      <c r="H4" s="103" t="s">
        <v>138</v>
      </c>
      <c r="I4" s="103" t="s">
        <v>139</v>
      </c>
      <c r="J4" s="103" t="s">
        <v>194</v>
      </c>
      <c r="K4" s="106" t="s">
        <v>141</v>
      </c>
      <c r="L4" s="106" t="s">
        <v>210</v>
      </c>
      <c r="M4" s="106" t="s">
        <v>122</v>
      </c>
      <c r="N4" s="107" t="s">
        <v>486</v>
      </c>
      <c r="O4" s="108"/>
      <c r="P4" s="109">
        <v>1.0</v>
      </c>
      <c r="Q4" s="110" t="s">
        <v>487</v>
      </c>
      <c r="R4" s="111" t="s">
        <v>124</v>
      </c>
      <c r="S4" s="109">
        <v>1.0</v>
      </c>
      <c r="T4" s="109">
        <v>0.0</v>
      </c>
      <c r="U4" s="112">
        <v>0.0</v>
      </c>
      <c r="V4" s="112">
        <v>0.0</v>
      </c>
      <c r="W4" s="113" t="s">
        <v>14</v>
      </c>
      <c r="X4" s="105" t="s">
        <v>488</v>
      </c>
      <c r="Y4" s="103" t="s">
        <v>489</v>
      </c>
      <c r="Z4" s="105" t="s">
        <v>490</v>
      </c>
      <c r="AA4" s="103" t="s">
        <v>216</v>
      </c>
      <c r="AB4" s="103" t="s">
        <v>155</v>
      </c>
      <c r="AC4" s="103" t="s">
        <v>269</v>
      </c>
      <c r="AD4" s="103" t="s">
        <v>132</v>
      </c>
      <c r="AE4" s="103" t="s">
        <v>178</v>
      </c>
      <c r="AF4" s="103" t="s">
        <v>134</v>
      </c>
      <c r="AG4" s="114">
        <v>0.0</v>
      </c>
      <c r="AH4" s="115" t="s">
        <v>491</v>
      </c>
      <c r="AI4" s="125" t="s">
        <v>366</v>
      </c>
      <c r="AJ4" s="117">
        <f t="shared" ref="AJ4:AJ11" si="1">$AK$1</f>
        <v>44396</v>
      </c>
      <c r="AK4" s="118">
        <f t="shared" ref="AK4:AK11" si="2">AJ4-$AL$1</f>
        <v>-318</v>
      </c>
      <c r="AL4" s="119" t="str">
        <f t="shared" ref="AL4:AL11" si="3">IF(ISBLANK(AG4),"Pendiente Ejecución"&amp;CHAR(10),)&amp;IF(ISBLANK(AH4),"Pendiente Justificación"&amp;CHAR(10),)&amp;IF(ISBLANK(AI4),"Pendiente Evidencia",)&amp;IF(OR(ISBLANK(AG4),ISBLANK(AH4),ISBLANK(AI4)),,"Reporte ok")</f>
        <v>Reporte ok</v>
      </c>
      <c r="AM4" s="119"/>
      <c r="AN4" s="120"/>
    </row>
    <row r="5" ht="67.5" customHeight="1">
      <c r="A5" s="45"/>
      <c r="B5" s="103">
        <v>70.0</v>
      </c>
      <c r="C5" s="103" t="s">
        <v>485</v>
      </c>
      <c r="D5" s="103" t="s">
        <v>14</v>
      </c>
      <c r="E5" s="103" t="s">
        <v>115</v>
      </c>
      <c r="F5" s="104">
        <v>2.018011000241E12</v>
      </c>
      <c r="G5" s="105" t="s">
        <v>116</v>
      </c>
      <c r="H5" s="103" t="s">
        <v>138</v>
      </c>
      <c r="I5" s="103" t="s">
        <v>139</v>
      </c>
      <c r="J5" s="103" t="s">
        <v>194</v>
      </c>
      <c r="K5" s="106" t="s">
        <v>141</v>
      </c>
      <c r="L5" s="106" t="s">
        <v>210</v>
      </c>
      <c r="M5" s="106" t="s">
        <v>122</v>
      </c>
      <c r="N5" s="107" t="s">
        <v>492</v>
      </c>
      <c r="O5" s="108"/>
      <c r="P5" s="109">
        <v>1.0</v>
      </c>
      <c r="Q5" s="110" t="s">
        <v>493</v>
      </c>
      <c r="R5" s="111" t="s">
        <v>124</v>
      </c>
      <c r="S5" s="109">
        <v>1.0</v>
      </c>
      <c r="T5" s="109">
        <v>0.0</v>
      </c>
      <c r="U5" s="112">
        <v>0.0</v>
      </c>
      <c r="V5" s="112">
        <v>0.0</v>
      </c>
      <c r="W5" s="113" t="s">
        <v>14</v>
      </c>
      <c r="X5" s="105" t="s">
        <v>488</v>
      </c>
      <c r="Y5" s="103" t="s">
        <v>489</v>
      </c>
      <c r="Z5" s="105" t="s">
        <v>490</v>
      </c>
      <c r="AA5" s="103" t="s">
        <v>216</v>
      </c>
      <c r="AB5" s="103" t="s">
        <v>187</v>
      </c>
      <c r="AC5" s="103" t="s">
        <v>269</v>
      </c>
      <c r="AD5" s="103" t="s">
        <v>132</v>
      </c>
      <c r="AE5" s="103" t="s">
        <v>178</v>
      </c>
      <c r="AF5" s="103" t="s">
        <v>134</v>
      </c>
      <c r="AG5" s="114">
        <v>0.0</v>
      </c>
      <c r="AH5" s="115" t="s">
        <v>491</v>
      </c>
      <c r="AI5" s="125" t="s">
        <v>366</v>
      </c>
      <c r="AJ5" s="117">
        <f t="shared" si="1"/>
        <v>44396</v>
      </c>
      <c r="AK5" s="118">
        <f t="shared" si="2"/>
        <v>-318</v>
      </c>
      <c r="AL5" s="119" t="str">
        <f t="shared" si="3"/>
        <v>Reporte ok</v>
      </c>
      <c r="AM5" s="119"/>
      <c r="AN5" s="120"/>
    </row>
    <row r="6" ht="67.5" customHeight="1">
      <c r="A6" s="45"/>
      <c r="B6" s="103">
        <v>71.0</v>
      </c>
      <c r="C6" s="103" t="s">
        <v>485</v>
      </c>
      <c r="D6" s="103" t="s">
        <v>14</v>
      </c>
      <c r="E6" s="103" t="s">
        <v>115</v>
      </c>
      <c r="F6" s="104">
        <v>2.018011000241E12</v>
      </c>
      <c r="G6" s="105" t="s">
        <v>116</v>
      </c>
      <c r="H6" s="103" t="s">
        <v>138</v>
      </c>
      <c r="I6" s="103" t="s">
        <v>139</v>
      </c>
      <c r="J6" s="103" t="s">
        <v>194</v>
      </c>
      <c r="K6" s="106" t="s">
        <v>141</v>
      </c>
      <c r="L6" s="106" t="s">
        <v>210</v>
      </c>
      <c r="M6" s="106" t="s">
        <v>122</v>
      </c>
      <c r="N6" s="107" t="s">
        <v>494</v>
      </c>
      <c r="O6" s="108"/>
      <c r="P6" s="109">
        <v>4.0</v>
      </c>
      <c r="Q6" s="110" t="s">
        <v>495</v>
      </c>
      <c r="R6" s="111" t="s">
        <v>172</v>
      </c>
      <c r="S6" s="121">
        <v>1.0</v>
      </c>
      <c r="T6" s="109">
        <v>1.0</v>
      </c>
      <c r="U6" s="121">
        <v>1.0</v>
      </c>
      <c r="V6" s="121">
        <v>1.0</v>
      </c>
      <c r="W6" s="113" t="s">
        <v>14</v>
      </c>
      <c r="X6" s="105" t="s">
        <v>488</v>
      </c>
      <c r="Y6" s="103" t="s">
        <v>489</v>
      </c>
      <c r="Z6" s="105" t="s">
        <v>490</v>
      </c>
      <c r="AA6" s="103" t="s">
        <v>216</v>
      </c>
      <c r="AB6" s="103" t="s">
        <v>155</v>
      </c>
      <c r="AC6" s="103" t="s">
        <v>269</v>
      </c>
      <c r="AD6" s="103" t="s">
        <v>496</v>
      </c>
      <c r="AE6" s="103" t="s">
        <v>497</v>
      </c>
      <c r="AF6" s="103" t="s">
        <v>134</v>
      </c>
      <c r="AG6" s="114">
        <v>1.0</v>
      </c>
      <c r="AH6" s="115" t="s">
        <v>498</v>
      </c>
      <c r="AI6" s="123" t="s">
        <v>499</v>
      </c>
      <c r="AJ6" s="117">
        <f t="shared" si="1"/>
        <v>44396</v>
      </c>
      <c r="AK6" s="118">
        <f t="shared" si="2"/>
        <v>-318</v>
      </c>
      <c r="AL6" s="119" t="str">
        <f t="shared" si="3"/>
        <v>Reporte ok</v>
      </c>
      <c r="AM6" s="119"/>
      <c r="AN6" s="120"/>
    </row>
    <row r="7" ht="67.5" customHeight="1">
      <c r="A7" s="45"/>
      <c r="B7" s="103">
        <v>72.0</v>
      </c>
      <c r="C7" s="103" t="s">
        <v>485</v>
      </c>
      <c r="D7" s="103" t="s">
        <v>14</v>
      </c>
      <c r="E7" s="103" t="s">
        <v>115</v>
      </c>
      <c r="F7" s="104">
        <v>2.018011000241E12</v>
      </c>
      <c r="G7" s="105" t="s">
        <v>116</v>
      </c>
      <c r="H7" s="103" t="s">
        <v>138</v>
      </c>
      <c r="I7" s="103" t="s">
        <v>139</v>
      </c>
      <c r="J7" s="103" t="s">
        <v>194</v>
      </c>
      <c r="K7" s="106" t="s">
        <v>141</v>
      </c>
      <c r="L7" s="106" t="s">
        <v>210</v>
      </c>
      <c r="M7" s="106" t="s">
        <v>142</v>
      </c>
      <c r="N7" s="107" t="s">
        <v>500</v>
      </c>
      <c r="O7" s="108"/>
      <c r="P7" s="121">
        <v>1.0</v>
      </c>
      <c r="Q7" s="110" t="s">
        <v>501</v>
      </c>
      <c r="R7" s="111" t="s">
        <v>124</v>
      </c>
      <c r="S7" s="109">
        <v>0.0</v>
      </c>
      <c r="T7" s="121">
        <v>0.0</v>
      </c>
      <c r="U7" s="112">
        <v>0.0</v>
      </c>
      <c r="V7" s="112">
        <v>1.0</v>
      </c>
      <c r="W7" s="113" t="s">
        <v>14</v>
      </c>
      <c r="X7" s="105" t="s">
        <v>488</v>
      </c>
      <c r="Y7" s="103" t="s">
        <v>489</v>
      </c>
      <c r="Z7" s="105" t="s">
        <v>490</v>
      </c>
      <c r="AA7" s="103" t="s">
        <v>216</v>
      </c>
      <c r="AB7" s="103" t="s">
        <v>155</v>
      </c>
      <c r="AC7" s="103" t="s">
        <v>269</v>
      </c>
      <c r="AD7" s="103" t="s">
        <v>132</v>
      </c>
      <c r="AE7" s="103" t="s">
        <v>178</v>
      </c>
      <c r="AF7" s="103" t="s">
        <v>134</v>
      </c>
      <c r="AG7" s="122">
        <v>0.0</v>
      </c>
      <c r="AH7" s="115" t="s">
        <v>491</v>
      </c>
      <c r="AI7" s="125" t="s">
        <v>366</v>
      </c>
      <c r="AJ7" s="117">
        <f t="shared" si="1"/>
        <v>44396</v>
      </c>
      <c r="AK7" s="118">
        <f t="shared" si="2"/>
        <v>-318</v>
      </c>
      <c r="AL7" s="119" t="str">
        <f t="shared" si="3"/>
        <v>Reporte ok</v>
      </c>
      <c r="AM7" s="119"/>
      <c r="AN7" s="120"/>
    </row>
    <row r="8" ht="67.5" customHeight="1">
      <c r="A8" s="45"/>
      <c r="B8" s="103">
        <v>73.0</v>
      </c>
      <c r="C8" s="103" t="s">
        <v>485</v>
      </c>
      <c r="D8" s="103" t="s">
        <v>14</v>
      </c>
      <c r="E8" s="103" t="s">
        <v>115</v>
      </c>
      <c r="F8" s="104">
        <v>2.018011000241E12</v>
      </c>
      <c r="G8" s="105" t="s">
        <v>116</v>
      </c>
      <c r="H8" s="103" t="s">
        <v>138</v>
      </c>
      <c r="I8" s="103" t="s">
        <v>139</v>
      </c>
      <c r="J8" s="103" t="s">
        <v>194</v>
      </c>
      <c r="K8" s="106" t="s">
        <v>141</v>
      </c>
      <c r="L8" s="106" t="s">
        <v>210</v>
      </c>
      <c r="M8" s="106" t="s">
        <v>122</v>
      </c>
      <c r="N8" s="107" t="s">
        <v>502</v>
      </c>
      <c r="O8" s="108"/>
      <c r="P8" s="109">
        <v>4.0</v>
      </c>
      <c r="Q8" s="110" t="s">
        <v>503</v>
      </c>
      <c r="R8" s="111" t="s">
        <v>172</v>
      </c>
      <c r="S8" s="109">
        <v>1.0</v>
      </c>
      <c r="T8" s="109">
        <v>0.0</v>
      </c>
      <c r="U8" s="112">
        <v>2.0</v>
      </c>
      <c r="V8" s="112">
        <v>1.0</v>
      </c>
      <c r="W8" s="113" t="s">
        <v>14</v>
      </c>
      <c r="X8" s="105" t="s">
        <v>488</v>
      </c>
      <c r="Y8" s="103" t="s">
        <v>489</v>
      </c>
      <c r="Z8" s="105" t="s">
        <v>490</v>
      </c>
      <c r="AA8" s="103" t="s">
        <v>216</v>
      </c>
      <c r="AB8" s="103" t="s">
        <v>155</v>
      </c>
      <c r="AC8" s="103" t="s">
        <v>269</v>
      </c>
      <c r="AD8" s="103" t="s">
        <v>132</v>
      </c>
      <c r="AE8" s="103" t="s">
        <v>178</v>
      </c>
      <c r="AF8" s="103" t="s">
        <v>134</v>
      </c>
      <c r="AG8" s="114">
        <v>0.0</v>
      </c>
      <c r="AH8" s="115" t="s">
        <v>491</v>
      </c>
      <c r="AI8" s="125" t="s">
        <v>366</v>
      </c>
      <c r="AJ8" s="117">
        <f t="shared" si="1"/>
        <v>44396</v>
      </c>
      <c r="AK8" s="118">
        <f t="shared" si="2"/>
        <v>-318</v>
      </c>
      <c r="AL8" s="119" t="str">
        <f t="shared" si="3"/>
        <v>Reporte ok</v>
      </c>
      <c r="AM8" s="119"/>
      <c r="AN8" s="120"/>
    </row>
    <row r="9" ht="67.5" customHeight="1">
      <c r="A9" s="45"/>
      <c r="B9" s="103">
        <v>74.0</v>
      </c>
      <c r="C9" s="103" t="s">
        <v>485</v>
      </c>
      <c r="D9" s="103" t="s">
        <v>14</v>
      </c>
      <c r="E9" s="103" t="s">
        <v>115</v>
      </c>
      <c r="F9" s="104">
        <v>2.018011000241E12</v>
      </c>
      <c r="G9" s="105" t="s">
        <v>116</v>
      </c>
      <c r="H9" s="103" t="s">
        <v>138</v>
      </c>
      <c r="I9" s="103" t="s">
        <v>139</v>
      </c>
      <c r="J9" s="103" t="s">
        <v>194</v>
      </c>
      <c r="K9" s="106" t="s">
        <v>141</v>
      </c>
      <c r="L9" s="106" t="s">
        <v>210</v>
      </c>
      <c r="M9" s="106" t="s">
        <v>122</v>
      </c>
      <c r="N9" s="107" t="s">
        <v>504</v>
      </c>
      <c r="O9" s="108"/>
      <c r="P9" s="109">
        <v>4.0</v>
      </c>
      <c r="Q9" s="110" t="s">
        <v>505</v>
      </c>
      <c r="R9" s="111" t="s">
        <v>172</v>
      </c>
      <c r="S9" s="121">
        <v>0.0</v>
      </c>
      <c r="T9" s="109">
        <v>0.0</v>
      </c>
      <c r="U9" s="121">
        <v>2.0</v>
      </c>
      <c r="V9" s="121">
        <v>2.0</v>
      </c>
      <c r="W9" s="113" t="s">
        <v>14</v>
      </c>
      <c r="X9" s="105" t="s">
        <v>488</v>
      </c>
      <c r="Y9" s="103" t="s">
        <v>489</v>
      </c>
      <c r="Z9" s="105" t="s">
        <v>490</v>
      </c>
      <c r="AA9" s="103" t="s">
        <v>216</v>
      </c>
      <c r="AB9" s="103" t="s">
        <v>155</v>
      </c>
      <c r="AC9" s="103" t="s">
        <v>269</v>
      </c>
      <c r="AD9" s="103" t="s">
        <v>132</v>
      </c>
      <c r="AE9" s="103" t="s">
        <v>178</v>
      </c>
      <c r="AF9" s="103" t="s">
        <v>134</v>
      </c>
      <c r="AG9" s="114">
        <v>0.0</v>
      </c>
      <c r="AH9" s="115" t="s">
        <v>491</v>
      </c>
      <c r="AI9" s="125" t="s">
        <v>366</v>
      </c>
      <c r="AJ9" s="117">
        <f t="shared" si="1"/>
        <v>44396</v>
      </c>
      <c r="AK9" s="118">
        <f t="shared" si="2"/>
        <v>-318</v>
      </c>
      <c r="AL9" s="119" t="str">
        <f t="shared" si="3"/>
        <v>Reporte ok</v>
      </c>
      <c r="AM9" s="119"/>
      <c r="AN9" s="120"/>
    </row>
    <row r="10" ht="67.5" customHeight="1">
      <c r="A10" s="45"/>
      <c r="B10" s="103">
        <v>75.0</v>
      </c>
      <c r="C10" s="103" t="s">
        <v>485</v>
      </c>
      <c r="D10" s="103" t="s">
        <v>14</v>
      </c>
      <c r="E10" s="103" t="s">
        <v>115</v>
      </c>
      <c r="F10" s="104">
        <v>2.018011000241E12</v>
      </c>
      <c r="G10" s="105" t="s">
        <v>116</v>
      </c>
      <c r="H10" s="103" t="s">
        <v>138</v>
      </c>
      <c r="I10" s="103" t="s">
        <v>139</v>
      </c>
      <c r="J10" s="103" t="s">
        <v>506</v>
      </c>
      <c r="K10" s="106" t="s">
        <v>141</v>
      </c>
      <c r="L10" s="106" t="s">
        <v>210</v>
      </c>
      <c r="M10" s="106" t="s">
        <v>122</v>
      </c>
      <c r="N10" s="107" t="s">
        <v>507</v>
      </c>
      <c r="O10" s="108"/>
      <c r="P10" s="109">
        <v>3.0</v>
      </c>
      <c r="Q10" s="110" t="s">
        <v>508</v>
      </c>
      <c r="R10" s="111" t="s">
        <v>172</v>
      </c>
      <c r="S10" s="109">
        <v>0.0</v>
      </c>
      <c r="T10" s="109">
        <v>0.0</v>
      </c>
      <c r="U10" s="112">
        <v>2.0</v>
      </c>
      <c r="V10" s="112">
        <v>1.0</v>
      </c>
      <c r="W10" s="113" t="s">
        <v>14</v>
      </c>
      <c r="X10" s="105" t="s">
        <v>488</v>
      </c>
      <c r="Y10" s="103" t="s">
        <v>489</v>
      </c>
      <c r="Z10" s="105" t="s">
        <v>490</v>
      </c>
      <c r="AA10" s="103" t="s">
        <v>216</v>
      </c>
      <c r="AB10" s="103" t="s">
        <v>155</v>
      </c>
      <c r="AC10" s="103" t="s">
        <v>269</v>
      </c>
      <c r="AD10" s="103" t="s">
        <v>132</v>
      </c>
      <c r="AE10" s="103" t="s">
        <v>178</v>
      </c>
      <c r="AF10" s="103" t="s">
        <v>134</v>
      </c>
      <c r="AG10" s="114">
        <v>0.0</v>
      </c>
      <c r="AH10" s="115" t="s">
        <v>491</v>
      </c>
      <c r="AI10" s="125" t="s">
        <v>366</v>
      </c>
      <c r="AJ10" s="117">
        <f t="shared" si="1"/>
        <v>44396</v>
      </c>
      <c r="AK10" s="118">
        <f t="shared" si="2"/>
        <v>-318</v>
      </c>
      <c r="AL10" s="119" t="str">
        <f t="shared" si="3"/>
        <v>Reporte ok</v>
      </c>
      <c r="AM10" s="119"/>
      <c r="AN10" s="120"/>
    </row>
    <row r="11" ht="67.5" customHeight="1">
      <c r="A11" s="45"/>
      <c r="B11" s="103">
        <v>76.0</v>
      </c>
      <c r="C11" s="103" t="s">
        <v>485</v>
      </c>
      <c r="D11" s="103" t="s">
        <v>14</v>
      </c>
      <c r="E11" s="103" t="s">
        <v>115</v>
      </c>
      <c r="F11" s="104">
        <v>2.018011000241E12</v>
      </c>
      <c r="G11" s="105" t="s">
        <v>116</v>
      </c>
      <c r="H11" s="103" t="s">
        <v>138</v>
      </c>
      <c r="I11" s="103" t="s">
        <v>139</v>
      </c>
      <c r="J11" s="103" t="s">
        <v>194</v>
      </c>
      <c r="K11" s="106" t="s">
        <v>141</v>
      </c>
      <c r="L11" s="106" t="s">
        <v>210</v>
      </c>
      <c r="M11" s="106" t="s">
        <v>122</v>
      </c>
      <c r="N11" s="107" t="s">
        <v>509</v>
      </c>
      <c r="O11" s="108"/>
      <c r="P11" s="109">
        <v>1.0</v>
      </c>
      <c r="Q11" s="110" t="s">
        <v>510</v>
      </c>
      <c r="R11" s="111" t="s">
        <v>124</v>
      </c>
      <c r="S11" s="109">
        <v>0.0</v>
      </c>
      <c r="T11" s="109">
        <v>0.0</v>
      </c>
      <c r="U11" s="112">
        <v>0.0</v>
      </c>
      <c r="V11" s="112">
        <v>1.0</v>
      </c>
      <c r="W11" s="113" t="s">
        <v>14</v>
      </c>
      <c r="X11" s="105" t="s">
        <v>488</v>
      </c>
      <c r="Y11" s="103" t="s">
        <v>489</v>
      </c>
      <c r="Z11" s="105" t="s">
        <v>490</v>
      </c>
      <c r="AA11" s="103" t="s">
        <v>216</v>
      </c>
      <c r="AB11" s="103" t="s">
        <v>155</v>
      </c>
      <c r="AC11" s="103" t="s">
        <v>269</v>
      </c>
      <c r="AD11" s="103" t="s">
        <v>496</v>
      </c>
      <c r="AE11" s="103" t="s">
        <v>497</v>
      </c>
      <c r="AF11" s="103" t="s">
        <v>134</v>
      </c>
      <c r="AG11" s="114">
        <v>0.0</v>
      </c>
      <c r="AH11" s="115" t="s">
        <v>491</v>
      </c>
      <c r="AI11" s="125" t="s">
        <v>366</v>
      </c>
      <c r="AJ11" s="117">
        <f t="shared" si="1"/>
        <v>44396</v>
      </c>
      <c r="AK11" s="118">
        <f t="shared" si="2"/>
        <v>-318</v>
      </c>
      <c r="AL11" s="119" t="str">
        <f t="shared" si="3"/>
        <v>Reporte ok</v>
      </c>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3"/>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conditionalFormatting sqref="AK11">
    <cfRule type="cellIs" dxfId="2" priority="3" operator="greaterThan">
      <formula>0</formula>
    </cfRule>
  </conditionalFormatting>
  <conditionalFormatting sqref="AK11">
    <cfRule type="cellIs" dxfId="3" priority="4" operator="lessThan">
      <formula>0</formula>
    </cfRule>
  </conditionalFormatting>
  <conditionalFormatting sqref="AK7:AK8">
    <cfRule type="cellIs" dxfId="2" priority="5" operator="greaterThan">
      <formula>0</formula>
    </cfRule>
  </conditionalFormatting>
  <conditionalFormatting sqref="AK7:AK8">
    <cfRule type="cellIs" dxfId="3" priority="6"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location="gid=1942166271" ref="AI6"/>
  </hyperlinks>
  <printOptions gridLines="1" horizontalCentered="1"/>
  <pageMargins bottom="0.75" footer="0.0" header="0.0" left="0.7" right="0.7" top="0.75"/>
  <pageSetup cellComments="atEnd" orientation="portrait" pageOrder="overThenDown"/>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77.0</v>
      </c>
      <c r="C4" s="103" t="s">
        <v>438</v>
      </c>
      <c r="D4" s="103" t="s">
        <v>17</v>
      </c>
      <c r="E4" s="103" t="s">
        <v>115</v>
      </c>
      <c r="F4" s="104">
        <v>2.018011000241E12</v>
      </c>
      <c r="G4" s="105" t="s">
        <v>116</v>
      </c>
      <c r="H4" s="103" t="s">
        <v>511</v>
      </c>
      <c r="I4" s="103" t="s">
        <v>512</v>
      </c>
      <c r="J4" s="103" t="s">
        <v>513</v>
      </c>
      <c r="K4" s="106" t="s">
        <v>141</v>
      </c>
      <c r="L4" s="106" t="s">
        <v>121</v>
      </c>
      <c r="M4" s="106" t="s">
        <v>122</v>
      </c>
      <c r="N4" s="107" t="s">
        <v>514</v>
      </c>
      <c r="O4" s="108">
        <v>1.0</v>
      </c>
      <c r="P4" s="109">
        <v>1.0</v>
      </c>
      <c r="Q4" s="110" t="s">
        <v>515</v>
      </c>
      <c r="R4" s="111" t="s">
        <v>124</v>
      </c>
      <c r="S4" s="109">
        <v>0.0</v>
      </c>
      <c r="T4" s="109">
        <v>0.0</v>
      </c>
      <c r="U4" s="112">
        <v>0.0</v>
      </c>
      <c r="V4" s="112">
        <v>1.0</v>
      </c>
      <c r="W4" s="113" t="s">
        <v>17</v>
      </c>
      <c r="X4" s="105" t="s">
        <v>447</v>
      </c>
      <c r="Y4" s="103" t="s">
        <v>516</v>
      </c>
      <c r="Z4" s="105" t="s">
        <v>449</v>
      </c>
      <c r="AA4" s="103" t="s">
        <v>450</v>
      </c>
      <c r="AB4" s="103" t="s">
        <v>517</v>
      </c>
      <c r="AC4" s="103" t="s">
        <v>131</v>
      </c>
      <c r="AD4" s="103" t="s">
        <v>451</v>
      </c>
      <c r="AE4" s="103" t="s">
        <v>518</v>
      </c>
      <c r="AF4" s="103" t="s">
        <v>519</v>
      </c>
      <c r="AG4" s="114">
        <v>0.0</v>
      </c>
      <c r="AH4" s="115" t="s">
        <v>520</v>
      </c>
      <c r="AI4" s="116"/>
      <c r="AJ4" s="117">
        <f t="shared" ref="AJ4:AJ8" si="1">$AK$1</f>
        <v>44396</v>
      </c>
      <c r="AK4" s="118">
        <f t="shared" ref="AK4:AK8" si="2">AJ4-$AL$1</f>
        <v>-318</v>
      </c>
      <c r="AL4" s="119" t="str">
        <f t="shared" ref="AL4:AL8" si="3">IF(ISBLANK(AG4),"Pendiente Ejecución"&amp;CHAR(10),)&amp;IF(ISBLANK(AH4),"Pendiente Justificación"&amp;CHAR(10),)&amp;IF(ISBLANK(AI4),"Pendiente Evidencia",)&amp;IF(OR(ISBLANK(AG4),ISBLANK(AH4),ISBLANK(AI4)),,"Reporte ok")</f>
        <v>Pendiente Evidencia</v>
      </c>
      <c r="AM4" s="119"/>
      <c r="AN4" s="120"/>
    </row>
    <row r="5" ht="67.5" customHeight="1">
      <c r="A5" s="45"/>
      <c r="B5" s="103">
        <v>78.0</v>
      </c>
      <c r="C5" s="103" t="s">
        <v>438</v>
      </c>
      <c r="D5" s="103" t="s">
        <v>17</v>
      </c>
      <c r="E5" s="103" t="s">
        <v>115</v>
      </c>
      <c r="F5" s="104">
        <v>2.018011000241E12</v>
      </c>
      <c r="G5" s="105" t="s">
        <v>116</v>
      </c>
      <c r="H5" s="103" t="s">
        <v>511</v>
      </c>
      <c r="I5" s="103" t="s">
        <v>512</v>
      </c>
      <c r="J5" s="103" t="s">
        <v>521</v>
      </c>
      <c r="K5" s="106" t="s">
        <v>141</v>
      </c>
      <c r="L5" s="106" t="s">
        <v>121</v>
      </c>
      <c r="M5" s="106" t="s">
        <v>122</v>
      </c>
      <c r="N5" s="107" t="s">
        <v>522</v>
      </c>
      <c r="O5" s="108">
        <v>1.0</v>
      </c>
      <c r="P5" s="109">
        <v>1.0</v>
      </c>
      <c r="Q5" s="110" t="s">
        <v>523</v>
      </c>
      <c r="R5" s="111" t="s">
        <v>124</v>
      </c>
      <c r="S5" s="109">
        <v>0.0</v>
      </c>
      <c r="T5" s="109">
        <v>0.0</v>
      </c>
      <c r="U5" s="112">
        <v>0.0</v>
      </c>
      <c r="V5" s="112">
        <v>1.0</v>
      </c>
      <c r="W5" s="113" t="s">
        <v>17</v>
      </c>
      <c r="X5" s="105" t="s">
        <v>447</v>
      </c>
      <c r="Y5" s="103" t="s">
        <v>516</v>
      </c>
      <c r="Z5" s="105" t="s">
        <v>449</v>
      </c>
      <c r="AA5" s="103" t="s">
        <v>450</v>
      </c>
      <c r="AB5" s="103" t="s">
        <v>517</v>
      </c>
      <c r="AC5" s="103" t="s">
        <v>131</v>
      </c>
      <c r="AD5" s="103" t="s">
        <v>451</v>
      </c>
      <c r="AE5" s="103" t="s">
        <v>518</v>
      </c>
      <c r="AF5" s="103" t="s">
        <v>519</v>
      </c>
      <c r="AG5" s="114">
        <v>0.0</v>
      </c>
      <c r="AH5" s="115" t="s">
        <v>520</v>
      </c>
      <c r="AI5" s="116"/>
      <c r="AJ5" s="117">
        <f t="shared" si="1"/>
        <v>44396</v>
      </c>
      <c r="AK5" s="118">
        <f t="shared" si="2"/>
        <v>-318</v>
      </c>
      <c r="AL5" s="119" t="str">
        <f t="shared" si="3"/>
        <v>Pendiente Evidencia</v>
      </c>
      <c r="AM5" s="119"/>
      <c r="AN5" s="120"/>
    </row>
    <row r="6" ht="67.5" customHeight="1">
      <c r="A6" s="45"/>
      <c r="B6" s="103">
        <v>79.0</v>
      </c>
      <c r="C6" s="103" t="s">
        <v>438</v>
      </c>
      <c r="D6" s="103" t="s">
        <v>17</v>
      </c>
      <c r="E6" s="103" t="s">
        <v>115</v>
      </c>
      <c r="F6" s="104">
        <v>2.018011000241E12</v>
      </c>
      <c r="G6" s="105" t="s">
        <v>116</v>
      </c>
      <c r="H6" s="103" t="s">
        <v>511</v>
      </c>
      <c r="I6" s="103" t="s">
        <v>512</v>
      </c>
      <c r="J6" s="103" t="s">
        <v>513</v>
      </c>
      <c r="K6" s="106" t="s">
        <v>141</v>
      </c>
      <c r="L6" s="106" t="s">
        <v>121</v>
      </c>
      <c r="M6" s="106" t="s">
        <v>122</v>
      </c>
      <c r="N6" s="107" t="s">
        <v>524</v>
      </c>
      <c r="O6" s="108">
        <v>2.0</v>
      </c>
      <c r="P6" s="109">
        <v>2.0</v>
      </c>
      <c r="Q6" s="110" t="s">
        <v>525</v>
      </c>
      <c r="R6" s="111" t="s">
        <v>172</v>
      </c>
      <c r="S6" s="109">
        <v>0.0</v>
      </c>
      <c r="T6" s="109">
        <v>1.0</v>
      </c>
      <c r="U6" s="112">
        <v>1.0</v>
      </c>
      <c r="V6" s="112">
        <v>0.0</v>
      </c>
      <c r="W6" s="113" t="s">
        <v>17</v>
      </c>
      <c r="X6" s="105" t="s">
        <v>447</v>
      </c>
      <c r="Y6" s="103" t="s">
        <v>516</v>
      </c>
      <c r="Z6" s="105" t="s">
        <v>449</v>
      </c>
      <c r="AA6" s="103" t="s">
        <v>450</v>
      </c>
      <c r="AB6" s="103" t="s">
        <v>517</v>
      </c>
      <c r="AC6" s="103" t="s">
        <v>131</v>
      </c>
      <c r="AD6" s="103" t="s">
        <v>451</v>
      </c>
      <c r="AE6" s="103" t="s">
        <v>518</v>
      </c>
      <c r="AF6" s="103" t="s">
        <v>519</v>
      </c>
      <c r="AG6" s="114">
        <v>1.0</v>
      </c>
      <c r="AH6" s="115" t="s">
        <v>526</v>
      </c>
      <c r="AI6" s="133" t="s">
        <v>527</v>
      </c>
      <c r="AJ6" s="117">
        <f t="shared" si="1"/>
        <v>44396</v>
      </c>
      <c r="AK6" s="118">
        <f t="shared" si="2"/>
        <v>-318</v>
      </c>
      <c r="AL6" s="119" t="str">
        <f t="shared" si="3"/>
        <v>Reporte ok</v>
      </c>
      <c r="AM6" s="119"/>
      <c r="AN6" s="120"/>
    </row>
    <row r="7" ht="67.5" customHeight="1">
      <c r="A7" s="45"/>
      <c r="B7" s="103">
        <v>80.0</v>
      </c>
      <c r="C7" s="103" t="s">
        <v>438</v>
      </c>
      <c r="D7" s="103" t="s">
        <v>17</v>
      </c>
      <c r="E7" s="103" t="s">
        <v>115</v>
      </c>
      <c r="F7" s="104">
        <v>2.018011000241E12</v>
      </c>
      <c r="G7" s="105" t="s">
        <v>116</v>
      </c>
      <c r="H7" s="103" t="s">
        <v>511</v>
      </c>
      <c r="I7" s="103" t="s">
        <v>512</v>
      </c>
      <c r="J7" s="103" t="s">
        <v>513</v>
      </c>
      <c r="K7" s="106" t="s">
        <v>141</v>
      </c>
      <c r="L7" s="106" t="s">
        <v>121</v>
      </c>
      <c r="M7" s="106" t="s">
        <v>122</v>
      </c>
      <c r="N7" s="107" t="s">
        <v>528</v>
      </c>
      <c r="O7" s="108">
        <v>2.0</v>
      </c>
      <c r="P7" s="109">
        <v>2.0</v>
      </c>
      <c r="Q7" s="110" t="s">
        <v>529</v>
      </c>
      <c r="R7" s="111" t="s">
        <v>172</v>
      </c>
      <c r="S7" s="109">
        <v>0.0</v>
      </c>
      <c r="T7" s="109">
        <v>0.0</v>
      </c>
      <c r="U7" s="112">
        <v>1.0</v>
      </c>
      <c r="V7" s="112">
        <v>1.0</v>
      </c>
      <c r="W7" s="113" t="s">
        <v>17</v>
      </c>
      <c r="X7" s="105" t="s">
        <v>447</v>
      </c>
      <c r="Y7" s="103" t="s">
        <v>516</v>
      </c>
      <c r="Z7" s="105" t="s">
        <v>449</v>
      </c>
      <c r="AA7" s="103" t="s">
        <v>450</v>
      </c>
      <c r="AB7" s="103" t="s">
        <v>517</v>
      </c>
      <c r="AC7" s="103" t="s">
        <v>131</v>
      </c>
      <c r="AD7" s="103" t="s">
        <v>451</v>
      </c>
      <c r="AE7" s="103" t="s">
        <v>518</v>
      </c>
      <c r="AF7" s="103" t="s">
        <v>519</v>
      </c>
      <c r="AG7" s="114">
        <v>0.0</v>
      </c>
      <c r="AH7" s="115" t="s">
        <v>530</v>
      </c>
      <c r="AI7" s="116"/>
      <c r="AJ7" s="117">
        <f t="shared" si="1"/>
        <v>44396</v>
      </c>
      <c r="AK7" s="118">
        <f t="shared" si="2"/>
        <v>-318</v>
      </c>
      <c r="AL7" s="119" t="str">
        <f t="shared" si="3"/>
        <v>Pendiente Evidencia</v>
      </c>
      <c r="AM7" s="119"/>
      <c r="AN7" s="120"/>
    </row>
    <row r="8" ht="67.5" customHeight="1">
      <c r="A8" s="45"/>
      <c r="B8" s="103">
        <v>81.0</v>
      </c>
      <c r="C8" s="103" t="s">
        <v>438</v>
      </c>
      <c r="D8" s="103" t="s">
        <v>17</v>
      </c>
      <c r="E8" s="103" t="s">
        <v>115</v>
      </c>
      <c r="F8" s="104">
        <v>2.018011000241E12</v>
      </c>
      <c r="G8" s="105" t="s">
        <v>116</v>
      </c>
      <c r="H8" s="103" t="s">
        <v>511</v>
      </c>
      <c r="I8" s="103" t="s">
        <v>512</v>
      </c>
      <c r="J8" s="103" t="s">
        <v>513</v>
      </c>
      <c r="K8" s="106" t="s">
        <v>141</v>
      </c>
      <c r="L8" s="106" t="s">
        <v>121</v>
      </c>
      <c r="M8" s="106" t="s">
        <v>122</v>
      </c>
      <c r="N8" s="107" t="s">
        <v>531</v>
      </c>
      <c r="O8" s="108">
        <v>2.0</v>
      </c>
      <c r="P8" s="109">
        <v>3.0</v>
      </c>
      <c r="Q8" s="110" t="s">
        <v>532</v>
      </c>
      <c r="R8" s="111" t="s">
        <v>172</v>
      </c>
      <c r="S8" s="109">
        <v>1.0</v>
      </c>
      <c r="T8" s="109">
        <v>0.0</v>
      </c>
      <c r="U8" s="112">
        <v>2.0</v>
      </c>
      <c r="V8" s="112">
        <v>0.0</v>
      </c>
      <c r="W8" s="113" t="s">
        <v>17</v>
      </c>
      <c r="X8" s="105" t="s">
        <v>447</v>
      </c>
      <c r="Y8" s="103" t="s">
        <v>516</v>
      </c>
      <c r="Z8" s="105" t="s">
        <v>449</v>
      </c>
      <c r="AA8" s="103" t="s">
        <v>450</v>
      </c>
      <c r="AB8" s="103" t="s">
        <v>517</v>
      </c>
      <c r="AC8" s="103" t="s">
        <v>131</v>
      </c>
      <c r="AD8" s="103" t="s">
        <v>451</v>
      </c>
      <c r="AE8" s="103" t="s">
        <v>518</v>
      </c>
      <c r="AF8" s="103" t="s">
        <v>519</v>
      </c>
      <c r="AG8" s="114">
        <v>0.0</v>
      </c>
      <c r="AH8" s="115" t="s">
        <v>530</v>
      </c>
      <c r="AI8" s="116"/>
      <c r="AJ8" s="117">
        <f t="shared" si="1"/>
        <v>44396</v>
      </c>
      <c r="AK8" s="118">
        <f t="shared" si="2"/>
        <v>-318</v>
      </c>
      <c r="AL8" s="119" t="str">
        <f t="shared" si="3"/>
        <v>Pendiente Evidencia</v>
      </c>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0"/>
  <mergeCells count="2">
    <mergeCell ref="B1:C1"/>
    <mergeCell ref="AG2:AM2"/>
  </mergeCells>
  <conditionalFormatting sqref="AK4:AK10">
    <cfRule type="cellIs" dxfId="2" priority="1" operator="greaterThan">
      <formula>0</formula>
    </cfRule>
  </conditionalFormatting>
  <conditionalFormatting sqref="AK4:AK10">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6"/>
  </hyperlinks>
  <printOptions gridLines="1" horizontalCentered="1"/>
  <pageMargins bottom="0.75" footer="0.0" header="0.0" left="0.7" right="0.7" top="0.75"/>
  <pageSetup cellComments="atEnd" orientation="portrait" pageOrder="overThenDown"/>
  <drawing r:id="rId2"/>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35.7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82.0</v>
      </c>
      <c r="C4" s="103" t="s">
        <v>533</v>
      </c>
      <c r="D4" s="103" t="s">
        <v>216</v>
      </c>
      <c r="E4" s="103" t="s">
        <v>115</v>
      </c>
      <c r="F4" s="104">
        <v>2.018011000241E12</v>
      </c>
      <c r="G4" s="105" t="s">
        <v>116</v>
      </c>
      <c r="H4" s="103" t="s">
        <v>138</v>
      </c>
      <c r="I4" s="103" t="s">
        <v>139</v>
      </c>
      <c r="J4" s="103" t="s">
        <v>194</v>
      </c>
      <c r="K4" s="106" t="s">
        <v>141</v>
      </c>
      <c r="L4" s="106" t="s">
        <v>121</v>
      </c>
      <c r="M4" s="106" t="s">
        <v>142</v>
      </c>
      <c r="N4" s="107" t="s">
        <v>534</v>
      </c>
      <c r="O4" s="108"/>
      <c r="P4" s="121">
        <v>1.0</v>
      </c>
      <c r="Q4" s="110" t="s">
        <v>535</v>
      </c>
      <c r="R4" s="111" t="s">
        <v>177</v>
      </c>
      <c r="S4" s="121">
        <v>0.0</v>
      </c>
      <c r="T4" s="121">
        <v>0.5</v>
      </c>
      <c r="U4" s="121">
        <v>0.0</v>
      </c>
      <c r="V4" s="121">
        <v>0.5</v>
      </c>
      <c r="W4" s="113" t="s">
        <v>216</v>
      </c>
      <c r="X4" s="105" t="s">
        <v>536</v>
      </c>
      <c r="Y4" s="103" t="s">
        <v>537</v>
      </c>
      <c r="Z4" s="105" t="s">
        <v>538</v>
      </c>
      <c r="AA4" s="103" t="s">
        <v>268</v>
      </c>
      <c r="AB4" s="103" t="s">
        <v>539</v>
      </c>
      <c r="AC4" s="103" t="s">
        <v>131</v>
      </c>
      <c r="AD4" s="103" t="s">
        <v>216</v>
      </c>
      <c r="AE4" s="103" t="s">
        <v>216</v>
      </c>
      <c r="AF4" s="103" t="s">
        <v>134</v>
      </c>
      <c r="AG4" s="122">
        <v>0.5</v>
      </c>
      <c r="AH4" s="134" t="s">
        <v>540</v>
      </c>
      <c r="AI4" s="124" t="s">
        <v>541</v>
      </c>
      <c r="AJ4" s="117">
        <f t="shared" ref="AJ4:AJ7" si="1">$AK$1</f>
        <v>44396</v>
      </c>
      <c r="AK4" s="118">
        <f t="shared" ref="AK4:AK7" si="2">AJ4-$AL$1</f>
        <v>-318</v>
      </c>
      <c r="AL4" s="119" t="str">
        <f t="shared" ref="AL4:AL7" si="3">IF(ISBLANK(AG4),"Pendiente Ejecución"&amp;CHAR(10),)&amp;IF(ISBLANK(AH4),"Pendiente Justificación"&amp;CHAR(10),)&amp;IF(ISBLANK(AI4),"Pendiente Evidencia",)&amp;IF(OR(ISBLANK(AG4),ISBLANK(AH4),ISBLANK(AI4)),,"Reporte ok")</f>
        <v>Reporte ok</v>
      </c>
      <c r="AM4" s="119"/>
      <c r="AN4" s="120"/>
    </row>
    <row r="5" ht="67.5" customHeight="1">
      <c r="A5" s="45"/>
      <c r="B5" s="103">
        <v>83.0</v>
      </c>
      <c r="C5" s="103" t="s">
        <v>533</v>
      </c>
      <c r="D5" s="103" t="s">
        <v>216</v>
      </c>
      <c r="E5" s="103" t="s">
        <v>115</v>
      </c>
      <c r="F5" s="104">
        <v>2.018011000241E12</v>
      </c>
      <c r="G5" s="105" t="s">
        <v>116</v>
      </c>
      <c r="H5" s="103" t="s">
        <v>138</v>
      </c>
      <c r="I5" s="103" t="s">
        <v>139</v>
      </c>
      <c r="J5" s="103" t="s">
        <v>194</v>
      </c>
      <c r="K5" s="106" t="s">
        <v>141</v>
      </c>
      <c r="L5" s="106" t="s">
        <v>121</v>
      </c>
      <c r="M5" s="106" t="s">
        <v>142</v>
      </c>
      <c r="N5" s="107" t="s">
        <v>542</v>
      </c>
      <c r="O5" s="108"/>
      <c r="P5" s="121">
        <v>1.0</v>
      </c>
      <c r="Q5" s="110" t="s">
        <v>543</v>
      </c>
      <c r="R5" s="111" t="s">
        <v>124</v>
      </c>
      <c r="S5" s="121">
        <v>0.0</v>
      </c>
      <c r="T5" s="121">
        <v>0.0</v>
      </c>
      <c r="U5" s="121">
        <v>0.0</v>
      </c>
      <c r="V5" s="121">
        <v>1.0</v>
      </c>
      <c r="W5" s="113" t="s">
        <v>216</v>
      </c>
      <c r="X5" s="105" t="s">
        <v>536</v>
      </c>
      <c r="Y5" s="103" t="s">
        <v>537</v>
      </c>
      <c r="Z5" s="105" t="s">
        <v>538</v>
      </c>
      <c r="AA5" s="103" t="s">
        <v>268</v>
      </c>
      <c r="AB5" s="103" t="s">
        <v>544</v>
      </c>
      <c r="AC5" s="103" t="s">
        <v>131</v>
      </c>
      <c r="AD5" s="103" t="s">
        <v>216</v>
      </c>
      <c r="AE5" s="103" t="s">
        <v>216</v>
      </c>
      <c r="AF5" s="103" t="s">
        <v>134</v>
      </c>
      <c r="AG5" s="122">
        <v>0.0</v>
      </c>
      <c r="AH5" s="134" t="s">
        <v>545</v>
      </c>
      <c r="AI5" s="124" t="s">
        <v>546</v>
      </c>
      <c r="AJ5" s="117">
        <f t="shared" si="1"/>
        <v>44396</v>
      </c>
      <c r="AK5" s="118">
        <f t="shared" si="2"/>
        <v>-318</v>
      </c>
      <c r="AL5" s="119" t="str">
        <f t="shared" si="3"/>
        <v>Reporte ok</v>
      </c>
      <c r="AM5" s="119"/>
      <c r="AN5" s="120"/>
    </row>
    <row r="6" ht="67.5" customHeight="1">
      <c r="A6" s="45"/>
      <c r="B6" s="103">
        <v>84.0</v>
      </c>
      <c r="C6" s="103" t="s">
        <v>533</v>
      </c>
      <c r="D6" s="103" t="s">
        <v>216</v>
      </c>
      <c r="E6" s="103" t="s">
        <v>115</v>
      </c>
      <c r="F6" s="104">
        <v>2.018011000241E12</v>
      </c>
      <c r="G6" s="105" t="s">
        <v>116</v>
      </c>
      <c r="H6" s="103" t="s">
        <v>138</v>
      </c>
      <c r="I6" s="103" t="s">
        <v>547</v>
      </c>
      <c r="J6" s="103" t="s">
        <v>548</v>
      </c>
      <c r="K6" s="106" t="s">
        <v>141</v>
      </c>
      <c r="L6" s="106" t="s">
        <v>121</v>
      </c>
      <c r="M6" s="106" t="s">
        <v>142</v>
      </c>
      <c r="N6" s="107" t="s">
        <v>549</v>
      </c>
      <c r="O6" s="108"/>
      <c r="P6" s="121">
        <v>1.0</v>
      </c>
      <c r="Q6" s="110" t="s">
        <v>550</v>
      </c>
      <c r="R6" s="111" t="s">
        <v>124</v>
      </c>
      <c r="S6" s="121">
        <v>0.0</v>
      </c>
      <c r="T6" s="121">
        <v>0.0</v>
      </c>
      <c r="U6" s="121">
        <v>0.0</v>
      </c>
      <c r="V6" s="121">
        <v>1.0</v>
      </c>
      <c r="W6" s="113" t="s">
        <v>216</v>
      </c>
      <c r="X6" s="105" t="s">
        <v>536</v>
      </c>
      <c r="Y6" s="103" t="s">
        <v>537</v>
      </c>
      <c r="Z6" s="105" t="s">
        <v>538</v>
      </c>
      <c r="AA6" s="103" t="s">
        <v>268</v>
      </c>
      <c r="AB6" s="103" t="s">
        <v>551</v>
      </c>
      <c r="AC6" s="103" t="s">
        <v>131</v>
      </c>
      <c r="AD6" s="103" t="s">
        <v>216</v>
      </c>
      <c r="AE6" s="103" t="s">
        <v>216</v>
      </c>
      <c r="AF6" s="103" t="s">
        <v>134</v>
      </c>
      <c r="AG6" s="122">
        <v>0.0</v>
      </c>
      <c r="AH6" s="134" t="s">
        <v>552</v>
      </c>
      <c r="AI6" s="124" t="s">
        <v>553</v>
      </c>
      <c r="AJ6" s="117">
        <f t="shared" si="1"/>
        <v>44396</v>
      </c>
      <c r="AK6" s="118">
        <f t="shared" si="2"/>
        <v>-318</v>
      </c>
      <c r="AL6" s="119" t="str">
        <f t="shared" si="3"/>
        <v>Reporte ok</v>
      </c>
      <c r="AM6" s="119"/>
      <c r="AN6" s="120"/>
    </row>
    <row r="7" ht="67.5" customHeight="1">
      <c r="A7" s="45"/>
      <c r="B7" s="103">
        <v>85.0</v>
      </c>
      <c r="C7" s="103" t="s">
        <v>533</v>
      </c>
      <c r="D7" s="103" t="s">
        <v>216</v>
      </c>
      <c r="E7" s="103" t="s">
        <v>115</v>
      </c>
      <c r="F7" s="104">
        <v>2.018011000241E12</v>
      </c>
      <c r="G7" s="105" t="s">
        <v>116</v>
      </c>
      <c r="H7" s="103" t="s">
        <v>138</v>
      </c>
      <c r="I7" s="103" t="s">
        <v>139</v>
      </c>
      <c r="J7" s="103" t="s">
        <v>194</v>
      </c>
      <c r="K7" s="106" t="s">
        <v>141</v>
      </c>
      <c r="L7" s="106" t="s">
        <v>121</v>
      </c>
      <c r="M7" s="106" t="s">
        <v>142</v>
      </c>
      <c r="N7" s="107" t="s">
        <v>554</v>
      </c>
      <c r="O7" s="108"/>
      <c r="P7" s="121">
        <v>1.0</v>
      </c>
      <c r="Q7" s="110" t="s">
        <v>555</v>
      </c>
      <c r="R7" s="111" t="s">
        <v>172</v>
      </c>
      <c r="S7" s="121">
        <v>0.25</v>
      </c>
      <c r="T7" s="121">
        <v>0.25</v>
      </c>
      <c r="U7" s="121">
        <v>0.25</v>
      </c>
      <c r="V7" s="121">
        <v>0.25</v>
      </c>
      <c r="W7" s="113" t="s">
        <v>216</v>
      </c>
      <c r="X7" s="105" t="s">
        <v>536</v>
      </c>
      <c r="Y7" s="103" t="s">
        <v>537</v>
      </c>
      <c r="Z7" s="105" t="s">
        <v>538</v>
      </c>
      <c r="AA7" s="103" t="s">
        <v>268</v>
      </c>
      <c r="AB7" s="103" t="s">
        <v>556</v>
      </c>
      <c r="AC7" s="103" t="s">
        <v>131</v>
      </c>
      <c r="AD7" s="103" t="s">
        <v>216</v>
      </c>
      <c r="AE7" s="103" t="s">
        <v>216</v>
      </c>
      <c r="AF7" s="103" t="s">
        <v>134</v>
      </c>
      <c r="AG7" s="122">
        <v>1.0</v>
      </c>
      <c r="AH7" s="134" t="s">
        <v>557</v>
      </c>
      <c r="AI7" s="123" t="s">
        <v>558</v>
      </c>
      <c r="AJ7" s="117">
        <f t="shared" si="1"/>
        <v>44396</v>
      </c>
      <c r="AK7" s="118">
        <f t="shared" si="2"/>
        <v>-318</v>
      </c>
      <c r="AL7" s="119" t="str">
        <f t="shared" si="3"/>
        <v>Reporte ok</v>
      </c>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21"/>
      <c r="AK8" s="121"/>
      <c r="AL8" s="121"/>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21"/>
      <c r="AK9" s="121"/>
      <c r="AL9" s="121"/>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21"/>
      <c r="AK10" s="121"/>
      <c r="AL10" s="121"/>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21"/>
      <c r="AK11" s="121"/>
      <c r="AL11" s="121"/>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21"/>
      <c r="AK12" s="121"/>
      <c r="AL12" s="121"/>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21"/>
      <c r="AK13" s="121"/>
      <c r="AL13" s="121"/>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21"/>
      <c r="AK14" s="121"/>
      <c r="AL14" s="121"/>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21"/>
      <c r="AK15" s="121"/>
      <c r="AL15" s="121"/>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9"/>
  <mergeCells count="2">
    <mergeCell ref="B1:C1"/>
    <mergeCell ref="AG2:AM2"/>
  </mergeCells>
  <conditionalFormatting sqref="AK4:AK7">
    <cfRule type="cellIs" dxfId="2" priority="1" operator="greaterThan">
      <formula>0</formula>
    </cfRule>
  </conditionalFormatting>
  <conditionalFormatting sqref="AK4:AK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6"/>
    <hyperlink r:id="rId4" ref="AI7"/>
  </hyperlinks>
  <printOptions gridLines="1" horizontalCentered="1"/>
  <pageMargins bottom="0.75" footer="0.0" header="0.0" left="0.7" right="0.7" top="0.75"/>
  <pageSetup cellComments="atEnd" orientation="portrait" pageOrder="overThenDown"/>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5"/>
      <c r="C1" s="5"/>
      <c r="D1" s="5"/>
      <c r="E1" s="5"/>
      <c r="F1" s="5"/>
      <c r="G1" s="5"/>
    </row>
    <row r="2" ht="30.0" customHeight="1">
      <c r="B2" s="6" t="s">
        <v>24</v>
      </c>
    </row>
    <row r="3" ht="37.5" customHeight="1">
      <c r="B3" s="7" t="s">
        <v>25</v>
      </c>
      <c r="C3" s="8" t="s">
        <v>26</v>
      </c>
      <c r="D3" s="8" t="s">
        <v>27</v>
      </c>
      <c r="E3" s="8" t="s">
        <v>28</v>
      </c>
      <c r="F3" s="8" t="s">
        <v>29</v>
      </c>
      <c r="G3" s="8" t="s">
        <v>30</v>
      </c>
    </row>
    <row r="4" ht="30.0" customHeight="1">
      <c r="B4" s="9" t="str">
        <f>Consolidado!BM3</f>
        <v>ADMINISTRATIVA</v>
      </c>
      <c r="C4" s="10">
        <f>Consolidado!BN3</f>
        <v>3</v>
      </c>
      <c r="D4" s="11">
        <f>Consolidado!BO3</f>
        <v>1</v>
      </c>
      <c r="E4" s="11">
        <f>Consolidado!BP3</f>
        <v>1</v>
      </c>
      <c r="F4" s="12">
        <f>Consolidado!BQ3</f>
        <v>4</v>
      </c>
      <c r="G4" s="11" t="str">
        <f>Consolidado!BR3</f>
        <v>Reporte con Sobre Ejecución</v>
      </c>
    </row>
    <row r="5" ht="30.0" customHeight="1">
      <c r="B5" s="9" t="str">
        <f>Consolidado!BM4</f>
        <v>COMUNICACIONES</v>
      </c>
      <c r="C5" s="13">
        <f>Consolidado!BN4</f>
        <v>8</v>
      </c>
      <c r="D5" s="14">
        <f>Consolidado!BO4</f>
        <v>7</v>
      </c>
      <c r="E5" s="11">
        <f>Consolidado!BP4</f>
        <v>7</v>
      </c>
      <c r="F5" s="12">
        <f>Consolidado!BQ4</f>
        <v>1</v>
      </c>
      <c r="G5" s="11" t="str">
        <f>Consolidado!BR4</f>
        <v>Reporte Completo</v>
      </c>
    </row>
    <row r="6" ht="30.0" customHeight="1">
      <c r="B6" s="9" t="str">
        <f>Consolidado!BM5</f>
        <v>ATENCIÓN AL CIUDADANO</v>
      </c>
      <c r="C6" s="13">
        <f>Consolidado!BN5</f>
        <v>3</v>
      </c>
      <c r="D6" s="14">
        <f>Consolidado!BO5</f>
        <v>2</v>
      </c>
      <c r="E6" s="11">
        <f>Consolidado!BP5</f>
        <v>2</v>
      </c>
      <c r="F6" s="12">
        <f>Consolidado!BQ5</f>
        <v>1</v>
      </c>
      <c r="G6" s="11" t="str">
        <f>Consolidado!BR5</f>
        <v>Reporte Completo</v>
      </c>
    </row>
    <row r="7" ht="30.0" customHeight="1">
      <c r="B7" s="9" t="str">
        <f>Consolidado!BM6</f>
        <v>CONTRATOS</v>
      </c>
      <c r="C7" s="13">
        <f>Consolidado!BN6</f>
        <v>7</v>
      </c>
      <c r="D7" s="14">
        <f>Consolidado!BO6</f>
        <v>7</v>
      </c>
      <c r="E7" s="11">
        <f>Consolidado!BP6</f>
        <v>7</v>
      </c>
      <c r="F7" s="12">
        <f>Consolidado!BQ6</f>
        <v>0.989</v>
      </c>
      <c r="G7" s="11" t="str">
        <f>Consolidado!BR6</f>
        <v>Reporte Completo</v>
      </c>
    </row>
    <row r="8" ht="30.0" customHeight="1">
      <c r="B8" s="9" t="str">
        <f>Consolidado!BM7</f>
        <v>CONTROL INTERNO</v>
      </c>
      <c r="C8" s="13">
        <f>Consolidado!BN7</f>
        <v>1</v>
      </c>
      <c r="D8" s="14">
        <f>Consolidado!BO7</f>
        <v>1</v>
      </c>
      <c r="E8" s="11">
        <f>Consolidado!BP7</f>
        <v>1</v>
      </c>
      <c r="F8" s="12">
        <f>Consolidado!BQ7</f>
        <v>1.225</v>
      </c>
      <c r="G8" s="11" t="str">
        <f>Consolidado!BR7</f>
        <v>Reporte con Sobre Ejecución</v>
      </c>
    </row>
    <row r="9" ht="30.0" customHeight="1">
      <c r="B9" s="9" t="str">
        <f>Consolidado!BM8</f>
        <v>DIRECCIÓN TÉCNICA DE ADMINISTRACIÓN Y FOMENTO</v>
      </c>
      <c r="C9" s="13">
        <f>Consolidado!BN8</f>
        <v>13</v>
      </c>
      <c r="D9" s="14">
        <f>Consolidado!BO8</f>
        <v>5</v>
      </c>
      <c r="E9" s="11">
        <f>Consolidado!BP8</f>
        <v>5</v>
      </c>
      <c r="F9" s="12">
        <f>Consolidado!BQ8</f>
        <v>1.209371429</v>
      </c>
      <c r="G9" s="11" t="str">
        <f>Consolidado!BR8</f>
        <v>Reporte con Sobre Ejecución</v>
      </c>
    </row>
    <row r="10" ht="30.0" customHeight="1">
      <c r="B10" s="9" t="str">
        <f>Consolidado!BM9</f>
        <v>CONTROL INTERNO DISCIPLINARIO</v>
      </c>
      <c r="C10" s="13">
        <f>Consolidado!BN9</f>
        <v>3</v>
      </c>
      <c r="D10" s="14">
        <f>Consolidado!BO9</f>
        <v>2</v>
      </c>
      <c r="E10" s="11">
        <f>Consolidado!BP9</f>
        <v>2</v>
      </c>
      <c r="F10" s="12">
        <f>Consolidado!BQ9</f>
        <v>0.6333333333</v>
      </c>
      <c r="G10" s="11" t="str">
        <f>Consolidado!BR9</f>
        <v>Reporte con Baja Ejecución</v>
      </c>
    </row>
    <row r="11" ht="30.0" customHeight="1">
      <c r="B11" s="9" t="str">
        <f>Consolidado!BM10</f>
        <v>DIRECCIÓN TÉCNICA DE INSPECCIÓN Y VIGILANCIA</v>
      </c>
      <c r="C11" s="13">
        <f>Consolidado!BN10</f>
        <v>7</v>
      </c>
      <c r="D11" s="14">
        <f>Consolidado!BO10</f>
        <v>5</v>
      </c>
      <c r="E11" s="11">
        <f>Consolidado!BP10</f>
        <v>5</v>
      </c>
      <c r="F11" s="12">
        <f>Consolidado!BQ10</f>
        <v>1.039622642</v>
      </c>
      <c r="G11" s="11" t="str">
        <f>Consolidado!BR10</f>
        <v>Reporte Completo</v>
      </c>
    </row>
    <row r="12" ht="30.0" customHeight="1">
      <c r="B12" s="9" t="str">
        <f>Consolidado!BM11</f>
        <v>FINANCIERA</v>
      </c>
      <c r="C12" s="13">
        <f>Consolidado!BN11</f>
        <v>3</v>
      </c>
      <c r="D12" s="14">
        <f>Consolidado!BO11</f>
        <v>3</v>
      </c>
      <c r="E12" s="11">
        <f>Consolidado!BP11</f>
        <v>3</v>
      </c>
      <c r="F12" s="12">
        <f>Consolidado!BQ11</f>
        <v>1</v>
      </c>
      <c r="G12" s="11" t="str">
        <f>Consolidado!BR11</f>
        <v>Reporte Completo</v>
      </c>
    </row>
    <row r="13" ht="30.0" customHeight="1">
      <c r="B13" s="9" t="str">
        <f>Consolidado!BM12</f>
        <v>GESTIÓN DOCUMENTAL</v>
      </c>
      <c r="C13" s="13">
        <f>Consolidado!BN12</f>
        <v>3</v>
      </c>
      <c r="D13" s="14">
        <f>Consolidado!BO12</f>
        <v>3</v>
      </c>
      <c r="E13" s="11">
        <f>Consolidado!BP12</f>
        <v>3</v>
      </c>
      <c r="F13" s="12">
        <f>Consolidado!BQ12</f>
        <v>1</v>
      </c>
      <c r="G13" s="11" t="str">
        <f>Consolidado!BR12</f>
        <v>Reporte Completo</v>
      </c>
    </row>
    <row r="14" ht="30.0" customHeight="1">
      <c r="B14" s="9" t="str">
        <f>Consolidado!BM13</f>
        <v>OFICINA ASESOR JURÍDICA</v>
      </c>
      <c r="C14" s="13">
        <f>Consolidado!BN13</f>
        <v>5</v>
      </c>
      <c r="D14" s="14">
        <f>Consolidado!BO13</f>
        <v>5</v>
      </c>
      <c r="E14" s="11">
        <f>Consolidado!BP13</f>
        <v>5</v>
      </c>
      <c r="F14" s="12">
        <f>Consolidado!BQ13</f>
        <v>1</v>
      </c>
      <c r="G14" s="11" t="str">
        <f>Consolidado!BR13</f>
        <v>Reporte Completo</v>
      </c>
    </row>
    <row r="15" ht="30.0" customHeight="1">
      <c r="B15" s="9" t="str">
        <f>Consolidado!BM14</f>
        <v>OFICINA DE GENERACIÓN DEL CONOCIMIENTO Y LA INFORMACIÓN</v>
      </c>
      <c r="C15" s="13">
        <f>Consolidado!BN14</f>
        <v>12</v>
      </c>
      <c r="D15" s="14">
        <f>Consolidado!BO14</f>
        <v>4</v>
      </c>
      <c r="E15" s="11">
        <f>Consolidado!BP14</f>
        <v>4</v>
      </c>
      <c r="F15" s="12">
        <f>Consolidado!BQ14</f>
        <v>1</v>
      </c>
      <c r="G15" s="11" t="str">
        <f>Consolidado!BR14</f>
        <v>Reporte Completo</v>
      </c>
    </row>
    <row r="16" ht="30.0" customHeight="1">
      <c r="B16" s="9" t="str">
        <f>Consolidado!BM15</f>
        <v>PLANEACIÓN</v>
      </c>
      <c r="C16" s="13">
        <f>Consolidado!BN15</f>
        <v>8</v>
      </c>
      <c r="D16" s="14">
        <f>Consolidado!BO15</f>
        <v>1</v>
      </c>
      <c r="E16" s="11">
        <f>Consolidado!BP15</f>
        <v>1</v>
      </c>
      <c r="F16" s="12">
        <f>Consolidado!BQ15</f>
        <v>1</v>
      </c>
      <c r="G16" s="11" t="str">
        <f>Consolidado!BR15</f>
        <v>Reporte Completo</v>
      </c>
    </row>
    <row r="17" ht="30.0" customHeight="1">
      <c r="B17" s="9" t="str">
        <f>Consolidado!BM16</f>
        <v>SISTEMAS</v>
      </c>
      <c r="C17" s="13">
        <f>Consolidado!BN16</f>
        <v>5</v>
      </c>
      <c r="D17" s="14">
        <f>Consolidado!BO16</f>
        <v>1</v>
      </c>
      <c r="E17" s="11">
        <f>Consolidado!BP16</f>
        <v>1</v>
      </c>
      <c r="F17" s="12">
        <f>Consolidado!BQ16</f>
        <v>1</v>
      </c>
      <c r="G17" s="11" t="str">
        <f>Consolidado!BR16</f>
        <v>Reporte Completo</v>
      </c>
    </row>
    <row r="18" ht="30.0" customHeight="1">
      <c r="B18" s="9" t="str">
        <f>Consolidado!BM17</f>
        <v>TALENTO HUMANO</v>
      </c>
      <c r="C18" s="13">
        <f>Consolidado!BN17</f>
        <v>4</v>
      </c>
      <c r="D18" s="14">
        <f>Consolidado!BO17</f>
        <v>2</v>
      </c>
      <c r="E18" s="11">
        <f>Consolidado!BP17</f>
        <v>2</v>
      </c>
      <c r="F18" s="12">
        <f>Consolidado!BQ17</f>
        <v>2.5</v>
      </c>
      <c r="G18" s="11" t="str">
        <f>Consolidado!BR17</f>
        <v>Reporte con Sobre Ejecución</v>
      </c>
    </row>
    <row r="19" ht="30.0" customHeight="1">
      <c r="B19" s="9" t="str">
        <f>Consolidado!BM18</f>
        <v>REGIONAL BARRANCABERMEJA</v>
      </c>
      <c r="C19" s="13">
        <f>Consolidado!BN18</f>
        <v>8</v>
      </c>
      <c r="D19" s="14">
        <f>Consolidado!BO18</f>
        <v>7</v>
      </c>
      <c r="E19" s="11">
        <f>Consolidado!BP18</f>
        <v>7</v>
      </c>
      <c r="F19" s="12">
        <f>Consolidado!BQ18</f>
        <v>1.25512189</v>
      </c>
      <c r="G19" s="11" t="str">
        <f>Consolidado!BR18</f>
        <v>Reporte con Sobre Ejecución</v>
      </c>
    </row>
    <row r="20" ht="30.0" customHeight="1">
      <c r="B20" s="9" t="str">
        <f>Consolidado!BM19</f>
        <v>REGIONAL BARRANQUILLA</v>
      </c>
      <c r="C20" s="13">
        <f>Consolidado!BN19</f>
        <v>17</v>
      </c>
      <c r="D20" s="14">
        <f>Consolidado!BO19</f>
        <v>12</v>
      </c>
      <c r="E20" s="11">
        <f>Consolidado!BP19</f>
        <v>12</v>
      </c>
      <c r="F20" s="12">
        <f>Consolidado!BQ19</f>
        <v>1.621944349</v>
      </c>
      <c r="G20" s="11" t="str">
        <f>Consolidado!BR19</f>
        <v>Reporte con Sobre Ejecución</v>
      </c>
    </row>
    <row r="21" ht="30.0" customHeight="1">
      <c r="B21" s="9" t="str">
        <f>Consolidado!BM20</f>
        <v>REGIONAL BOGOTÁ</v>
      </c>
      <c r="C21" s="13">
        <f>Consolidado!BN20</f>
        <v>10</v>
      </c>
      <c r="D21" s="14">
        <f>Consolidado!BO20</f>
        <v>9</v>
      </c>
      <c r="E21" s="11">
        <f>Consolidado!BP20</f>
        <v>9</v>
      </c>
      <c r="F21" s="12">
        <f>Consolidado!BQ20</f>
        <v>1.158280847</v>
      </c>
      <c r="G21" s="11" t="str">
        <f>Consolidado!BR20</f>
        <v>Reporte con Sobre Ejecución</v>
      </c>
    </row>
    <row r="22" ht="30.0" customHeight="1">
      <c r="B22" s="9" t="str">
        <f>Consolidado!BM21</f>
        <v>REGIONAL CALI</v>
      </c>
      <c r="C22" s="13">
        <f>Consolidado!BN21</f>
        <v>12</v>
      </c>
      <c r="D22" s="14">
        <f>Consolidado!BO21</f>
        <v>11</v>
      </c>
      <c r="E22" s="11">
        <f>Consolidado!BP21</f>
        <v>11</v>
      </c>
      <c r="F22" s="12">
        <f>Consolidado!BQ21</f>
        <v>1.766149733</v>
      </c>
      <c r="G22" s="11" t="str">
        <f>Consolidado!BR21</f>
        <v>Reporte con Sobre Ejecución</v>
      </c>
    </row>
    <row r="23" ht="30.0" customHeight="1">
      <c r="B23" s="9" t="str">
        <f>Consolidado!BM22</f>
        <v>REGIONAL MAGANGUÉ</v>
      </c>
      <c r="C23" s="13">
        <f>Consolidado!BN22</f>
        <v>6</v>
      </c>
      <c r="D23" s="14">
        <f>Consolidado!BO22</f>
        <v>6</v>
      </c>
      <c r="E23" s="11">
        <f>Consolidado!BP22</f>
        <v>6</v>
      </c>
      <c r="F23" s="12">
        <f>Consolidado!BQ22</f>
        <v>1.180327381</v>
      </c>
      <c r="G23" s="11" t="str">
        <f>Consolidado!BR22</f>
        <v>Reporte con Sobre Ejecución</v>
      </c>
    </row>
    <row r="24" ht="30.0" customHeight="1">
      <c r="B24" s="9" t="str">
        <f>Consolidado!BM23</f>
        <v>REGIONAL MEDELLÍN</v>
      </c>
      <c r="C24" s="13">
        <f>Consolidado!BN23</f>
        <v>10</v>
      </c>
      <c r="D24" s="14">
        <f>Consolidado!BO23</f>
        <v>10</v>
      </c>
      <c r="E24" s="11">
        <f>Consolidado!BP23</f>
        <v>10</v>
      </c>
      <c r="F24" s="12">
        <f>Consolidado!BQ23</f>
        <v>1.286895928</v>
      </c>
      <c r="G24" s="11" t="str">
        <f>Consolidado!BR23</f>
        <v>Reporte con Sobre Ejecución</v>
      </c>
    </row>
    <row r="25" ht="30.0" customHeight="1">
      <c r="B25" s="9" t="str">
        <f>Consolidado!BM24</f>
        <v>REGIONAL VILLAVICENCIO</v>
      </c>
      <c r="C25" s="13">
        <f>Consolidado!BN24</f>
        <v>8</v>
      </c>
      <c r="D25" s="14">
        <f>Consolidado!BO24</f>
        <v>6</v>
      </c>
      <c r="E25" s="11">
        <f>Consolidado!BP24</f>
        <v>8</v>
      </c>
      <c r="F25" s="12">
        <f>Consolidado!BQ24</f>
        <v>523.73675</v>
      </c>
      <c r="G25" s="11" t="str">
        <f>Consolidado!BR24</f>
        <v>Reporte con Sobre Ejecución</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38.63"/>
    <col customWidth="1" min="35" max="35" width="42.13"/>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86.0</v>
      </c>
      <c r="C4" s="103" t="s">
        <v>335</v>
      </c>
      <c r="D4" s="103" t="s">
        <v>559</v>
      </c>
      <c r="E4" s="103" t="s">
        <v>337</v>
      </c>
      <c r="F4" s="104">
        <v>2.019011000276E12</v>
      </c>
      <c r="G4" s="105" t="s">
        <v>338</v>
      </c>
      <c r="H4" s="103" t="s">
        <v>350</v>
      </c>
      <c r="I4" s="103" t="s">
        <v>351</v>
      </c>
      <c r="J4" s="103" t="s">
        <v>352</v>
      </c>
      <c r="K4" s="106" t="s">
        <v>120</v>
      </c>
      <c r="L4" s="106" t="s">
        <v>121</v>
      </c>
      <c r="M4" s="106" t="s">
        <v>122</v>
      </c>
      <c r="N4" s="107" t="s">
        <v>353</v>
      </c>
      <c r="O4" s="108">
        <v>157.0</v>
      </c>
      <c r="P4" s="109">
        <v>280.0</v>
      </c>
      <c r="Q4" s="110" t="s">
        <v>560</v>
      </c>
      <c r="R4" s="111" t="s">
        <v>172</v>
      </c>
      <c r="S4" s="109">
        <v>36.0</v>
      </c>
      <c r="T4" s="109">
        <v>94.0</v>
      </c>
      <c r="U4" s="112">
        <v>92.0</v>
      </c>
      <c r="V4" s="112">
        <v>58.0</v>
      </c>
      <c r="W4" s="113" t="s">
        <v>559</v>
      </c>
      <c r="X4" s="105" t="s">
        <v>561</v>
      </c>
      <c r="Y4" s="103" t="s">
        <v>562</v>
      </c>
      <c r="Z4" s="105" t="s">
        <v>563</v>
      </c>
      <c r="AA4" s="103" t="s">
        <v>564</v>
      </c>
      <c r="AB4" s="103" t="s">
        <v>155</v>
      </c>
      <c r="AC4" s="103" t="s">
        <v>347</v>
      </c>
      <c r="AD4" s="103" t="s">
        <v>198</v>
      </c>
      <c r="AE4" s="103" t="s">
        <v>270</v>
      </c>
      <c r="AF4" s="103" t="s">
        <v>158</v>
      </c>
      <c r="AG4" s="114">
        <v>94.0</v>
      </c>
      <c r="AH4" s="135" t="s">
        <v>565</v>
      </c>
      <c r="AI4" s="124" t="s">
        <v>566</v>
      </c>
      <c r="AJ4" s="117">
        <f t="shared" ref="AJ4:AJ11" si="1">$AK$1</f>
        <v>44396</v>
      </c>
      <c r="AK4" s="118">
        <f t="shared" ref="AK4:AK11" si="2">AJ4-$AL$1</f>
        <v>-318</v>
      </c>
      <c r="AL4" s="119" t="str">
        <f t="shared" ref="AL4:AL11" si="3">IF(ISBLANK(AG4),"Pendiente Ejecución"&amp;CHAR(10),)&amp;IF(ISBLANK(AH4),"Pendiente Justificación"&amp;CHAR(10),)&amp;IF(ISBLANK(AI4),"Pendiente Evidencia",)&amp;IF(OR(ISBLANK(AG4),ISBLANK(AH4),ISBLANK(AI4)),,"Reporte ok")</f>
        <v>Reporte ok</v>
      </c>
      <c r="AM4" s="119"/>
      <c r="AN4" s="120"/>
    </row>
    <row r="5" ht="67.5" customHeight="1">
      <c r="A5" s="45"/>
      <c r="B5" s="103">
        <v>87.0</v>
      </c>
      <c r="C5" s="103" t="s">
        <v>335</v>
      </c>
      <c r="D5" s="103" t="s">
        <v>559</v>
      </c>
      <c r="E5" s="103" t="s">
        <v>337</v>
      </c>
      <c r="F5" s="104">
        <v>2.019011000276E12</v>
      </c>
      <c r="G5" s="105" t="s">
        <v>338</v>
      </c>
      <c r="H5" s="103" t="s">
        <v>350</v>
      </c>
      <c r="I5" s="103" t="s">
        <v>351</v>
      </c>
      <c r="J5" s="103" t="s">
        <v>352</v>
      </c>
      <c r="K5" s="106" t="s">
        <v>141</v>
      </c>
      <c r="L5" s="106" t="s">
        <v>121</v>
      </c>
      <c r="M5" s="106" t="s">
        <v>122</v>
      </c>
      <c r="N5" s="107" t="s">
        <v>567</v>
      </c>
      <c r="O5" s="108"/>
      <c r="P5" s="109">
        <v>45.0</v>
      </c>
      <c r="Q5" s="110" t="s">
        <v>568</v>
      </c>
      <c r="R5" s="111" t="s">
        <v>172</v>
      </c>
      <c r="S5" s="109">
        <v>8.0</v>
      </c>
      <c r="T5" s="109">
        <v>10.0</v>
      </c>
      <c r="U5" s="112">
        <v>20.0</v>
      </c>
      <c r="V5" s="112">
        <v>7.0</v>
      </c>
      <c r="W5" s="113" t="s">
        <v>559</v>
      </c>
      <c r="X5" s="105" t="s">
        <v>561</v>
      </c>
      <c r="Y5" s="103" t="s">
        <v>562</v>
      </c>
      <c r="Z5" s="105" t="s">
        <v>563</v>
      </c>
      <c r="AA5" s="103" t="s">
        <v>564</v>
      </c>
      <c r="AB5" s="103" t="s">
        <v>155</v>
      </c>
      <c r="AC5" s="103" t="s">
        <v>347</v>
      </c>
      <c r="AD5" s="103" t="s">
        <v>198</v>
      </c>
      <c r="AE5" s="103" t="s">
        <v>270</v>
      </c>
      <c r="AF5" s="103" t="s">
        <v>158</v>
      </c>
      <c r="AG5" s="114">
        <v>14.0</v>
      </c>
      <c r="AH5" s="135" t="s">
        <v>569</v>
      </c>
      <c r="AI5" s="124" t="s">
        <v>570</v>
      </c>
      <c r="AJ5" s="117">
        <f t="shared" si="1"/>
        <v>44396</v>
      </c>
      <c r="AK5" s="118">
        <f t="shared" si="2"/>
        <v>-318</v>
      </c>
      <c r="AL5" s="119" t="str">
        <f t="shared" si="3"/>
        <v>Reporte ok</v>
      </c>
      <c r="AM5" s="119"/>
      <c r="AN5" s="120"/>
    </row>
    <row r="6" ht="67.5" customHeight="1">
      <c r="A6" s="45"/>
      <c r="B6" s="103">
        <v>88.0</v>
      </c>
      <c r="C6" s="103" t="s">
        <v>256</v>
      </c>
      <c r="D6" s="103" t="s">
        <v>559</v>
      </c>
      <c r="E6" s="103" t="s">
        <v>258</v>
      </c>
      <c r="F6" s="104">
        <v>2.01901100028E12</v>
      </c>
      <c r="G6" s="105" t="s">
        <v>259</v>
      </c>
      <c r="H6" s="103" t="s">
        <v>260</v>
      </c>
      <c r="I6" s="103" t="s">
        <v>261</v>
      </c>
      <c r="J6" s="103" t="s">
        <v>262</v>
      </c>
      <c r="K6" s="106" t="s">
        <v>120</v>
      </c>
      <c r="L6" s="106" t="s">
        <v>121</v>
      </c>
      <c r="M6" s="106" t="s">
        <v>122</v>
      </c>
      <c r="N6" s="107" t="s">
        <v>571</v>
      </c>
      <c r="O6" s="108">
        <v>-7140.0</v>
      </c>
      <c r="P6" s="109">
        <v>100.0</v>
      </c>
      <c r="Q6" s="110" t="s">
        <v>572</v>
      </c>
      <c r="R6" s="111" t="s">
        <v>172</v>
      </c>
      <c r="S6" s="109">
        <v>18.0</v>
      </c>
      <c r="T6" s="109">
        <v>26.0</v>
      </c>
      <c r="U6" s="112">
        <v>33.0</v>
      </c>
      <c r="V6" s="112">
        <v>23.0</v>
      </c>
      <c r="W6" s="113" t="s">
        <v>559</v>
      </c>
      <c r="X6" s="105" t="s">
        <v>561</v>
      </c>
      <c r="Y6" s="103" t="s">
        <v>562</v>
      </c>
      <c r="Z6" s="105" t="s">
        <v>563</v>
      </c>
      <c r="AA6" s="103" t="s">
        <v>564</v>
      </c>
      <c r="AB6" s="103" t="s">
        <v>155</v>
      </c>
      <c r="AC6" s="103" t="s">
        <v>269</v>
      </c>
      <c r="AD6" s="103" t="s">
        <v>198</v>
      </c>
      <c r="AE6" s="103" t="s">
        <v>270</v>
      </c>
      <c r="AF6" s="103" t="s">
        <v>158</v>
      </c>
      <c r="AG6" s="114">
        <v>47.0</v>
      </c>
      <c r="AH6" s="135" t="s">
        <v>573</v>
      </c>
      <c r="AI6" s="124" t="s">
        <v>574</v>
      </c>
      <c r="AJ6" s="117">
        <f t="shared" si="1"/>
        <v>44396</v>
      </c>
      <c r="AK6" s="118">
        <f t="shared" si="2"/>
        <v>-318</v>
      </c>
      <c r="AL6" s="119" t="str">
        <f t="shared" si="3"/>
        <v>Reporte ok</v>
      </c>
      <c r="AM6" s="119"/>
      <c r="AN6" s="120"/>
    </row>
    <row r="7" ht="67.5" customHeight="1">
      <c r="A7" s="45"/>
      <c r="B7" s="103">
        <v>89.0</v>
      </c>
      <c r="C7" s="103" t="s">
        <v>256</v>
      </c>
      <c r="D7" s="103" t="s">
        <v>559</v>
      </c>
      <c r="E7" s="103" t="s">
        <v>258</v>
      </c>
      <c r="F7" s="104">
        <v>2.01901100028E12</v>
      </c>
      <c r="G7" s="105" t="s">
        <v>259</v>
      </c>
      <c r="H7" s="103" t="s">
        <v>260</v>
      </c>
      <c r="I7" s="103" t="s">
        <v>261</v>
      </c>
      <c r="J7" s="103" t="s">
        <v>305</v>
      </c>
      <c r="K7" s="106" t="s">
        <v>141</v>
      </c>
      <c r="L7" s="106" t="s">
        <v>121</v>
      </c>
      <c r="M7" s="106" t="s">
        <v>122</v>
      </c>
      <c r="N7" s="107" t="s">
        <v>575</v>
      </c>
      <c r="O7" s="108"/>
      <c r="P7" s="109">
        <v>20.0</v>
      </c>
      <c r="Q7" s="110" t="s">
        <v>576</v>
      </c>
      <c r="R7" s="111" t="s">
        <v>172</v>
      </c>
      <c r="S7" s="109">
        <v>3.0</v>
      </c>
      <c r="T7" s="109">
        <v>3.0</v>
      </c>
      <c r="U7" s="112">
        <v>7.0</v>
      </c>
      <c r="V7" s="112">
        <v>7.0</v>
      </c>
      <c r="W7" s="113" t="s">
        <v>559</v>
      </c>
      <c r="X7" s="105" t="s">
        <v>561</v>
      </c>
      <c r="Y7" s="103" t="s">
        <v>562</v>
      </c>
      <c r="Z7" s="105" t="s">
        <v>563</v>
      </c>
      <c r="AA7" s="103" t="s">
        <v>564</v>
      </c>
      <c r="AB7" s="103" t="s">
        <v>155</v>
      </c>
      <c r="AC7" s="103" t="s">
        <v>269</v>
      </c>
      <c r="AD7" s="103" t="s">
        <v>198</v>
      </c>
      <c r="AE7" s="103" t="s">
        <v>270</v>
      </c>
      <c r="AF7" s="103" t="s">
        <v>158</v>
      </c>
      <c r="AG7" s="114">
        <v>4.0</v>
      </c>
      <c r="AH7" s="135" t="s">
        <v>577</v>
      </c>
      <c r="AI7" s="124" t="s">
        <v>578</v>
      </c>
      <c r="AJ7" s="117">
        <f t="shared" si="1"/>
        <v>44396</v>
      </c>
      <c r="AK7" s="118">
        <f t="shared" si="2"/>
        <v>-318</v>
      </c>
      <c r="AL7" s="119" t="str">
        <f t="shared" si="3"/>
        <v>Reporte ok</v>
      </c>
      <c r="AM7" s="119"/>
      <c r="AN7" s="120"/>
    </row>
    <row r="8" ht="67.5" customHeight="1">
      <c r="A8" s="45"/>
      <c r="B8" s="103">
        <v>90.0</v>
      </c>
      <c r="C8" s="103" t="s">
        <v>256</v>
      </c>
      <c r="D8" s="103" t="s">
        <v>559</v>
      </c>
      <c r="E8" s="103" t="s">
        <v>258</v>
      </c>
      <c r="F8" s="104">
        <v>2.01901100028E12</v>
      </c>
      <c r="G8" s="105" t="s">
        <v>259</v>
      </c>
      <c r="H8" s="103" t="s">
        <v>260</v>
      </c>
      <c r="I8" s="103" t="s">
        <v>261</v>
      </c>
      <c r="J8" s="103" t="s">
        <v>262</v>
      </c>
      <c r="K8" s="106" t="s">
        <v>120</v>
      </c>
      <c r="L8" s="106" t="s">
        <v>121</v>
      </c>
      <c r="M8" s="106" t="s">
        <v>122</v>
      </c>
      <c r="N8" s="107" t="s">
        <v>571</v>
      </c>
      <c r="O8" s="108">
        <v>-7140.0</v>
      </c>
      <c r="P8" s="109">
        <v>1300.0</v>
      </c>
      <c r="Q8" s="110" t="s">
        <v>579</v>
      </c>
      <c r="R8" s="111" t="s">
        <v>172</v>
      </c>
      <c r="S8" s="109">
        <v>110.0</v>
      </c>
      <c r="T8" s="109">
        <v>290.0</v>
      </c>
      <c r="U8" s="112">
        <v>515.0</v>
      </c>
      <c r="V8" s="112">
        <v>385.0</v>
      </c>
      <c r="W8" s="113" t="s">
        <v>559</v>
      </c>
      <c r="X8" s="105" t="s">
        <v>561</v>
      </c>
      <c r="Y8" s="103" t="s">
        <v>562</v>
      </c>
      <c r="Z8" s="105" t="s">
        <v>563</v>
      </c>
      <c r="AA8" s="103" t="s">
        <v>564</v>
      </c>
      <c r="AB8" s="103" t="s">
        <v>155</v>
      </c>
      <c r="AC8" s="103" t="s">
        <v>269</v>
      </c>
      <c r="AD8" s="103" t="s">
        <v>198</v>
      </c>
      <c r="AE8" s="103" t="s">
        <v>270</v>
      </c>
      <c r="AF8" s="103" t="s">
        <v>158</v>
      </c>
      <c r="AG8" s="114">
        <v>332.0</v>
      </c>
      <c r="AH8" s="135" t="s">
        <v>580</v>
      </c>
      <c r="AI8" s="124" t="s">
        <v>581</v>
      </c>
      <c r="AJ8" s="117">
        <f t="shared" si="1"/>
        <v>44396</v>
      </c>
      <c r="AK8" s="118">
        <f t="shared" si="2"/>
        <v>-318</v>
      </c>
      <c r="AL8" s="119" t="str">
        <f t="shared" si="3"/>
        <v>Reporte ok</v>
      </c>
      <c r="AM8" s="119"/>
      <c r="AN8" s="120"/>
    </row>
    <row r="9" ht="67.5" customHeight="1">
      <c r="A9" s="45"/>
      <c r="B9" s="103">
        <v>91.0</v>
      </c>
      <c r="C9" s="103" t="s">
        <v>256</v>
      </c>
      <c r="D9" s="103" t="s">
        <v>559</v>
      </c>
      <c r="E9" s="103" t="s">
        <v>258</v>
      </c>
      <c r="F9" s="104">
        <v>2.01901100028E12</v>
      </c>
      <c r="G9" s="105" t="s">
        <v>259</v>
      </c>
      <c r="H9" s="103" t="s">
        <v>260</v>
      </c>
      <c r="I9" s="103" t="s">
        <v>261</v>
      </c>
      <c r="J9" s="103" t="s">
        <v>305</v>
      </c>
      <c r="K9" s="106" t="s">
        <v>141</v>
      </c>
      <c r="L9" s="106" t="s">
        <v>121</v>
      </c>
      <c r="M9" s="106" t="s">
        <v>122</v>
      </c>
      <c r="N9" s="107" t="s">
        <v>582</v>
      </c>
      <c r="O9" s="108"/>
      <c r="P9" s="109">
        <v>40.0</v>
      </c>
      <c r="Q9" s="110" t="s">
        <v>583</v>
      </c>
      <c r="R9" s="111" t="s">
        <v>172</v>
      </c>
      <c r="S9" s="109">
        <v>4.0</v>
      </c>
      <c r="T9" s="109">
        <v>10.0</v>
      </c>
      <c r="U9" s="112">
        <v>12.0</v>
      </c>
      <c r="V9" s="112">
        <v>14.0</v>
      </c>
      <c r="W9" s="113" t="s">
        <v>559</v>
      </c>
      <c r="X9" s="105" t="s">
        <v>561</v>
      </c>
      <c r="Y9" s="103" t="s">
        <v>562</v>
      </c>
      <c r="Z9" s="105" t="s">
        <v>563</v>
      </c>
      <c r="AA9" s="103" t="s">
        <v>564</v>
      </c>
      <c r="AB9" s="103" t="s">
        <v>155</v>
      </c>
      <c r="AC9" s="103" t="s">
        <v>131</v>
      </c>
      <c r="AD9" s="103" t="s">
        <v>198</v>
      </c>
      <c r="AE9" s="103" t="s">
        <v>270</v>
      </c>
      <c r="AF9" s="103" t="s">
        <v>158</v>
      </c>
      <c r="AG9" s="114">
        <v>11.0</v>
      </c>
      <c r="AH9" s="135" t="s">
        <v>584</v>
      </c>
      <c r="AI9" s="124" t="s">
        <v>585</v>
      </c>
      <c r="AJ9" s="117">
        <f t="shared" si="1"/>
        <v>44396</v>
      </c>
      <c r="AK9" s="118">
        <f t="shared" si="2"/>
        <v>-318</v>
      </c>
      <c r="AL9" s="119" t="str">
        <f t="shared" si="3"/>
        <v>Reporte ok</v>
      </c>
      <c r="AM9" s="119"/>
      <c r="AN9" s="120"/>
    </row>
    <row r="10" ht="67.5" customHeight="1">
      <c r="A10" s="45"/>
      <c r="B10" s="103">
        <v>92.0</v>
      </c>
      <c r="C10" s="103" t="s">
        <v>256</v>
      </c>
      <c r="D10" s="103" t="s">
        <v>559</v>
      </c>
      <c r="E10" s="103" t="s">
        <v>258</v>
      </c>
      <c r="F10" s="104">
        <v>2.01901100028E12</v>
      </c>
      <c r="G10" s="105" t="s">
        <v>259</v>
      </c>
      <c r="H10" s="103" t="s">
        <v>260</v>
      </c>
      <c r="I10" s="103" t="s">
        <v>273</v>
      </c>
      <c r="J10" s="103" t="s">
        <v>293</v>
      </c>
      <c r="K10" s="106" t="s">
        <v>120</v>
      </c>
      <c r="L10" s="106" t="s">
        <v>121</v>
      </c>
      <c r="M10" s="106" t="s">
        <v>122</v>
      </c>
      <c r="N10" s="107" t="s">
        <v>275</v>
      </c>
      <c r="O10" s="108">
        <v>-3.0</v>
      </c>
      <c r="P10" s="109">
        <v>2.0</v>
      </c>
      <c r="Q10" s="110" t="s">
        <v>295</v>
      </c>
      <c r="R10" s="111" t="s">
        <v>172</v>
      </c>
      <c r="S10" s="109">
        <v>0.0</v>
      </c>
      <c r="T10" s="109">
        <v>1.0</v>
      </c>
      <c r="U10" s="112">
        <v>1.0</v>
      </c>
      <c r="V10" s="112">
        <v>0.0</v>
      </c>
      <c r="W10" s="113" t="s">
        <v>559</v>
      </c>
      <c r="X10" s="105" t="s">
        <v>561</v>
      </c>
      <c r="Y10" s="103" t="s">
        <v>562</v>
      </c>
      <c r="Z10" s="105" t="s">
        <v>563</v>
      </c>
      <c r="AA10" s="103" t="s">
        <v>564</v>
      </c>
      <c r="AB10" s="103" t="s">
        <v>155</v>
      </c>
      <c r="AC10" s="103" t="s">
        <v>347</v>
      </c>
      <c r="AD10" s="103" t="s">
        <v>198</v>
      </c>
      <c r="AE10" s="103" t="s">
        <v>270</v>
      </c>
      <c r="AF10" s="103" t="s">
        <v>158</v>
      </c>
      <c r="AG10" s="114">
        <v>1.0</v>
      </c>
      <c r="AH10" s="135" t="s">
        <v>586</v>
      </c>
      <c r="AI10" s="124" t="s">
        <v>587</v>
      </c>
      <c r="AJ10" s="117">
        <f t="shared" si="1"/>
        <v>44396</v>
      </c>
      <c r="AK10" s="118">
        <f t="shared" si="2"/>
        <v>-318</v>
      </c>
      <c r="AL10" s="119" t="str">
        <f t="shared" si="3"/>
        <v>Reporte ok</v>
      </c>
      <c r="AM10" s="119"/>
      <c r="AN10" s="120"/>
    </row>
    <row r="11" ht="67.5" customHeight="1">
      <c r="A11" s="45"/>
      <c r="B11" s="103">
        <v>93.0</v>
      </c>
      <c r="C11" s="103" t="s">
        <v>256</v>
      </c>
      <c r="D11" s="103" t="s">
        <v>559</v>
      </c>
      <c r="E11" s="103" t="s">
        <v>258</v>
      </c>
      <c r="F11" s="104">
        <v>2.01901100028E12</v>
      </c>
      <c r="G11" s="105" t="s">
        <v>259</v>
      </c>
      <c r="H11" s="103" t="s">
        <v>260</v>
      </c>
      <c r="I11" s="103" t="s">
        <v>273</v>
      </c>
      <c r="J11" s="103" t="s">
        <v>274</v>
      </c>
      <c r="K11" s="106" t="s">
        <v>120</v>
      </c>
      <c r="L11" s="106" t="s">
        <v>121</v>
      </c>
      <c r="M11" s="106" t="s">
        <v>122</v>
      </c>
      <c r="N11" s="107" t="s">
        <v>275</v>
      </c>
      <c r="O11" s="108">
        <v>-3.0</v>
      </c>
      <c r="P11" s="109">
        <v>1.0</v>
      </c>
      <c r="Q11" s="110" t="s">
        <v>588</v>
      </c>
      <c r="R11" s="111" t="s">
        <v>172</v>
      </c>
      <c r="S11" s="109">
        <v>0.0</v>
      </c>
      <c r="T11" s="109">
        <v>0.0</v>
      </c>
      <c r="U11" s="112">
        <v>0.0</v>
      </c>
      <c r="V11" s="112">
        <v>1.0</v>
      </c>
      <c r="W11" s="113" t="s">
        <v>559</v>
      </c>
      <c r="X11" s="105" t="s">
        <v>561</v>
      </c>
      <c r="Y11" s="103" t="s">
        <v>562</v>
      </c>
      <c r="Z11" s="105" t="s">
        <v>563</v>
      </c>
      <c r="AA11" s="103" t="s">
        <v>564</v>
      </c>
      <c r="AB11" s="103" t="s">
        <v>155</v>
      </c>
      <c r="AC11" s="103" t="s">
        <v>347</v>
      </c>
      <c r="AD11" s="103" t="s">
        <v>198</v>
      </c>
      <c r="AE11" s="103" t="s">
        <v>270</v>
      </c>
      <c r="AF11" s="103" t="s">
        <v>158</v>
      </c>
      <c r="AG11" s="114">
        <v>0.0</v>
      </c>
      <c r="AH11" s="135" t="s">
        <v>589</v>
      </c>
      <c r="AI11" s="125" t="s">
        <v>590</v>
      </c>
      <c r="AJ11" s="117">
        <f t="shared" si="1"/>
        <v>44396</v>
      </c>
      <c r="AK11" s="118">
        <f t="shared" si="2"/>
        <v>-318</v>
      </c>
      <c r="AL11" s="119" t="str">
        <f t="shared" si="3"/>
        <v>Reporte ok</v>
      </c>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14"/>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14"/>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14"/>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14"/>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14"/>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14"/>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14"/>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14"/>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14"/>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13"/>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s>
  <printOptions gridLines="1" horizontalCentered="1"/>
  <pageMargins bottom="0.75" footer="0.0" header="0.0" left="0.7" right="0.7" top="0.75"/>
  <pageSetup cellComments="atEnd" orientation="portrait" pageOrder="overThenDown"/>
  <drawing r:id="rId8"/>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94.0</v>
      </c>
      <c r="C4" s="103" t="s">
        <v>256</v>
      </c>
      <c r="D4" s="103" t="s">
        <v>591</v>
      </c>
      <c r="E4" s="103" t="s">
        <v>258</v>
      </c>
      <c r="F4" s="104">
        <v>2.01901100028E12</v>
      </c>
      <c r="G4" s="105" t="s">
        <v>259</v>
      </c>
      <c r="H4" s="103" t="s">
        <v>260</v>
      </c>
      <c r="I4" s="103" t="s">
        <v>261</v>
      </c>
      <c r="J4" s="103" t="s">
        <v>262</v>
      </c>
      <c r="K4" s="106" t="s">
        <v>120</v>
      </c>
      <c r="L4" s="106" t="s">
        <v>121</v>
      </c>
      <c r="M4" s="106" t="s">
        <v>122</v>
      </c>
      <c r="N4" s="107" t="s">
        <v>571</v>
      </c>
      <c r="O4" s="108"/>
      <c r="P4" s="109">
        <v>1000.0</v>
      </c>
      <c r="Q4" s="110" t="s">
        <v>592</v>
      </c>
      <c r="R4" s="111" t="s">
        <v>172</v>
      </c>
      <c r="S4" s="109">
        <v>178.0</v>
      </c>
      <c r="T4" s="109">
        <v>260.0</v>
      </c>
      <c r="U4" s="112">
        <v>247.0</v>
      </c>
      <c r="V4" s="112">
        <v>315.0</v>
      </c>
      <c r="W4" s="113" t="s">
        <v>591</v>
      </c>
      <c r="X4" s="105" t="s">
        <v>593</v>
      </c>
      <c r="Y4" s="103" t="s">
        <v>594</v>
      </c>
      <c r="Z4" s="105" t="s">
        <v>595</v>
      </c>
      <c r="AA4" s="103" t="s">
        <v>154</v>
      </c>
      <c r="AB4" s="103" t="s">
        <v>155</v>
      </c>
      <c r="AC4" s="103" t="s">
        <v>269</v>
      </c>
      <c r="AD4" s="103" t="s">
        <v>198</v>
      </c>
      <c r="AE4" s="103" t="s">
        <v>270</v>
      </c>
      <c r="AF4" s="103" t="s">
        <v>158</v>
      </c>
      <c r="AG4" s="114">
        <v>262.0</v>
      </c>
      <c r="AH4" s="115" t="s">
        <v>596</v>
      </c>
      <c r="AI4" s="123" t="s">
        <v>597</v>
      </c>
      <c r="AJ4" s="117">
        <f t="shared" ref="AJ4:AJ20" si="1">$AK$1</f>
        <v>44396</v>
      </c>
      <c r="AK4" s="118">
        <f t="shared" ref="AK4:AK20" si="2">AJ4-$AL$1</f>
        <v>-318</v>
      </c>
      <c r="AL4" s="119" t="str">
        <f t="shared" ref="AL4:AL20" si="3">IF(ISBLANK(AG4),"Pendiente Ejecución"&amp;CHAR(10),)&amp;IF(ISBLANK(AH4),"Pendiente Justificación"&amp;CHAR(10),)&amp;IF(ISBLANK(AI4),"Pendiente Evidencia",)&amp;IF(OR(ISBLANK(AG4),ISBLANK(AH4),ISBLANK(AI4)),,"Reporte ok")</f>
        <v>Reporte ok</v>
      </c>
      <c r="AM4" s="119"/>
      <c r="AN4" s="120"/>
    </row>
    <row r="5" ht="67.5" customHeight="1">
      <c r="A5" s="45"/>
      <c r="B5" s="103">
        <v>95.0</v>
      </c>
      <c r="C5" s="103" t="s">
        <v>256</v>
      </c>
      <c r="D5" s="103" t="s">
        <v>591</v>
      </c>
      <c r="E5" s="103" t="s">
        <v>258</v>
      </c>
      <c r="F5" s="104">
        <v>2.01901100028E12</v>
      </c>
      <c r="G5" s="105" t="s">
        <v>259</v>
      </c>
      <c r="H5" s="103" t="s">
        <v>260</v>
      </c>
      <c r="I5" s="103" t="s">
        <v>261</v>
      </c>
      <c r="J5" s="103" t="s">
        <v>285</v>
      </c>
      <c r="K5" s="106" t="s">
        <v>289</v>
      </c>
      <c r="L5" s="106" t="s">
        <v>121</v>
      </c>
      <c r="M5" s="106" t="s">
        <v>122</v>
      </c>
      <c r="N5" s="107" t="s">
        <v>598</v>
      </c>
      <c r="O5" s="108"/>
      <c r="P5" s="109">
        <v>5600000.0</v>
      </c>
      <c r="Q5" s="110" t="s">
        <v>599</v>
      </c>
      <c r="R5" s="111" t="s">
        <v>172</v>
      </c>
      <c r="S5" s="109">
        <v>3000000.0</v>
      </c>
      <c r="T5" s="109">
        <v>2000000.0</v>
      </c>
      <c r="U5" s="112">
        <v>600000.0</v>
      </c>
      <c r="V5" s="112">
        <v>0.0</v>
      </c>
      <c r="W5" s="113" t="s">
        <v>591</v>
      </c>
      <c r="X5" s="105" t="s">
        <v>593</v>
      </c>
      <c r="Y5" s="103" t="s">
        <v>594</v>
      </c>
      <c r="Z5" s="105" t="s">
        <v>595</v>
      </c>
      <c r="AA5" s="103" t="s">
        <v>154</v>
      </c>
      <c r="AB5" s="103" t="s">
        <v>155</v>
      </c>
      <c r="AC5" s="103" t="s">
        <v>131</v>
      </c>
      <c r="AD5" s="103" t="s">
        <v>198</v>
      </c>
      <c r="AE5" s="103" t="s">
        <v>270</v>
      </c>
      <c r="AF5" s="103" t="s">
        <v>158</v>
      </c>
      <c r="AG5" s="114">
        <v>2380000.0</v>
      </c>
      <c r="AH5" s="115" t="s">
        <v>600</v>
      </c>
      <c r="AI5" s="123" t="s">
        <v>601</v>
      </c>
      <c r="AJ5" s="117">
        <f t="shared" si="1"/>
        <v>44396</v>
      </c>
      <c r="AK5" s="118">
        <f t="shared" si="2"/>
        <v>-318</v>
      </c>
      <c r="AL5" s="119" t="str">
        <f t="shared" si="3"/>
        <v>Reporte ok</v>
      </c>
      <c r="AM5" s="119"/>
      <c r="AN5" s="120"/>
    </row>
    <row r="6" ht="67.5" customHeight="1">
      <c r="A6" s="45"/>
      <c r="B6" s="103">
        <v>96.0</v>
      </c>
      <c r="C6" s="103" t="s">
        <v>256</v>
      </c>
      <c r="D6" s="103" t="s">
        <v>591</v>
      </c>
      <c r="E6" s="103" t="s">
        <v>258</v>
      </c>
      <c r="F6" s="104">
        <v>2.01901100028E12</v>
      </c>
      <c r="G6" s="105" t="s">
        <v>259</v>
      </c>
      <c r="H6" s="103" t="s">
        <v>278</v>
      </c>
      <c r="I6" s="103" t="s">
        <v>602</v>
      </c>
      <c r="J6" s="103" t="s">
        <v>288</v>
      </c>
      <c r="K6" s="106" t="s">
        <v>120</v>
      </c>
      <c r="L6" s="106" t="s">
        <v>121</v>
      </c>
      <c r="M6" s="106" t="s">
        <v>122</v>
      </c>
      <c r="N6" s="107" t="s">
        <v>603</v>
      </c>
      <c r="O6" s="108"/>
      <c r="P6" s="109">
        <v>6.0</v>
      </c>
      <c r="Q6" s="110" t="s">
        <v>604</v>
      </c>
      <c r="R6" s="111" t="s">
        <v>172</v>
      </c>
      <c r="S6" s="109">
        <v>0.0</v>
      </c>
      <c r="T6" s="109">
        <v>2.0</v>
      </c>
      <c r="U6" s="112">
        <v>2.0</v>
      </c>
      <c r="V6" s="112">
        <v>2.0</v>
      </c>
      <c r="W6" s="113" t="s">
        <v>591</v>
      </c>
      <c r="X6" s="105" t="s">
        <v>593</v>
      </c>
      <c r="Y6" s="103" t="s">
        <v>594</v>
      </c>
      <c r="Z6" s="105" t="s">
        <v>595</v>
      </c>
      <c r="AA6" s="103" t="s">
        <v>154</v>
      </c>
      <c r="AB6" s="103" t="s">
        <v>155</v>
      </c>
      <c r="AC6" s="103" t="s">
        <v>131</v>
      </c>
      <c r="AD6" s="103" t="s">
        <v>198</v>
      </c>
      <c r="AE6" s="103" t="s">
        <v>270</v>
      </c>
      <c r="AF6" s="103" t="s">
        <v>158</v>
      </c>
      <c r="AG6" s="114">
        <v>2.0</v>
      </c>
      <c r="AH6" s="115" t="s">
        <v>605</v>
      </c>
      <c r="AI6" s="123" t="s">
        <v>606</v>
      </c>
      <c r="AJ6" s="117">
        <f t="shared" si="1"/>
        <v>44396</v>
      </c>
      <c r="AK6" s="118">
        <f t="shared" si="2"/>
        <v>-318</v>
      </c>
      <c r="AL6" s="119" t="str">
        <f t="shared" si="3"/>
        <v>Reporte ok</v>
      </c>
      <c r="AM6" s="119"/>
      <c r="AN6" s="120"/>
    </row>
    <row r="7" ht="67.5" customHeight="1">
      <c r="A7" s="45"/>
      <c r="B7" s="103">
        <v>97.0</v>
      </c>
      <c r="C7" s="103" t="s">
        <v>256</v>
      </c>
      <c r="D7" s="103" t="s">
        <v>591</v>
      </c>
      <c r="E7" s="103" t="s">
        <v>258</v>
      </c>
      <c r="F7" s="104">
        <v>2.01901100028E12</v>
      </c>
      <c r="G7" s="105" t="s">
        <v>259</v>
      </c>
      <c r="H7" s="103" t="s">
        <v>260</v>
      </c>
      <c r="I7" s="103" t="s">
        <v>261</v>
      </c>
      <c r="J7" s="103" t="s">
        <v>305</v>
      </c>
      <c r="K7" s="106" t="s">
        <v>141</v>
      </c>
      <c r="L7" s="106" t="s">
        <v>121</v>
      </c>
      <c r="M7" s="106" t="s">
        <v>122</v>
      </c>
      <c r="N7" s="107" t="s">
        <v>607</v>
      </c>
      <c r="O7" s="108"/>
      <c r="P7" s="109">
        <v>30.0</v>
      </c>
      <c r="Q7" s="110" t="s">
        <v>608</v>
      </c>
      <c r="R7" s="111" t="s">
        <v>124</v>
      </c>
      <c r="S7" s="109">
        <v>0.0</v>
      </c>
      <c r="T7" s="109">
        <v>0.0</v>
      </c>
      <c r="U7" s="112">
        <v>0.0</v>
      </c>
      <c r="V7" s="112">
        <v>30.0</v>
      </c>
      <c r="W7" s="113" t="s">
        <v>591</v>
      </c>
      <c r="X7" s="105" t="s">
        <v>593</v>
      </c>
      <c r="Y7" s="103" t="s">
        <v>594</v>
      </c>
      <c r="Z7" s="105" t="s">
        <v>595</v>
      </c>
      <c r="AA7" s="103" t="s">
        <v>154</v>
      </c>
      <c r="AB7" s="103" t="s">
        <v>155</v>
      </c>
      <c r="AC7" s="103" t="s">
        <v>347</v>
      </c>
      <c r="AD7" s="103" t="s">
        <v>198</v>
      </c>
      <c r="AE7" s="103" t="s">
        <v>270</v>
      </c>
      <c r="AF7" s="103" t="s">
        <v>158</v>
      </c>
      <c r="AG7" s="114">
        <v>0.0</v>
      </c>
      <c r="AH7" s="115" t="s">
        <v>609</v>
      </c>
      <c r="AI7" s="125" t="s">
        <v>39</v>
      </c>
      <c r="AJ7" s="117">
        <f t="shared" si="1"/>
        <v>44396</v>
      </c>
      <c r="AK7" s="118">
        <f t="shared" si="2"/>
        <v>-318</v>
      </c>
      <c r="AL7" s="119" t="str">
        <f t="shared" si="3"/>
        <v>Reporte ok</v>
      </c>
      <c r="AM7" s="119"/>
      <c r="AN7" s="120"/>
    </row>
    <row r="8" ht="67.5" customHeight="1">
      <c r="A8" s="45"/>
      <c r="B8" s="103">
        <v>98.0</v>
      </c>
      <c r="C8" s="103" t="s">
        <v>256</v>
      </c>
      <c r="D8" s="103" t="s">
        <v>591</v>
      </c>
      <c r="E8" s="103" t="s">
        <v>258</v>
      </c>
      <c r="F8" s="104">
        <v>2.01901100028E12</v>
      </c>
      <c r="G8" s="105" t="s">
        <v>259</v>
      </c>
      <c r="H8" s="103" t="s">
        <v>260</v>
      </c>
      <c r="I8" s="103" t="s">
        <v>261</v>
      </c>
      <c r="J8" s="103" t="s">
        <v>305</v>
      </c>
      <c r="K8" s="106" t="s">
        <v>289</v>
      </c>
      <c r="L8" s="106" t="s">
        <v>121</v>
      </c>
      <c r="M8" s="106" t="s">
        <v>122</v>
      </c>
      <c r="N8" s="107" t="s">
        <v>607</v>
      </c>
      <c r="O8" s="108"/>
      <c r="P8" s="109">
        <v>15.0</v>
      </c>
      <c r="Q8" s="110" t="s">
        <v>610</v>
      </c>
      <c r="R8" s="111" t="s">
        <v>124</v>
      </c>
      <c r="S8" s="109">
        <v>0.0</v>
      </c>
      <c r="T8" s="109">
        <v>0.0</v>
      </c>
      <c r="U8" s="112">
        <v>0.0</v>
      </c>
      <c r="V8" s="112">
        <v>15.0</v>
      </c>
      <c r="W8" s="113" t="s">
        <v>591</v>
      </c>
      <c r="X8" s="105" t="s">
        <v>593</v>
      </c>
      <c r="Y8" s="103" t="s">
        <v>594</v>
      </c>
      <c r="Z8" s="105" t="s">
        <v>595</v>
      </c>
      <c r="AA8" s="103" t="s">
        <v>154</v>
      </c>
      <c r="AB8" s="103" t="s">
        <v>155</v>
      </c>
      <c r="AC8" s="103" t="s">
        <v>347</v>
      </c>
      <c r="AD8" s="103" t="s">
        <v>198</v>
      </c>
      <c r="AE8" s="103" t="s">
        <v>270</v>
      </c>
      <c r="AF8" s="103" t="s">
        <v>158</v>
      </c>
      <c r="AG8" s="114">
        <v>0.0</v>
      </c>
      <c r="AH8" s="115" t="s">
        <v>609</v>
      </c>
      <c r="AI8" s="125" t="s">
        <v>39</v>
      </c>
      <c r="AJ8" s="117">
        <f t="shared" si="1"/>
        <v>44396</v>
      </c>
      <c r="AK8" s="118">
        <f t="shared" si="2"/>
        <v>-318</v>
      </c>
      <c r="AL8" s="119" t="str">
        <f t="shared" si="3"/>
        <v>Reporte ok</v>
      </c>
      <c r="AM8" s="119"/>
      <c r="AN8" s="120"/>
    </row>
    <row r="9" ht="67.5" customHeight="1">
      <c r="A9" s="45"/>
      <c r="B9" s="103">
        <v>99.0</v>
      </c>
      <c r="C9" s="103" t="s">
        <v>256</v>
      </c>
      <c r="D9" s="103" t="s">
        <v>591</v>
      </c>
      <c r="E9" s="103" t="s">
        <v>258</v>
      </c>
      <c r="F9" s="104">
        <v>2.01901100028E12</v>
      </c>
      <c r="G9" s="105" t="s">
        <v>259</v>
      </c>
      <c r="H9" s="103" t="s">
        <v>278</v>
      </c>
      <c r="I9" s="103" t="s">
        <v>279</v>
      </c>
      <c r="J9" s="103" t="s">
        <v>280</v>
      </c>
      <c r="K9" s="106" t="s">
        <v>141</v>
      </c>
      <c r="L9" s="106" t="s">
        <v>121</v>
      </c>
      <c r="M9" s="106" t="s">
        <v>122</v>
      </c>
      <c r="N9" s="107" t="s">
        <v>611</v>
      </c>
      <c r="O9" s="108"/>
      <c r="P9" s="109">
        <v>3.0</v>
      </c>
      <c r="Q9" s="110" t="s">
        <v>612</v>
      </c>
      <c r="R9" s="111" t="s">
        <v>124</v>
      </c>
      <c r="S9" s="109">
        <v>0.0</v>
      </c>
      <c r="T9" s="109">
        <v>0.0</v>
      </c>
      <c r="U9" s="112">
        <v>0.0</v>
      </c>
      <c r="V9" s="112">
        <v>3.0</v>
      </c>
      <c r="W9" s="113" t="s">
        <v>591</v>
      </c>
      <c r="X9" s="105" t="s">
        <v>593</v>
      </c>
      <c r="Y9" s="103" t="s">
        <v>594</v>
      </c>
      <c r="Z9" s="105" t="s">
        <v>595</v>
      </c>
      <c r="AA9" s="103" t="s">
        <v>154</v>
      </c>
      <c r="AB9" s="103" t="s">
        <v>155</v>
      </c>
      <c r="AC9" s="103" t="s">
        <v>347</v>
      </c>
      <c r="AD9" s="103" t="s">
        <v>198</v>
      </c>
      <c r="AE9" s="103" t="s">
        <v>270</v>
      </c>
      <c r="AF9" s="103" t="s">
        <v>158</v>
      </c>
      <c r="AG9" s="114">
        <v>0.0</v>
      </c>
      <c r="AH9" s="115" t="s">
        <v>609</v>
      </c>
      <c r="AI9" s="125" t="s">
        <v>39</v>
      </c>
      <c r="AJ9" s="117">
        <f t="shared" si="1"/>
        <v>44396</v>
      </c>
      <c r="AK9" s="118">
        <f t="shared" si="2"/>
        <v>-318</v>
      </c>
      <c r="AL9" s="119" t="str">
        <f t="shared" si="3"/>
        <v>Reporte ok</v>
      </c>
      <c r="AM9" s="119"/>
      <c r="AN9" s="120"/>
    </row>
    <row r="10" ht="67.5" customHeight="1">
      <c r="A10" s="45"/>
      <c r="B10" s="103">
        <v>100.0</v>
      </c>
      <c r="C10" s="103" t="s">
        <v>256</v>
      </c>
      <c r="D10" s="103" t="s">
        <v>591</v>
      </c>
      <c r="E10" s="103" t="s">
        <v>258</v>
      </c>
      <c r="F10" s="104">
        <v>2.01901100028E12</v>
      </c>
      <c r="G10" s="105" t="s">
        <v>259</v>
      </c>
      <c r="H10" s="103" t="s">
        <v>278</v>
      </c>
      <c r="I10" s="103" t="s">
        <v>279</v>
      </c>
      <c r="J10" s="103" t="s">
        <v>280</v>
      </c>
      <c r="K10" s="106" t="s">
        <v>120</v>
      </c>
      <c r="L10" s="106" t="s">
        <v>121</v>
      </c>
      <c r="M10" s="106" t="s">
        <v>122</v>
      </c>
      <c r="N10" s="107" t="s">
        <v>613</v>
      </c>
      <c r="O10" s="108"/>
      <c r="P10" s="109">
        <v>1.0</v>
      </c>
      <c r="Q10" s="110" t="s">
        <v>614</v>
      </c>
      <c r="R10" s="111" t="s">
        <v>172</v>
      </c>
      <c r="S10" s="109">
        <v>1.0</v>
      </c>
      <c r="T10" s="109">
        <v>0.0</v>
      </c>
      <c r="U10" s="112">
        <v>0.0</v>
      </c>
      <c r="V10" s="112">
        <v>0.0</v>
      </c>
      <c r="W10" s="113" t="s">
        <v>591</v>
      </c>
      <c r="X10" s="105" t="s">
        <v>593</v>
      </c>
      <c r="Y10" s="103" t="s">
        <v>594</v>
      </c>
      <c r="Z10" s="105" t="s">
        <v>595</v>
      </c>
      <c r="AA10" s="103" t="s">
        <v>154</v>
      </c>
      <c r="AB10" s="103" t="s">
        <v>155</v>
      </c>
      <c r="AC10" s="103" t="s">
        <v>347</v>
      </c>
      <c r="AD10" s="103" t="s">
        <v>198</v>
      </c>
      <c r="AE10" s="103" t="s">
        <v>270</v>
      </c>
      <c r="AF10" s="103" t="s">
        <v>158</v>
      </c>
      <c r="AG10" s="114">
        <v>0.0</v>
      </c>
      <c r="AH10" s="115" t="s">
        <v>609</v>
      </c>
      <c r="AI10" s="116"/>
      <c r="AJ10" s="117">
        <f t="shared" si="1"/>
        <v>44396</v>
      </c>
      <c r="AK10" s="118">
        <f t="shared" si="2"/>
        <v>-318</v>
      </c>
      <c r="AL10" s="119" t="str">
        <f t="shared" si="3"/>
        <v>Pendiente Evidencia</v>
      </c>
      <c r="AM10" s="119"/>
      <c r="AN10" s="120"/>
    </row>
    <row r="11" ht="67.5" customHeight="1">
      <c r="A11" s="45"/>
      <c r="B11" s="103">
        <v>101.0</v>
      </c>
      <c r="C11" s="103" t="s">
        <v>256</v>
      </c>
      <c r="D11" s="103" t="s">
        <v>591</v>
      </c>
      <c r="E11" s="103" t="s">
        <v>258</v>
      </c>
      <c r="F11" s="104">
        <v>2.01901100028E12</v>
      </c>
      <c r="G11" s="105" t="s">
        <v>259</v>
      </c>
      <c r="H11" s="103" t="s">
        <v>260</v>
      </c>
      <c r="I11" s="103" t="s">
        <v>261</v>
      </c>
      <c r="J11" s="103" t="s">
        <v>305</v>
      </c>
      <c r="K11" s="106" t="s">
        <v>289</v>
      </c>
      <c r="L11" s="106" t="s">
        <v>121</v>
      </c>
      <c r="M11" s="106" t="s">
        <v>122</v>
      </c>
      <c r="N11" s="107" t="s">
        <v>615</v>
      </c>
      <c r="O11" s="108"/>
      <c r="P11" s="109">
        <v>1.0</v>
      </c>
      <c r="Q11" s="110" t="s">
        <v>616</v>
      </c>
      <c r="R11" s="111" t="s">
        <v>172</v>
      </c>
      <c r="S11" s="109">
        <v>1.0</v>
      </c>
      <c r="T11" s="109">
        <v>1.0</v>
      </c>
      <c r="U11" s="112">
        <v>1.0</v>
      </c>
      <c r="V11" s="112">
        <v>1.0</v>
      </c>
      <c r="W11" s="113" t="s">
        <v>591</v>
      </c>
      <c r="X11" s="105" t="s">
        <v>593</v>
      </c>
      <c r="Y11" s="103" t="s">
        <v>594</v>
      </c>
      <c r="Z11" s="105" t="s">
        <v>595</v>
      </c>
      <c r="AA11" s="103" t="s">
        <v>154</v>
      </c>
      <c r="AB11" s="103" t="s">
        <v>155</v>
      </c>
      <c r="AC11" s="103" t="s">
        <v>347</v>
      </c>
      <c r="AD11" s="103" t="s">
        <v>198</v>
      </c>
      <c r="AE11" s="103" t="s">
        <v>270</v>
      </c>
      <c r="AF11" s="103" t="s">
        <v>158</v>
      </c>
      <c r="AG11" s="114">
        <v>6.0</v>
      </c>
      <c r="AH11" s="115" t="s">
        <v>617</v>
      </c>
      <c r="AI11" s="123" t="s">
        <v>601</v>
      </c>
      <c r="AJ11" s="117">
        <f t="shared" si="1"/>
        <v>44396</v>
      </c>
      <c r="AK11" s="118">
        <f t="shared" si="2"/>
        <v>-318</v>
      </c>
      <c r="AL11" s="119" t="str">
        <f t="shared" si="3"/>
        <v>Reporte ok</v>
      </c>
      <c r="AM11" s="119"/>
      <c r="AN11" s="120"/>
    </row>
    <row r="12" ht="67.5" customHeight="1">
      <c r="A12" s="45"/>
      <c r="B12" s="103">
        <v>102.0</v>
      </c>
      <c r="C12" s="103" t="s">
        <v>256</v>
      </c>
      <c r="D12" s="103" t="s">
        <v>591</v>
      </c>
      <c r="E12" s="103" t="s">
        <v>258</v>
      </c>
      <c r="F12" s="104">
        <v>2.01901100028E12</v>
      </c>
      <c r="G12" s="105" t="s">
        <v>259</v>
      </c>
      <c r="H12" s="103" t="s">
        <v>278</v>
      </c>
      <c r="I12" s="103" t="s">
        <v>279</v>
      </c>
      <c r="J12" s="103" t="s">
        <v>280</v>
      </c>
      <c r="K12" s="106" t="s">
        <v>141</v>
      </c>
      <c r="L12" s="106" t="s">
        <v>121</v>
      </c>
      <c r="M12" s="106" t="s">
        <v>122</v>
      </c>
      <c r="N12" s="107" t="s">
        <v>618</v>
      </c>
      <c r="O12" s="108"/>
      <c r="P12" s="109">
        <v>50.0</v>
      </c>
      <c r="Q12" s="110" t="s">
        <v>619</v>
      </c>
      <c r="R12" s="111" t="s">
        <v>124</v>
      </c>
      <c r="S12" s="109">
        <v>0.0</v>
      </c>
      <c r="T12" s="109">
        <v>0.0</v>
      </c>
      <c r="U12" s="112">
        <v>0.0</v>
      </c>
      <c r="V12" s="112">
        <v>50.0</v>
      </c>
      <c r="W12" s="113" t="s">
        <v>591</v>
      </c>
      <c r="X12" s="105" t="s">
        <v>593</v>
      </c>
      <c r="Y12" s="103" t="s">
        <v>594</v>
      </c>
      <c r="Z12" s="105" t="s">
        <v>595</v>
      </c>
      <c r="AA12" s="103" t="s">
        <v>154</v>
      </c>
      <c r="AB12" s="103" t="s">
        <v>155</v>
      </c>
      <c r="AC12" s="103" t="s">
        <v>131</v>
      </c>
      <c r="AD12" s="103" t="s">
        <v>198</v>
      </c>
      <c r="AE12" s="103" t="s">
        <v>270</v>
      </c>
      <c r="AF12" s="103" t="s">
        <v>158</v>
      </c>
      <c r="AG12" s="114">
        <v>0.0</v>
      </c>
      <c r="AH12" s="115" t="s">
        <v>609</v>
      </c>
      <c r="AI12" s="125" t="s">
        <v>39</v>
      </c>
      <c r="AJ12" s="117">
        <f t="shared" si="1"/>
        <v>44396</v>
      </c>
      <c r="AK12" s="118">
        <f t="shared" si="2"/>
        <v>-318</v>
      </c>
      <c r="AL12" s="119" t="str">
        <f t="shared" si="3"/>
        <v>Reporte ok</v>
      </c>
      <c r="AM12" s="119"/>
      <c r="AN12" s="120"/>
    </row>
    <row r="13" ht="67.5" customHeight="1">
      <c r="A13" s="45"/>
      <c r="B13" s="103">
        <v>103.0</v>
      </c>
      <c r="C13" s="103" t="s">
        <v>256</v>
      </c>
      <c r="D13" s="103" t="s">
        <v>591</v>
      </c>
      <c r="E13" s="103" t="s">
        <v>258</v>
      </c>
      <c r="F13" s="104">
        <v>2.01901100028E12</v>
      </c>
      <c r="G13" s="105" t="s">
        <v>259</v>
      </c>
      <c r="H13" s="103" t="s">
        <v>260</v>
      </c>
      <c r="I13" s="103" t="s">
        <v>261</v>
      </c>
      <c r="J13" s="103" t="s">
        <v>262</v>
      </c>
      <c r="K13" s="106" t="s">
        <v>141</v>
      </c>
      <c r="L13" s="106" t="s">
        <v>121</v>
      </c>
      <c r="M13" s="106" t="s">
        <v>122</v>
      </c>
      <c r="N13" s="107" t="s">
        <v>620</v>
      </c>
      <c r="O13" s="108"/>
      <c r="P13" s="109">
        <v>5000.0</v>
      </c>
      <c r="Q13" s="110" t="s">
        <v>621</v>
      </c>
      <c r="R13" s="111" t="s">
        <v>172</v>
      </c>
      <c r="S13" s="109">
        <v>700.0</v>
      </c>
      <c r="T13" s="109">
        <v>1000.0</v>
      </c>
      <c r="U13" s="112">
        <v>1800.0</v>
      </c>
      <c r="V13" s="112">
        <v>1500.0</v>
      </c>
      <c r="W13" s="113" t="s">
        <v>591</v>
      </c>
      <c r="X13" s="105" t="s">
        <v>593</v>
      </c>
      <c r="Y13" s="103" t="s">
        <v>594</v>
      </c>
      <c r="Z13" s="105" t="s">
        <v>595</v>
      </c>
      <c r="AA13" s="103" t="s">
        <v>154</v>
      </c>
      <c r="AB13" s="103" t="s">
        <v>155</v>
      </c>
      <c r="AC13" s="103" t="s">
        <v>269</v>
      </c>
      <c r="AD13" s="103" t="s">
        <v>198</v>
      </c>
      <c r="AE13" s="103" t="s">
        <v>270</v>
      </c>
      <c r="AF13" s="103" t="s">
        <v>158</v>
      </c>
      <c r="AG13" s="114">
        <v>1545.0</v>
      </c>
      <c r="AH13" s="115" t="s">
        <v>622</v>
      </c>
      <c r="AI13" s="123" t="s">
        <v>601</v>
      </c>
      <c r="AJ13" s="117">
        <f t="shared" si="1"/>
        <v>44396</v>
      </c>
      <c r="AK13" s="118">
        <f t="shared" si="2"/>
        <v>-318</v>
      </c>
      <c r="AL13" s="119" t="str">
        <f t="shared" si="3"/>
        <v>Reporte ok</v>
      </c>
      <c r="AM13" s="119"/>
      <c r="AN13" s="120"/>
    </row>
    <row r="14" ht="67.5" customHeight="1">
      <c r="A14" s="45"/>
      <c r="B14" s="103">
        <v>104.0</v>
      </c>
      <c r="C14" s="103" t="s">
        <v>335</v>
      </c>
      <c r="D14" s="103" t="s">
        <v>591</v>
      </c>
      <c r="E14" s="103" t="s">
        <v>337</v>
      </c>
      <c r="F14" s="104">
        <v>2.019011000276E12</v>
      </c>
      <c r="G14" s="105" t="s">
        <v>338</v>
      </c>
      <c r="H14" s="103" t="s">
        <v>350</v>
      </c>
      <c r="I14" s="103" t="s">
        <v>351</v>
      </c>
      <c r="J14" s="103" t="s">
        <v>352</v>
      </c>
      <c r="K14" s="106" t="s">
        <v>141</v>
      </c>
      <c r="L14" s="106" t="s">
        <v>121</v>
      </c>
      <c r="M14" s="106" t="s">
        <v>122</v>
      </c>
      <c r="N14" s="107" t="s">
        <v>623</v>
      </c>
      <c r="O14" s="108"/>
      <c r="P14" s="109">
        <v>1000.0</v>
      </c>
      <c r="Q14" s="110" t="s">
        <v>624</v>
      </c>
      <c r="R14" s="111" t="s">
        <v>172</v>
      </c>
      <c r="S14" s="109">
        <v>130.0</v>
      </c>
      <c r="T14" s="109">
        <v>300.0</v>
      </c>
      <c r="U14" s="112">
        <v>300.0</v>
      </c>
      <c r="V14" s="112">
        <v>270.0</v>
      </c>
      <c r="W14" s="113" t="s">
        <v>591</v>
      </c>
      <c r="X14" s="105" t="s">
        <v>593</v>
      </c>
      <c r="Y14" s="103" t="s">
        <v>594</v>
      </c>
      <c r="Z14" s="105" t="s">
        <v>595</v>
      </c>
      <c r="AA14" s="103" t="s">
        <v>154</v>
      </c>
      <c r="AB14" s="103" t="s">
        <v>155</v>
      </c>
      <c r="AC14" s="103" t="s">
        <v>347</v>
      </c>
      <c r="AD14" s="103" t="s">
        <v>198</v>
      </c>
      <c r="AE14" s="103" t="s">
        <v>270</v>
      </c>
      <c r="AF14" s="103" t="s">
        <v>158</v>
      </c>
      <c r="AG14" s="114">
        <v>383.0</v>
      </c>
      <c r="AH14" s="115" t="s">
        <v>625</v>
      </c>
      <c r="AI14" s="123" t="s">
        <v>626</v>
      </c>
      <c r="AJ14" s="117">
        <f t="shared" si="1"/>
        <v>44396</v>
      </c>
      <c r="AK14" s="118">
        <f t="shared" si="2"/>
        <v>-318</v>
      </c>
      <c r="AL14" s="119" t="str">
        <f t="shared" si="3"/>
        <v>Reporte ok</v>
      </c>
      <c r="AM14" s="119"/>
      <c r="AN14" s="120"/>
    </row>
    <row r="15" ht="67.5" customHeight="1">
      <c r="A15" s="45"/>
      <c r="B15" s="103">
        <v>105.0</v>
      </c>
      <c r="C15" s="103" t="s">
        <v>256</v>
      </c>
      <c r="D15" s="103" t="s">
        <v>591</v>
      </c>
      <c r="E15" s="103" t="s">
        <v>258</v>
      </c>
      <c r="F15" s="104">
        <v>2.01901100028E12</v>
      </c>
      <c r="G15" s="105" t="s">
        <v>259</v>
      </c>
      <c r="H15" s="103" t="s">
        <v>260</v>
      </c>
      <c r="I15" s="103" t="s">
        <v>627</v>
      </c>
      <c r="J15" s="103" t="s">
        <v>285</v>
      </c>
      <c r="K15" s="106" t="s">
        <v>120</v>
      </c>
      <c r="L15" s="106" t="s">
        <v>121</v>
      </c>
      <c r="M15" s="106" t="s">
        <v>122</v>
      </c>
      <c r="N15" s="107" t="s">
        <v>628</v>
      </c>
      <c r="O15" s="108"/>
      <c r="P15" s="109">
        <v>1.201E7</v>
      </c>
      <c r="Q15" s="110" t="s">
        <v>629</v>
      </c>
      <c r="R15" s="111" t="s">
        <v>172</v>
      </c>
      <c r="S15" s="109">
        <v>100000.0</v>
      </c>
      <c r="T15" s="109">
        <v>3200000.0</v>
      </c>
      <c r="U15" s="112">
        <v>4305000.0</v>
      </c>
      <c r="V15" s="112">
        <v>4405000.0</v>
      </c>
      <c r="W15" s="113" t="s">
        <v>591</v>
      </c>
      <c r="X15" s="105" t="s">
        <v>593</v>
      </c>
      <c r="Y15" s="103" t="s">
        <v>594</v>
      </c>
      <c r="Z15" s="105" t="s">
        <v>595</v>
      </c>
      <c r="AA15" s="103" t="s">
        <v>154</v>
      </c>
      <c r="AB15" s="103" t="s">
        <v>155</v>
      </c>
      <c r="AC15" s="103" t="s">
        <v>131</v>
      </c>
      <c r="AD15" s="103" t="s">
        <v>198</v>
      </c>
      <c r="AE15" s="103" t="s">
        <v>270</v>
      </c>
      <c r="AF15" s="103" t="s">
        <v>158</v>
      </c>
      <c r="AG15" s="114">
        <v>3615000.0</v>
      </c>
      <c r="AH15" s="115" t="s">
        <v>630</v>
      </c>
      <c r="AI15" s="123" t="s">
        <v>631</v>
      </c>
      <c r="AJ15" s="117">
        <f t="shared" si="1"/>
        <v>44396</v>
      </c>
      <c r="AK15" s="118">
        <f t="shared" si="2"/>
        <v>-318</v>
      </c>
      <c r="AL15" s="119" t="str">
        <f t="shared" si="3"/>
        <v>Reporte ok</v>
      </c>
      <c r="AM15" s="119"/>
      <c r="AN15" s="120"/>
    </row>
    <row r="16" ht="67.5" customHeight="1">
      <c r="A16" s="45"/>
      <c r="B16" s="103">
        <v>106.0</v>
      </c>
      <c r="C16" s="103" t="s">
        <v>256</v>
      </c>
      <c r="D16" s="103" t="s">
        <v>591</v>
      </c>
      <c r="E16" s="103" t="s">
        <v>258</v>
      </c>
      <c r="F16" s="104">
        <v>2.01901100028E12</v>
      </c>
      <c r="G16" s="105" t="s">
        <v>259</v>
      </c>
      <c r="H16" s="103" t="s">
        <v>278</v>
      </c>
      <c r="I16" s="103" t="s">
        <v>261</v>
      </c>
      <c r="J16" s="103" t="s">
        <v>305</v>
      </c>
      <c r="K16" s="106" t="s">
        <v>141</v>
      </c>
      <c r="L16" s="106" t="s">
        <v>121</v>
      </c>
      <c r="M16" s="106" t="s">
        <v>122</v>
      </c>
      <c r="N16" s="107" t="s">
        <v>632</v>
      </c>
      <c r="O16" s="108"/>
      <c r="P16" s="109">
        <v>50.0</v>
      </c>
      <c r="Q16" s="110" t="s">
        <v>633</v>
      </c>
      <c r="R16" s="111" t="s">
        <v>172</v>
      </c>
      <c r="S16" s="109">
        <v>5.0</v>
      </c>
      <c r="T16" s="109">
        <v>15.0</v>
      </c>
      <c r="U16" s="112">
        <v>15.0</v>
      </c>
      <c r="V16" s="112">
        <v>15.0</v>
      </c>
      <c r="W16" s="113" t="s">
        <v>591</v>
      </c>
      <c r="X16" s="105" t="s">
        <v>593</v>
      </c>
      <c r="Y16" s="103" t="s">
        <v>594</v>
      </c>
      <c r="Z16" s="105" t="s">
        <v>595</v>
      </c>
      <c r="AA16" s="103" t="s">
        <v>154</v>
      </c>
      <c r="AB16" s="103" t="s">
        <v>155</v>
      </c>
      <c r="AC16" s="103" t="s">
        <v>131</v>
      </c>
      <c r="AD16" s="103" t="s">
        <v>198</v>
      </c>
      <c r="AE16" s="103" t="s">
        <v>270</v>
      </c>
      <c r="AF16" s="103" t="s">
        <v>158</v>
      </c>
      <c r="AG16" s="114">
        <v>15.0</v>
      </c>
      <c r="AH16" s="115" t="s">
        <v>634</v>
      </c>
      <c r="AI16" s="123" t="s">
        <v>635</v>
      </c>
      <c r="AJ16" s="117">
        <f t="shared" si="1"/>
        <v>44396</v>
      </c>
      <c r="AK16" s="118">
        <f t="shared" si="2"/>
        <v>-318</v>
      </c>
      <c r="AL16" s="119" t="str">
        <f t="shared" si="3"/>
        <v>Reporte ok</v>
      </c>
      <c r="AM16" s="119"/>
      <c r="AN16" s="120"/>
    </row>
    <row r="17" ht="67.5" customHeight="1">
      <c r="A17" s="45"/>
      <c r="B17" s="103">
        <v>107.0</v>
      </c>
      <c r="C17" s="103" t="s">
        <v>256</v>
      </c>
      <c r="D17" s="103" t="s">
        <v>591</v>
      </c>
      <c r="E17" s="103" t="s">
        <v>258</v>
      </c>
      <c r="F17" s="104">
        <v>2.01901100028E12</v>
      </c>
      <c r="G17" s="105" t="s">
        <v>259</v>
      </c>
      <c r="H17" s="103" t="s">
        <v>278</v>
      </c>
      <c r="I17" s="103" t="s">
        <v>261</v>
      </c>
      <c r="J17" s="103" t="s">
        <v>305</v>
      </c>
      <c r="K17" s="106" t="s">
        <v>141</v>
      </c>
      <c r="L17" s="106" t="s">
        <v>121</v>
      </c>
      <c r="M17" s="106" t="s">
        <v>122</v>
      </c>
      <c r="N17" s="107" t="s">
        <v>636</v>
      </c>
      <c r="O17" s="108"/>
      <c r="P17" s="109">
        <v>30.0</v>
      </c>
      <c r="Q17" s="110" t="s">
        <v>637</v>
      </c>
      <c r="R17" s="111" t="s">
        <v>172</v>
      </c>
      <c r="S17" s="109">
        <v>0.0</v>
      </c>
      <c r="T17" s="109">
        <v>5.0</v>
      </c>
      <c r="U17" s="112">
        <v>14.0</v>
      </c>
      <c r="V17" s="112">
        <v>11.0</v>
      </c>
      <c r="W17" s="113" t="s">
        <v>591</v>
      </c>
      <c r="X17" s="105" t="s">
        <v>593</v>
      </c>
      <c r="Y17" s="103" t="s">
        <v>594</v>
      </c>
      <c r="Z17" s="105" t="s">
        <v>595</v>
      </c>
      <c r="AA17" s="103" t="s">
        <v>154</v>
      </c>
      <c r="AB17" s="103" t="s">
        <v>155</v>
      </c>
      <c r="AC17" s="103" t="s">
        <v>131</v>
      </c>
      <c r="AD17" s="103" t="s">
        <v>198</v>
      </c>
      <c r="AE17" s="103" t="s">
        <v>270</v>
      </c>
      <c r="AF17" s="103" t="s">
        <v>158</v>
      </c>
      <c r="AG17" s="114">
        <v>5.0</v>
      </c>
      <c r="AH17" s="115" t="s">
        <v>638</v>
      </c>
      <c r="AI17" s="123" t="s">
        <v>639</v>
      </c>
      <c r="AJ17" s="117">
        <f t="shared" si="1"/>
        <v>44396</v>
      </c>
      <c r="AK17" s="118">
        <f t="shared" si="2"/>
        <v>-318</v>
      </c>
      <c r="AL17" s="119" t="str">
        <f t="shared" si="3"/>
        <v>Reporte ok</v>
      </c>
      <c r="AM17" s="119"/>
      <c r="AN17" s="120"/>
    </row>
    <row r="18" ht="67.5" customHeight="1">
      <c r="A18" s="45"/>
      <c r="B18" s="103">
        <v>108.0</v>
      </c>
      <c r="C18" s="103" t="s">
        <v>335</v>
      </c>
      <c r="D18" s="103" t="s">
        <v>591</v>
      </c>
      <c r="E18" s="103" t="s">
        <v>337</v>
      </c>
      <c r="F18" s="104">
        <v>2.019011000276E12</v>
      </c>
      <c r="G18" s="105" t="s">
        <v>338</v>
      </c>
      <c r="H18" s="103" t="s">
        <v>350</v>
      </c>
      <c r="I18" s="103" t="s">
        <v>351</v>
      </c>
      <c r="J18" s="103" t="s">
        <v>352</v>
      </c>
      <c r="K18" s="106" t="s">
        <v>289</v>
      </c>
      <c r="L18" s="106" t="s">
        <v>121</v>
      </c>
      <c r="M18" s="106" t="s">
        <v>122</v>
      </c>
      <c r="N18" s="107" t="s">
        <v>640</v>
      </c>
      <c r="O18" s="108"/>
      <c r="P18" s="109">
        <v>40.0</v>
      </c>
      <c r="Q18" s="110" t="s">
        <v>641</v>
      </c>
      <c r="R18" s="111" t="s">
        <v>172</v>
      </c>
      <c r="S18" s="109">
        <v>5.0</v>
      </c>
      <c r="T18" s="109">
        <v>7.0</v>
      </c>
      <c r="U18" s="112">
        <v>11.0</v>
      </c>
      <c r="V18" s="112">
        <v>17.0</v>
      </c>
      <c r="W18" s="113" t="s">
        <v>591</v>
      </c>
      <c r="X18" s="105" t="s">
        <v>593</v>
      </c>
      <c r="Y18" s="103" t="s">
        <v>594</v>
      </c>
      <c r="Z18" s="105" t="s">
        <v>595</v>
      </c>
      <c r="AA18" s="103" t="s">
        <v>154</v>
      </c>
      <c r="AB18" s="103" t="s">
        <v>155</v>
      </c>
      <c r="AC18" s="103" t="s">
        <v>347</v>
      </c>
      <c r="AD18" s="103" t="s">
        <v>198</v>
      </c>
      <c r="AE18" s="103" t="s">
        <v>270</v>
      </c>
      <c r="AF18" s="103" t="s">
        <v>158</v>
      </c>
      <c r="AG18" s="114">
        <v>12.0</v>
      </c>
      <c r="AH18" s="115" t="s">
        <v>642</v>
      </c>
      <c r="AI18" s="123" t="s">
        <v>643</v>
      </c>
      <c r="AJ18" s="117">
        <f t="shared" si="1"/>
        <v>44396</v>
      </c>
      <c r="AK18" s="118">
        <f t="shared" si="2"/>
        <v>-318</v>
      </c>
      <c r="AL18" s="119" t="str">
        <f t="shared" si="3"/>
        <v>Reporte ok</v>
      </c>
      <c r="AM18" s="119"/>
      <c r="AN18" s="120"/>
    </row>
    <row r="19" ht="67.5" customHeight="1">
      <c r="A19" s="45"/>
      <c r="B19" s="103">
        <v>109.0</v>
      </c>
      <c r="C19" s="103" t="s">
        <v>335</v>
      </c>
      <c r="D19" s="103" t="s">
        <v>591</v>
      </c>
      <c r="E19" s="103" t="s">
        <v>337</v>
      </c>
      <c r="F19" s="104">
        <v>2.019011000276E12</v>
      </c>
      <c r="G19" s="105" t="s">
        <v>338</v>
      </c>
      <c r="H19" s="103" t="s">
        <v>339</v>
      </c>
      <c r="I19" s="103" t="s">
        <v>340</v>
      </c>
      <c r="J19" s="103" t="s">
        <v>341</v>
      </c>
      <c r="K19" s="106" t="s">
        <v>141</v>
      </c>
      <c r="L19" s="106" t="s">
        <v>121</v>
      </c>
      <c r="M19" s="106" t="s">
        <v>122</v>
      </c>
      <c r="N19" s="107" t="s">
        <v>644</v>
      </c>
      <c r="O19" s="108"/>
      <c r="P19" s="109">
        <v>40.0</v>
      </c>
      <c r="Q19" s="110" t="s">
        <v>645</v>
      </c>
      <c r="R19" s="111" t="s">
        <v>172</v>
      </c>
      <c r="S19" s="109">
        <v>5.0</v>
      </c>
      <c r="T19" s="109">
        <v>10.0</v>
      </c>
      <c r="U19" s="112">
        <v>15.0</v>
      </c>
      <c r="V19" s="112">
        <v>10.0</v>
      </c>
      <c r="W19" s="113" t="s">
        <v>591</v>
      </c>
      <c r="X19" s="105" t="s">
        <v>593</v>
      </c>
      <c r="Y19" s="103" t="s">
        <v>594</v>
      </c>
      <c r="Z19" s="105" t="s">
        <v>595</v>
      </c>
      <c r="AA19" s="103" t="s">
        <v>154</v>
      </c>
      <c r="AB19" s="103" t="s">
        <v>155</v>
      </c>
      <c r="AC19" s="103" t="s">
        <v>269</v>
      </c>
      <c r="AD19" s="103" t="s">
        <v>198</v>
      </c>
      <c r="AE19" s="103" t="s">
        <v>270</v>
      </c>
      <c r="AF19" s="103" t="s">
        <v>158</v>
      </c>
      <c r="AG19" s="114">
        <v>12.0</v>
      </c>
      <c r="AH19" s="115" t="s">
        <v>646</v>
      </c>
      <c r="AI19" s="123" t="s">
        <v>647</v>
      </c>
      <c r="AJ19" s="117">
        <f t="shared" si="1"/>
        <v>44396</v>
      </c>
      <c r="AK19" s="118">
        <f t="shared" si="2"/>
        <v>-318</v>
      </c>
      <c r="AL19" s="119" t="str">
        <f t="shared" si="3"/>
        <v>Reporte ok</v>
      </c>
      <c r="AM19" s="119"/>
      <c r="AN19" s="120"/>
    </row>
    <row r="20" ht="67.5" customHeight="1">
      <c r="A20" s="45"/>
      <c r="B20" s="103">
        <v>110.0</v>
      </c>
      <c r="C20" s="103" t="s">
        <v>335</v>
      </c>
      <c r="D20" s="103" t="s">
        <v>591</v>
      </c>
      <c r="E20" s="103" t="s">
        <v>337</v>
      </c>
      <c r="F20" s="104">
        <v>2.019011000276E12</v>
      </c>
      <c r="G20" s="105" t="s">
        <v>338</v>
      </c>
      <c r="H20" s="103" t="s">
        <v>339</v>
      </c>
      <c r="I20" s="103" t="s">
        <v>340</v>
      </c>
      <c r="J20" s="103" t="s">
        <v>341</v>
      </c>
      <c r="K20" s="106" t="s">
        <v>141</v>
      </c>
      <c r="L20" s="106" t="s">
        <v>121</v>
      </c>
      <c r="M20" s="106" t="s">
        <v>122</v>
      </c>
      <c r="N20" s="107" t="s">
        <v>648</v>
      </c>
      <c r="O20" s="108"/>
      <c r="P20" s="109">
        <v>40.0</v>
      </c>
      <c r="Q20" s="110" t="s">
        <v>649</v>
      </c>
      <c r="R20" s="111" t="s">
        <v>172</v>
      </c>
      <c r="S20" s="109">
        <v>5.0</v>
      </c>
      <c r="T20" s="109">
        <v>10.0</v>
      </c>
      <c r="U20" s="112">
        <v>15.0</v>
      </c>
      <c r="V20" s="112">
        <v>10.0</v>
      </c>
      <c r="W20" s="113" t="s">
        <v>591</v>
      </c>
      <c r="X20" s="105" t="s">
        <v>593</v>
      </c>
      <c r="Y20" s="103" t="s">
        <v>594</v>
      </c>
      <c r="Z20" s="105" t="s">
        <v>595</v>
      </c>
      <c r="AA20" s="103" t="s">
        <v>154</v>
      </c>
      <c r="AB20" s="103" t="s">
        <v>155</v>
      </c>
      <c r="AC20" s="103" t="s">
        <v>269</v>
      </c>
      <c r="AD20" s="103" t="s">
        <v>198</v>
      </c>
      <c r="AE20" s="103" t="s">
        <v>270</v>
      </c>
      <c r="AF20" s="103" t="s">
        <v>158</v>
      </c>
      <c r="AG20" s="114">
        <v>14.0</v>
      </c>
      <c r="AH20" s="115" t="s">
        <v>650</v>
      </c>
      <c r="AI20" s="123" t="s">
        <v>651</v>
      </c>
      <c r="AJ20" s="117">
        <f t="shared" si="1"/>
        <v>44396</v>
      </c>
      <c r="AK20" s="118">
        <f t="shared" si="2"/>
        <v>-318</v>
      </c>
      <c r="AL20" s="119" t="str">
        <f t="shared" si="3"/>
        <v>Reporte ok</v>
      </c>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24"/>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11"/>
    <hyperlink r:id="rId5" ref="AI13"/>
    <hyperlink r:id="rId6" ref="AI14"/>
    <hyperlink r:id="rId7" ref="AI15"/>
    <hyperlink r:id="rId8" ref="AI16"/>
    <hyperlink r:id="rId9" ref="AI17"/>
    <hyperlink r:id="rId10" ref="AI18"/>
    <hyperlink r:id="rId11" ref="AI19"/>
    <hyperlink r:id="rId12" ref="AI20"/>
  </hyperlinks>
  <printOptions gridLines="1" horizontalCentered="1"/>
  <pageMargins bottom="0.75" footer="0.0" header="0.0" left="0.7" right="0.7" top="0.75"/>
  <pageSetup cellComments="atEnd" orientation="portrait" pageOrder="overThenDown"/>
  <drawing r:id="rId13"/>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111.0</v>
      </c>
      <c r="C4" s="103" t="s">
        <v>256</v>
      </c>
      <c r="D4" s="103" t="s">
        <v>652</v>
      </c>
      <c r="E4" s="103" t="s">
        <v>258</v>
      </c>
      <c r="F4" s="104">
        <v>2.01901100028E12</v>
      </c>
      <c r="G4" s="105" t="s">
        <v>259</v>
      </c>
      <c r="H4" s="103" t="s">
        <v>260</v>
      </c>
      <c r="I4" s="103" t="s">
        <v>284</v>
      </c>
      <c r="J4" s="103" t="s">
        <v>288</v>
      </c>
      <c r="K4" s="106" t="s">
        <v>120</v>
      </c>
      <c r="L4" s="106" t="s">
        <v>121</v>
      </c>
      <c r="M4" s="106" t="s">
        <v>122</v>
      </c>
      <c r="N4" s="107" t="s">
        <v>286</v>
      </c>
      <c r="O4" s="108"/>
      <c r="P4" s="109">
        <v>1.0</v>
      </c>
      <c r="Q4" s="110" t="s">
        <v>653</v>
      </c>
      <c r="R4" s="111" t="s">
        <v>124</v>
      </c>
      <c r="S4" s="109">
        <v>0.0</v>
      </c>
      <c r="T4" s="109">
        <v>0.0</v>
      </c>
      <c r="U4" s="112">
        <v>0.0</v>
      </c>
      <c r="V4" s="112">
        <v>1.0</v>
      </c>
      <c r="W4" s="113" t="s">
        <v>654</v>
      </c>
      <c r="X4" s="105" t="s">
        <v>655</v>
      </c>
      <c r="Y4" s="103" t="s">
        <v>656</v>
      </c>
      <c r="Z4" s="105" t="s">
        <v>657</v>
      </c>
      <c r="AA4" s="103" t="s">
        <v>154</v>
      </c>
      <c r="AB4" s="103" t="s">
        <v>155</v>
      </c>
      <c r="AC4" s="103" t="s">
        <v>131</v>
      </c>
      <c r="AD4" s="103" t="s">
        <v>198</v>
      </c>
      <c r="AE4" s="103" t="s">
        <v>270</v>
      </c>
      <c r="AF4" s="103" t="s">
        <v>158</v>
      </c>
      <c r="AG4" s="114">
        <v>0.0</v>
      </c>
      <c r="AH4" s="115" t="s">
        <v>658</v>
      </c>
      <c r="AI4" s="123" t="s">
        <v>659</v>
      </c>
      <c r="AJ4" s="117">
        <f t="shared" ref="AJ4:AJ13" si="1">$AK$1</f>
        <v>44396</v>
      </c>
      <c r="AK4" s="118">
        <f t="shared" ref="AK4:AK13" si="2">AJ4-$AL$1</f>
        <v>-318</v>
      </c>
      <c r="AL4" s="119" t="str">
        <f t="shared" ref="AL4:AL13" si="3">IF(ISBLANK(AG4),"Pendiente Ejecución"&amp;CHAR(10),)&amp;IF(ISBLANK(AH4),"Pendiente Justificación"&amp;CHAR(10),)&amp;IF(ISBLANK(AI4),"Pendiente Evidencia",)&amp;IF(OR(ISBLANK(AG4),ISBLANK(AH4),ISBLANK(AI4)),,"Reporte ok")</f>
        <v>Reporte ok</v>
      </c>
      <c r="AM4" s="119"/>
      <c r="AN4" s="120"/>
    </row>
    <row r="5" ht="67.5" customHeight="1">
      <c r="A5" s="45"/>
      <c r="B5" s="103">
        <v>112.0</v>
      </c>
      <c r="C5" s="103" t="s">
        <v>256</v>
      </c>
      <c r="D5" s="103" t="s">
        <v>652</v>
      </c>
      <c r="E5" s="103" t="s">
        <v>258</v>
      </c>
      <c r="F5" s="104">
        <v>2.01901100028E12</v>
      </c>
      <c r="G5" s="105" t="s">
        <v>259</v>
      </c>
      <c r="H5" s="103" t="s">
        <v>260</v>
      </c>
      <c r="I5" s="103" t="s">
        <v>261</v>
      </c>
      <c r="J5" s="103" t="s">
        <v>262</v>
      </c>
      <c r="K5" s="106" t="s">
        <v>120</v>
      </c>
      <c r="L5" s="106" t="s">
        <v>121</v>
      </c>
      <c r="M5" s="106" t="s">
        <v>122</v>
      </c>
      <c r="N5" s="107" t="s">
        <v>571</v>
      </c>
      <c r="O5" s="108"/>
      <c r="P5" s="109">
        <v>750.0</v>
      </c>
      <c r="Q5" s="110" t="s">
        <v>660</v>
      </c>
      <c r="R5" s="111" t="s">
        <v>172</v>
      </c>
      <c r="S5" s="109">
        <v>120.0</v>
      </c>
      <c r="T5" s="109">
        <v>100.0</v>
      </c>
      <c r="U5" s="112">
        <v>250.0</v>
      </c>
      <c r="V5" s="112">
        <v>280.0</v>
      </c>
      <c r="W5" s="113" t="s">
        <v>654</v>
      </c>
      <c r="X5" s="105" t="s">
        <v>655</v>
      </c>
      <c r="Y5" s="103" t="s">
        <v>656</v>
      </c>
      <c r="Z5" s="105" t="s">
        <v>657</v>
      </c>
      <c r="AA5" s="103" t="s">
        <v>154</v>
      </c>
      <c r="AB5" s="103" t="s">
        <v>155</v>
      </c>
      <c r="AC5" s="103" t="s">
        <v>131</v>
      </c>
      <c r="AD5" s="103" t="s">
        <v>198</v>
      </c>
      <c r="AE5" s="103" t="s">
        <v>270</v>
      </c>
      <c r="AF5" s="103" t="s">
        <v>158</v>
      </c>
      <c r="AG5" s="114">
        <v>88.0</v>
      </c>
      <c r="AH5" s="115" t="s">
        <v>661</v>
      </c>
      <c r="AI5" s="123" t="s">
        <v>659</v>
      </c>
      <c r="AJ5" s="117">
        <f t="shared" si="1"/>
        <v>44396</v>
      </c>
      <c r="AK5" s="118">
        <f t="shared" si="2"/>
        <v>-318</v>
      </c>
      <c r="AL5" s="119" t="str">
        <f t="shared" si="3"/>
        <v>Reporte ok</v>
      </c>
      <c r="AM5" s="119"/>
      <c r="AN5" s="120"/>
    </row>
    <row r="6" ht="67.5" customHeight="1">
      <c r="A6" s="45"/>
      <c r="B6" s="103">
        <v>113.0</v>
      </c>
      <c r="C6" s="103" t="s">
        <v>256</v>
      </c>
      <c r="D6" s="103" t="s">
        <v>652</v>
      </c>
      <c r="E6" s="103" t="s">
        <v>258</v>
      </c>
      <c r="F6" s="104">
        <v>2.01901100028E12</v>
      </c>
      <c r="G6" s="105" t="s">
        <v>259</v>
      </c>
      <c r="H6" s="103" t="s">
        <v>260</v>
      </c>
      <c r="I6" s="103" t="s">
        <v>627</v>
      </c>
      <c r="J6" s="103" t="s">
        <v>285</v>
      </c>
      <c r="K6" s="106" t="s">
        <v>120</v>
      </c>
      <c r="L6" s="106" t="s">
        <v>121</v>
      </c>
      <c r="M6" s="106" t="s">
        <v>122</v>
      </c>
      <c r="N6" s="107" t="s">
        <v>628</v>
      </c>
      <c r="O6" s="108"/>
      <c r="P6" s="109">
        <v>6100000.0</v>
      </c>
      <c r="Q6" s="110" t="s">
        <v>662</v>
      </c>
      <c r="R6" s="111" t="s">
        <v>172</v>
      </c>
      <c r="S6" s="109">
        <v>600000.0</v>
      </c>
      <c r="T6" s="109">
        <v>600000.0</v>
      </c>
      <c r="U6" s="112">
        <v>2400000.0</v>
      </c>
      <c r="V6" s="112">
        <v>2500000.0</v>
      </c>
      <c r="W6" s="113" t="s">
        <v>654</v>
      </c>
      <c r="X6" s="105" t="s">
        <v>655</v>
      </c>
      <c r="Y6" s="103" t="s">
        <v>656</v>
      </c>
      <c r="Z6" s="105" t="s">
        <v>657</v>
      </c>
      <c r="AA6" s="103" t="s">
        <v>154</v>
      </c>
      <c r="AB6" s="103" t="s">
        <v>155</v>
      </c>
      <c r="AC6" s="103" t="s">
        <v>269</v>
      </c>
      <c r="AD6" s="103" t="s">
        <v>198</v>
      </c>
      <c r="AE6" s="103" t="s">
        <v>270</v>
      </c>
      <c r="AF6" s="103" t="s">
        <v>158</v>
      </c>
      <c r="AG6" s="114">
        <v>413984.0</v>
      </c>
      <c r="AH6" s="115" t="s">
        <v>663</v>
      </c>
      <c r="AI6" s="123" t="s">
        <v>659</v>
      </c>
      <c r="AJ6" s="117">
        <f t="shared" si="1"/>
        <v>44396</v>
      </c>
      <c r="AK6" s="118">
        <f t="shared" si="2"/>
        <v>-318</v>
      </c>
      <c r="AL6" s="119" t="str">
        <f t="shared" si="3"/>
        <v>Reporte ok</v>
      </c>
      <c r="AM6" s="119"/>
      <c r="AN6" s="120"/>
    </row>
    <row r="7" ht="67.5" customHeight="1">
      <c r="A7" s="45"/>
      <c r="B7" s="103">
        <v>114.0</v>
      </c>
      <c r="C7" s="103" t="s">
        <v>256</v>
      </c>
      <c r="D7" s="103" t="s">
        <v>652</v>
      </c>
      <c r="E7" s="103" t="s">
        <v>258</v>
      </c>
      <c r="F7" s="104">
        <v>2.01901100028E12</v>
      </c>
      <c r="G7" s="105" t="s">
        <v>259</v>
      </c>
      <c r="H7" s="103" t="s">
        <v>260</v>
      </c>
      <c r="I7" s="103" t="s">
        <v>602</v>
      </c>
      <c r="J7" s="103" t="s">
        <v>288</v>
      </c>
      <c r="K7" s="106" t="s">
        <v>120</v>
      </c>
      <c r="L7" s="106" t="s">
        <v>121</v>
      </c>
      <c r="M7" s="106" t="s">
        <v>122</v>
      </c>
      <c r="N7" s="107" t="s">
        <v>342</v>
      </c>
      <c r="O7" s="108"/>
      <c r="P7" s="109">
        <v>7.0</v>
      </c>
      <c r="Q7" s="110" t="s">
        <v>664</v>
      </c>
      <c r="R7" s="111" t="s">
        <v>172</v>
      </c>
      <c r="S7" s="109">
        <v>1.0</v>
      </c>
      <c r="T7" s="109">
        <v>1.0</v>
      </c>
      <c r="U7" s="112">
        <v>2.0</v>
      </c>
      <c r="V7" s="112">
        <v>3.0</v>
      </c>
      <c r="W7" s="113" t="s">
        <v>654</v>
      </c>
      <c r="X7" s="105" t="s">
        <v>655</v>
      </c>
      <c r="Y7" s="103" t="s">
        <v>656</v>
      </c>
      <c r="Z7" s="105" t="s">
        <v>657</v>
      </c>
      <c r="AA7" s="103" t="s">
        <v>154</v>
      </c>
      <c r="AB7" s="103" t="s">
        <v>155</v>
      </c>
      <c r="AC7" s="103" t="s">
        <v>131</v>
      </c>
      <c r="AD7" s="103" t="s">
        <v>198</v>
      </c>
      <c r="AE7" s="103" t="s">
        <v>270</v>
      </c>
      <c r="AF7" s="103" t="s">
        <v>158</v>
      </c>
      <c r="AG7" s="114">
        <v>1.0</v>
      </c>
      <c r="AH7" s="115" t="s">
        <v>665</v>
      </c>
      <c r="AI7" s="123" t="s">
        <v>659</v>
      </c>
      <c r="AJ7" s="117">
        <f t="shared" si="1"/>
        <v>44396</v>
      </c>
      <c r="AK7" s="118">
        <f t="shared" si="2"/>
        <v>-318</v>
      </c>
      <c r="AL7" s="119" t="str">
        <f t="shared" si="3"/>
        <v>Reporte ok</v>
      </c>
      <c r="AM7" s="119"/>
      <c r="AN7" s="120"/>
    </row>
    <row r="8" ht="67.5" customHeight="1">
      <c r="A8" s="45"/>
      <c r="B8" s="103">
        <v>115.0</v>
      </c>
      <c r="C8" s="103" t="s">
        <v>256</v>
      </c>
      <c r="D8" s="103" t="s">
        <v>652</v>
      </c>
      <c r="E8" s="103" t="s">
        <v>258</v>
      </c>
      <c r="F8" s="104">
        <v>2.01901100028E12</v>
      </c>
      <c r="G8" s="105" t="s">
        <v>259</v>
      </c>
      <c r="H8" s="103" t="s">
        <v>260</v>
      </c>
      <c r="I8" s="103" t="s">
        <v>261</v>
      </c>
      <c r="J8" s="103" t="s">
        <v>305</v>
      </c>
      <c r="K8" s="106" t="s">
        <v>141</v>
      </c>
      <c r="L8" s="106" t="s">
        <v>121</v>
      </c>
      <c r="M8" s="106" t="s">
        <v>122</v>
      </c>
      <c r="N8" s="107" t="s">
        <v>582</v>
      </c>
      <c r="O8" s="108"/>
      <c r="P8" s="109">
        <v>90.0</v>
      </c>
      <c r="Q8" s="110" t="s">
        <v>666</v>
      </c>
      <c r="R8" s="111" t="s">
        <v>172</v>
      </c>
      <c r="S8" s="109">
        <v>15.0</v>
      </c>
      <c r="T8" s="109">
        <v>25.0</v>
      </c>
      <c r="U8" s="112">
        <v>25.0</v>
      </c>
      <c r="V8" s="112">
        <v>25.0</v>
      </c>
      <c r="W8" s="113" t="s">
        <v>654</v>
      </c>
      <c r="X8" s="105" t="s">
        <v>655</v>
      </c>
      <c r="Y8" s="103" t="s">
        <v>656</v>
      </c>
      <c r="Z8" s="105" t="s">
        <v>657</v>
      </c>
      <c r="AA8" s="103" t="s">
        <v>154</v>
      </c>
      <c r="AB8" s="103" t="s">
        <v>155</v>
      </c>
      <c r="AC8" s="103" t="s">
        <v>131</v>
      </c>
      <c r="AD8" s="103" t="s">
        <v>198</v>
      </c>
      <c r="AE8" s="103" t="s">
        <v>270</v>
      </c>
      <c r="AF8" s="103" t="s">
        <v>158</v>
      </c>
      <c r="AG8" s="114">
        <v>12.0</v>
      </c>
      <c r="AH8" s="115" t="s">
        <v>667</v>
      </c>
      <c r="AI8" s="123" t="s">
        <v>659</v>
      </c>
      <c r="AJ8" s="117">
        <f t="shared" si="1"/>
        <v>44396</v>
      </c>
      <c r="AK8" s="118">
        <f t="shared" si="2"/>
        <v>-318</v>
      </c>
      <c r="AL8" s="119" t="str">
        <f t="shared" si="3"/>
        <v>Reporte ok</v>
      </c>
      <c r="AM8" s="119"/>
      <c r="AN8" s="120"/>
    </row>
    <row r="9" ht="67.5" customHeight="1">
      <c r="A9" s="45"/>
      <c r="B9" s="103">
        <v>116.0</v>
      </c>
      <c r="C9" s="103" t="s">
        <v>256</v>
      </c>
      <c r="D9" s="103" t="s">
        <v>652</v>
      </c>
      <c r="E9" s="103" t="s">
        <v>258</v>
      </c>
      <c r="F9" s="104">
        <v>2.01901100028E12</v>
      </c>
      <c r="G9" s="105" t="s">
        <v>259</v>
      </c>
      <c r="H9" s="103" t="s">
        <v>260</v>
      </c>
      <c r="I9" s="103" t="s">
        <v>261</v>
      </c>
      <c r="J9" s="103" t="s">
        <v>305</v>
      </c>
      <c r="K9" s="106" t="s">
        <v>141</v>
      </c>
      <c r="L9" s="106" t="s">
        <v>121</v>
      </c>
      <c r="M9" s="106" t="s">
        <v>122</v>
      </c>
      <c r="N9" s="107" t="s">
        <v>668</v>
      </c>
      <c r="O9" s="108"/>
      <c r="P9" s="109">
        <v>35.0</v>
      </c>
      <c r="Q9" s="110" t="s">
        <v>669</v>
      </c>
      <c r="R9" s="111" t="s">
        <v>172</v>
      </c>
      <c r="S9" s="109">
        <v>6.0</v>
      </c>
      <c r="T9" s="109">
        <v>8.0</v>
      </c>
      <c r="U9" s="112">
        <v>9.0</v>
      </c>
      <c r="V9" s="112">
        <v>12.0</v>
      </c>
      <c r="W9" s="113" t="s">
        <v>654</v>
      </c>
      <c r="X9" s="105" t="s">
        <v>655</v>
      </c>
      <c r="Y9" s="103" t="s">
        <v>656</v>
      </c>
      <c r="Z9" s="105" t="s">
        <v>657</v>
      </c>
      <c r="AA9" s="103" t="s">
        <v>154</v>
      </c>
      <c r="AB9" s="103" t="s">
        <v>155</v>
      </c>
      <c r="AC9" s="103" t="s">
        <v>131</v>
      </c>
      <c r="AD9" s="103" t="s">
        <v>198</v>
      </c>
      <c r="AE9" s="103" t="s">
        <v>270</v>
      </c>
      <c r="AF9" s="103" t="s">
        <v>158</v>
      </c>
      <c r="AG9" s="114">
        <v>12.0</v>
      </c>
      <c r="AH9" s="115" t="s">
        <v>667</v>
      </c>
      <c r="AI9" s="123" t="s">
        <v>659</v>
      </c>
      <c r="AJ9" s="117">
        <f t="shared" si="1"/>
        <v>44396</v>
      </c>
      <c r="AK9" s="118">
        <f t="shared" si="2"/>
        <v>-318</v>
      </c>
      <c r="AL9" s="119" t="str">
        <f t="shared" si="3"/>
        <v>Reporte ok</v>
      </c>
      <c r="AM9" s="119"/>
      <c r="AN9" s="120"/>
    </row>
    <row r="10" ht="67.5" customHeight="1">
      <c r="A10" s="45"/>
      <c r="B10" s="103">
        <v>117.0</v>
      </c>
      <c r="C10" s="103" t="s">
        <v>256</v>
      </c>
      <c r="D10" s="103" t="s">
        <v>652</v>
      </c>
      <c r="E10" s="103" t="s">
        <v>258</v>
      </c>
      <c r="F10" s="104">
        <v>2.01901100028E12</v>
      </c>
      <c r="G10" s="105" t="s">
        <v>259</v>
      </c>
      <c r="H10" s="103" t="s">
        <v>260</v>
      </c>
      <c r="I10" s="103" t="s">
        <v>261</v>
      </c>
      <c r="J10" s="103" t="s">
        <v>262</v>
      </c>
      <c r="K10" s="106" t="s">
        <v>141</v>
      </c>
      <c r="L10" s="106" t="s">
        <v>121</v>
      </c>
      <c r="M10" s="106" t="s">
        <v>122</v>
      </c>
      <c r="N10" s="107" t="s">
        <v>670</v>
      </c>
      <c r="O10" s="108"/>
      <c r="P10" s="109">
        <v>800.0</v>
      </c>
      <c r="Q10" s="110" t="s">
        <v>671</v>
      </c>
      <c r="R10" s="111" t="s">
        <v>172</v>
      </c>
      <c r="S10" s="109">
        <v>200.0</v>
      </c>
      <c r="T10" s="109">
        <v>200.0</v>
      </c>
      <c r="U10" s="112">
        <v>200.0</v>
      </c>
      <c r="V10" s="112">
        <v>200.0</v>
      </c>
      <c r="W10" s="113" t="s">
        <v>654</v>
      </c>
      <c r="X10" s="105" t="s">
        <v>655</v>
      </c>
      <c r="Y10" s="103" t="s">
        <v>656</v>
      </c>
      <c r="Z10" s="105" t="s">
        <v>657</v>
      </c>
      <c r="AA10" s="103" t="s">
        <v>154</v>
      </c>
      <c r="AB10" s="103" t="s">
        <v>155</v>
      </c>
      <c r="AC10" s="103" t="s">
        <v>131</v>
      </c>
      <c r="AD10" s="103" t="s">
        <v>198</v>
      </c>
      <c r="AE10" s="103" t="s">
        <v>672</v>
      </c>
      <c r="AF10" s="103" t="s">
        <v>158</v>
      </c>
      <c r="AG10" s="114">
        <v>592.0</v>
      </c>
      <c r="AH10" s="115" t="s">
        <v>673</v>
      </c>
      <c r="AI10" s="123" t="s">
        <v>659</v>
      </c>
      <c r="AJ10" s="117">
        <f t="shared" si="1"/>
        <v>44396</v>
      </c>
      <c r="AK10" s="118">
        <f t="shared" si="2"/>
        <v>-318</v>
      </c>
      <c r="AL10" s="119" t="str">
        <f t="shared" si="3"/>
        <v>Reporte ok</v>
      </c>
      <c r="AM10" s="119"/>
      <c r="AN10" s="120"/>
    </row>
    <row r="11" ht="67.5" customHeight="1">
      <c r="A11" s="45"/>
      <c r="B11" s="103">
        <v>118.0</v>
      </c>
      <c r="C11" s="103" t="s">
        <v>335</v>
      </c>
      <c r="D11" s="103" t="s">
        <v>652</v>
      </c>
      <c r="E11" s="103" t="s">
        <v>337</v>
      </c>
      <c r="F11" s="104">
        <v>2.019011000276E12</v>
      </c>
      <c r="G11" s="105" t="s">
        <v>338</v>
      </c>
      <c r="H11" s="103" t="s">
        <v>350</v>
      </c>
      <c r="I11" s="103" t="s">
        <v>351</v>
      </c>
      <c r="J11" s="103" t="s">
        <v>352</v>
      </c>
      <c r="K11" s="106" t="s">
        <v>120</v>
      </c>
      <c r="L11" s="106" t="s">
        <v>121</v>
      </c>
      <c r="M11" s="106" t="s">
        <v>122</v>
      </c>
      <c r="N11" s="107" t="s">
        <v>353</v>
      </c>
      <c r="O11" s="108"/>
      <c r="P11" s="109">
        <v>510.0</v>
      </c>
      <c r="Q11" s="110" t="s">
        <v>674</v>
      </c>
      <c r="R11" s="111" t="s">
        <v>172</v>
      </c>
      <c r="S11" s="109">
        <v>106.0</v>
      </c>
      <c r="T11" s="109">
        <v>120.0</v>
      </c>
      <c r="U11" s="112">
        <v>164.0</v>
      </c>
      <c r="V11" s="112">
        <v>120.0</v>
      </c>
      <c r="W11" s="113" t="s">
        <v>654</v>
      </c>
      <c r="X11" s="105" t="s">
        <v>655</v>
      </c>
      <c r="Y11" s="103" t="s">
        <v>656</v>
      </c>
      <c r="Z11" s="105" t="s">
        <v>657</v>
      </c>
      <c r="AA11" s="103" t="s">
        <v>154</v>
      </c>
      <c r="AB11" s="103" t="s">
        <v>155</v>
      </c>
      <c r="AC11" s="103" t="s">
        <v>131</v>
      </c>
      <c r="AD11" s="103" t="s">
        <v>198</v>
      </c>
      <c r="AE11" s="103" t="s">
        <v>270</v>
      </c>
      <c r="AF11" s="103" t="s">
        <v>158</v>
      </c>
      <c r="AG11" s="114">
        <v>121.0</v>
      </c>
      <c r="AH11" s="115" t="s">
        <v>675</v>
      </c>
      <c r="AI11" s="123" t="s">
        <v>676</v>
      </c>
      <c r="AJ11" s="117">
        <f t="shared" si="1"/>
        <v>44396</v>
      </c>
      <c r="AK11" s="118">
        <f t="shared" si="2"/>
        <v>-318</v>
      </c>
      <c r="AL11" s="119" t="str">
        <f t="shared" si="3"/>
        <v>Reporte ok</v>
      </c>
      <c r="AM11" s="119"/>
      <c r="AN11" s="120"/>
    </row>
    <row r="12" ht="67.5" customHeight="1">
      <c r="A12" s="45"/>
      <c r="B12" s="103">
        <v>119.0</v>
      </c>
      <c r="C12" s="103" t="s">
        <v>256</v>
      </c>
      <c r="D12" s="103" t="s">
        <v>652</v>
      </c>
      <c r="E12" s="103" t="s">
        <v>258</v>
      </c>
      <c r="F12" s="104">
        <v>2.01901100028E12</v>
      </c>
      <c r="G12" s="105" t="s">
        <v>259</v>
      </c>
      <c r="H12" s="103" t="s">
        <v>260</v>
      </c>
      <c r="I12" s="103" t="s">
        <v>273</v>
      </c>
      <c r="J12" s="103" t="s">
        <v>280</v>
      </c>
      <c r="K12" s="106" t="s">
        <v>141</v>
      </c>
      <c r="L12" s="106" t="s">
        <v>121</v>
      </c>
      <c r="M12" s="106" t="s">
        <v>122</v>
      </c>
      <c r="N12" s="107" t="s">
        <v>677</v>
      </c>
      <c r="O12" s="108"/>
      <c r="P12" s="109">
        <v>1450000.0</v>
      </c>
      <c r="Q12" s="110" t="s">
        <v>678</v>
      </c>
      <c r="R12" s="111" t="s">
        <v>172</v>
      </c>
      <c r="S12" s="109">
        <v>150000.0</v>
      </c>
      <c r="T12" s="109">
        <v>350000.0</v>
      </c>
      <c r="U12" s="112">
        <v>450000.0</v>
      </c>
      <c r="V12" s="112">
        <v>500000.0</v>
      </c>
      <c r="W12" s="113" t="s">
        <v>654</v>
      </c>
      <c r="X12" s="105" t="s">
        <v>655</v>
      </c>
      <c r="Y12" s="103" t="s">
        <v>656</v>
      </c>
      <c r="Z12" s="105" t="s">
        <v>657</v>
      </c>
      <c r="AA12" s="103" t="s">
        <v>154</v>
      </c>
      <c r="AB12" s="103" t="s">
        <v>155</v>
      </c>
      <c r="AC12" s="103" t="s">
        <v>131</v>
      </c>
      <c r="AD12" s="103" t="s">
        <v>198</v>
      </c>
      <c r="AE12" s="103" t="s">
        <v>270</v>
      </c>
      <c r="AF12" s="103" t="s">
        <v>158</v>
      </c>
      <c r="AG12" s="114">
        <v>326394.0</v>
      </c>
      <c r="AH12" s="115" t="s">
        <v>679</v>
      </c>
      <c r="AI12" s="123" t="s">
        <v>659</v>
      </c>
      <c r="AJ12" s="117">
        <f t="shared" si="1"/>
        <v>44396</v>
      </c>
      <c r="AK12" s="118">
        <f t="shared" si="2"/>
        <v>-318</v>
      </c>
      <c r="AL12" s="119" t="str">
        <f t="shared" si="3"/>
        <v>Reporte ok</v>
      </c>
      <c r="AM12" s="119"/>
      <c r="AN12" s="120"/>
    </row>
    <row r="13" ht="67.5" customHeight="1">
      <c r="A13" s="45"/>
      <c r="B13" s="103">
        <v>120.0</v>
      </c>
      <c r="C13" s="103" t="s">
        <v>256</v>
      </c>
      <c r="D13" s="103" t="s">
        <v>652</v>
      </c>
      <c r="E13" s="103" t="s">
        <v>258</v>
      </c>
      <c r="F13" s="104">
        <v>2.01901100028E12</v>
      </c>
      <c r="G13" s="105" t="s">
        <v>259</v>
      </c>
      <c r="H13" s="103" t="s">
        <v>260</v>
      </c>
      <c r="I13" s="103" t="s">
        <v>279</v>
      </c>
      <c r="J13" s="103" t="s">
        <v>280</v>
      </c>
      <c r="K13" s="106" t="s">
        <v>141</v>
      </c>
      <c r="L13" s="106" t="s">
        <v>121</v>
      </c>
      <c r="M13" s="106" t="s">
        <v>122</v>
      </c>
      <c r="N13" s="107" t="s">
        <v>680</v>
      </c>
      <c r="O13" s="108"/>
      <c r="P13" s="109">
        <v>110000.0</v>
      </c>
      <c r="Q13" s="110" t="s">
        <v>681</v>
      </c>
      <c r="R13" s="111" t="s">
        <v>172</v>
      </c>
      <c r="S13" s="109">
        <v>0.0</v>
      </c>
      <c r="T13" s="109">
        <v>30000.0</v>
      </c>
      <c r="U13" s="112">
        <v>50000.0</v>
      </c>
      <c r="V13" s="112">
        <v>30000.0</v>
      </c>
      <c r="W13" s="113" t="s">
        <v>654</v>
      </c>
      <c r="X13" s="105" t="s">
        <v>655</v>
      </c>
      <c r="Y13" s="103" t="s">
        <v>656</v>
      </c>
      <c r="Z13" s="105" t="s">
        <v>657</v>
      </c>
      <c r="AA13" s="103" t="s">
        <v>154</v>
      </c>
      <c r="AB13" s="103" t="s">
        <v>155</v>
      </c>
      <c r="AC13" s="103" t="s">
        <v>131</v>
      </c>
      <c r="AD13" s="103" t="s">
        <v>198</v>
      </c>
      <c r="AE13" s="103" t="s">
        <v>270</v>
      </c>
      <c r="AF13" s="103" t="s">
        <v>158</v>
      </c>
      <c r="AG13" s="114">
        <v>29210.0</v>
      </c>
      <c r="AH13" s="115" t="s">
        <v>682</v>
      </c>
      <c r="AI13" s="123" t="s">
        <v>659</v>
      </c>
      <c r="AJ13" s="117">
        <f t="shared" si="1"/>
        <v>44396</v>
      </c>
      <c r="AK13" s="118">
        <f t="shared" si="2"/>
        <v>-318</v>
      </c>
      <c r="AL13" s="119" t="str">
        <f t="shared" si="3"/>
        <v>Reporte ok</v>
      </c>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14"/>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14"/>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14"/>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14"/>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14"/>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14"/>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14"/>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15"/>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1"/>
    <hyperlink r:id="rId9" ref="AI12"/>
    <hyperlink r:id="rId10" ref="AI13"/>
  </hyperlinks>
  <printOptions gridLines="1" horizontalCentered="1"/>
  <pageMargins bottom="0.75" footer="0.0" header="0.0" left="0.7" right="0.7" top="0.75"/>
  <pageSetup cellComments="atEnd" orientation="portrait" pageOrder="overThenDown"/>
  <drawing r:id="rId1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121.0</v>
      </c>
      <c r="C4" s="103" t="s">
        <v>256</v>
      </c>
      <c r="D4" s="103" t="s">
        <v>683</v>
      </c>
      <c r="E4" s="103" t="s">
        <v>258</v>
      </c>
      <c r="F4" s="104">
        <v>2.01901100028E12</v>
      </c>
      <c r="G4" s="105" t="s">
        <v>259</v>
      </c>
      <c r="H4" s="103" t="s">
        <v>260</v>
      </c>
      <c r="I4" s="103" t="s">
        <v>261</v>
      </c>
      <c r="J4" s="103" t="s">
        <v>262</v>
      </c>
      <c r="K4" s="106" t="s">
        <v>120</v>
      </c>
      <c r="L4" s="106" t="s">
        <v>121</v>
      </c>
      <c r="M4" s="106" t="s">
        <v>122</v>
      </c>
      <c r="N4" s="107" t="s">
        <v>571</v>
      </c>
      <c r="O4" s="108">
        <v>-7140.0</v>
      </c>
      <c r="P4" s="109">
        <v>410.0</v>
      </c>
      <c r="Q4" s="110" t="s">
        <v>684</v>
      </c>
      <c r="R4" s="111" t="s">
        <v>172</v>
      </c>
      <c r="S4" s="109">
        <v>105.0</v>
      </c>
      <c r="T4" s="109">
        <v>85.0</v>
      </c>
      <c r="U4" s="112">
        <v>120.0</v>
      </c>
      <c r="V4" s="112">
        <v>100.0</v>
      </c>
      <c r="W4" s="113" t="s">
        <v>683</v>
      </c>
      <c r="X4" s="105" t="s">
        <v>685</v>
      </c>
      <c r="Y4" s="103" t="s">
        <v>594</v>
      </c>
      <c r="Z4" s="105" t="s">
        <v>686</v>
      </c>
      <c r="AA4" s="103" t="s">
        <v>450</v>
      </c>
      <c r="AB4" s="103" t="s">
        <v>155</v>
      </c>
      <c r="AC4" s="103" t="s">
        <v>269</v>
      </c>
      <c r="AD4" s="103" t="s">
        <v>198</v>
      </c>
      <c r="AE4" s="103" t="s">
        <v>270</v>
      </c>
      <c r="AF4" s="103" t="s">
        <v>158</v>
      </c>
      <c r="AG4" s="114">
        <v>133.0</v>
      </c>
      <c r="AH4" s="115" t="s">
        <v>687</v>
      </c>
      <c r="AI4" s="124" t="s">
        <v>688</v>
      </c>
      <c r="AJ4" s="117">
        <f t="shared" ref="AJ4:AJ15" si="1">$AK$1</f>
        <v>44396</v>
      </c>
      <c r="AK4" s="118">
        <f t="shared" ref="AK4:AK15" si="2">AJ4-$AL$1</f>
        <v>-318</v>
      </c>
      <c r="AL4" s="119" t="str">
        <f t="shared" ref="AL4:AL15" si="3">IF(ISBLANK(AG4),"Pendiente Ejecución"&amp;CHAR(10),)&amp;IF(ISBLANK(AH4),"Pendiente Justificación"&amp;CHAR(10),)&amp;IF(ISBLANK(AI4),"Pendiente Evidencia",)&amp;IF(OR(ISBLANK(AG4),ISBLANK(AH4),ISBLANK(AI4)),,"Reporte ok")</f>
        <v>Reporte ok</v>
      </c>
      <c r="AM4" s="119"/>
      <c r="AN4" s="120"/>
    </row>
    <row r="5" ht="67.5" customHeight="1">
      <c r="A5" s="45"/>
      <c r="B5" s="103">
        <v>122.0</v>
      </c>
      <c r="C5" s="103" t="s">
        <v>256</v>
      </c>
      <c r="D5" s="103" t="s">
        <v>683</v>
      </c>
      <c r="E5" s="103" t="s">
        <v>258</v>
      </c>
      <c r="F5" s="104">
        <v>2.01901100028E12</v>
      </c>
      <c r="G5" s="105" t="s">
        <v>259</v>
      </c>
      <c r="H5" s="103" t="s">
        <v>260</v>
      </c>
      <c r="I5" s="103" t="s">
        <v>602</v>
      </c>
      <c r="J5" s="103" t="s">
        <v>288</v>
      </c>
      <c r="K5" s="106" t="s">
        <v>120</v>
      </c>
      <c r="L5" s="106" t="s">
        <v>121</v>
      </c>
      <c r="M5" s="106" t="s">
        <v>122</v>
      </c>
      <c r="N5" s="107" t="s">
        <v>342</v>
      </c>
      <c r="O5" s="108">
        <v>-7140.0</v>
      </c>
      <c r="P5" s="109">
        <v>3.0</v>
      </c>
      <c r="Q5" s="110" t="s">
        <v>689</v>
      </c>
      <c r="R5" s="111" t="s">
        <v>172</v>
      </c>
      <c r="S5" s="109">
        <v>0.0</v>
      </c>
      <c r="T5" s="109">
        <v>1.0</v>
      </c>
      <c r="U5" s="112">
        <v>1.0</v>
      </c>
      <c r="V5" s="112">
        <v>1.0</v>
      </c>
      <c r="W5" s="113" t="s">
        <v>683</v>
      </c>
      <c r="X5" s="105" t="s">
        <v>685</v>
      </c>
      <c r="Y5" s="103" t="s">
        <v>594</v>
      </c>
      <c r="Z5" s="105" t="s">
        <v>686</v>
      </c>
      <c r="AA5" s="103" t="s">
        <v>450</v>
      </c>
      <c r="AB5" s="103" t="s">
        <v>155</v>
      </c>
      <c r="AC5" s="103" t="s">
        <v>131</v>
      </c>
      <c r="AD5" s="103" t="s">
        <v>198</v>
      </c>
      <c r="AE5" s="103" t="s">
        <v>270</v>
      </c>
      <c r="AF5" s="103" t="s">
        <v>158</v>
      </c>
      <c r="AG5" s="114">
        <v>1.0</v>
      </c>
      <c r="AH5" s="115" t="s">
        <v>690</v>
      </c>
      <c r="AI5" s="124" t="s">
        <v>691</v>
      </c>
      <c r="AJ5" s="117">
        <f t="shared" si="1"/>
        <v>44396</v>
      </c>
      <c r="AK5" s="118">
        <f t="shared" si="2"/>
        <v>-318</v>
      </c>
      <c r="AL5" s="119" t="str">
        <f t="shared" si="3"/>
        <v>Reporte ok</v>
      </c>
      <c r="AM5" s="119"/>
      <c r="AN5" s="120"/>
    </row>
    <row r="6" ht="67.5" customHeight="1">
      <c r="A6" s="45"/>
      <c r="B6" s="103">
        <v>123.0</v>
      </c>
      <c r="C6" s="103" t="s">
        <v>256</v>
      </c>
      <c r="D6" s="103" t="s">
        <v>683</v>
      </c>
      <c r="E6" s="103" t="s">
        <v>258</v>
      </c>
      <c r="F6" s="104">
        <v>2.01901100028E12</v>
      </c>
      <c r="G6" s="105" t="s">
        <v>259</v>
      </c>
      <c r="H6" s="103" t="s">
        <v>260</v>
      </c>
      <c r="I6" s="103" t="s">
        <v>261</v>
      </c>
      <c r="J6" s="103" t="s">
        <v>305</v>
      </c>
      <c r="K6" s="106" t="s">
        <v>120</v>
      </c>
      <c r="L6" s="106" t="s">
        <v>121</v>
      </c>
      <c r="M6" s="106" t="s">
        <v>122</v>
      </c>
      <c r="N6" s="107" t="s">
        <v>692</v>
      </c>
      <c r="O6" s="108">
        <v>-7140.0</v>
      </c>
      <c r="P6" s="109">
        <v>35.0</v>
      </c>
      <c r="Q6" s="110" t="s">
        <v>693</v>
      </c>
      <c r="R6" s="111" t="s">
        <v>172</v>
      </c>
      <c r="S6" s="109">
        <v>0.0</v>
      </c>
      <c r="T6" s="109">
        <v>10.0</v>
      </c>
      <c r="U6" s="112">
        <v>15.0</v>
      </c>
      <c r="V6" s="112">
        <v>10.0</v>
      </c>
      <c r="W6" s="113" t="s">
        <v>683</v>
      </c>
      <c r="X6" s="105" t="s">
        <v>685</v>
      </c>
      <c r="Y6" s="103" t="s">
        <v>594</v>
      </c>
      <c r="Z6" s="105" t="s">
        <v>686</v>
      </c>
      <c r="AA6" s="103" t="s">
        <v>450</v>
      </c>
      <c r="AB6" s="103" t="s">
        <v>155</v>
      </c>
      <c r="AC6" s="103" t="s">
        <v>131</v>
      </c>
      <c r="AD6" s="103" t="s">
        <v>198</v>
      </c>
      <c r="AE6" s="103" t="s">
        <v>270</v>
      </c>
      <c r="AF6" s="103" t="s">
        <v>158</v>
      </c>
      <c r="AG6" s="114">
        <v>10.0</v>
      </c>
      <c r="AH6" s="115" t="s">
        <v>694</v>
      </c>
      <c r="AI6" s="124" t="s">
        <v>695</v>
      </c>
      <c r="AJ6" s="117">
        <f t="shared" si="1"/>
        <v>44396</v>
      </c>
      <c r="AK6" s="118">
        <f t="shared" si="2"/>
        <v>-318</v>
      </c>
      <c r="AL6" s="119" t="str">
        <f t="shared" si="3"/>
        <v>Reporte ok</v>
      </c>
      <c r="AM6" s="119"/>
      <c r="AN6" s="120"/>
    </row>
    <row r="7" ht="67.5" customHeight="1">
      <c r="A7" s="45"/>
      <c r="B7" s="103">
        <v>124.0</v>
      </c>
      <c r="C7" s="103" t="s">
        <v>256</v>
      </c>
      <c r="D7" s="103" t="s">
        <v>683</v>
      </c>
      <c r="E7" s="103" t="s">
        <v>258</v>
      </c>
      <c r="F7" s="104">
        <v>2.01901100028E12</v>
      </c>
      <c r="G7" s="105" t="s">
        <v>259</v>
      </c>
      <c r="H7" s="103" t="s">
        <v>260</v>
      </c>
      <c r="I7" s="103" t="s">
        <v>261</v>
      </c>
      <c r="J7" s="103" t="s">
        <v>305</v>
      </c>
      <c r="K7" s="106" t="s">
        <v>141</v>
      </c>
      <c r="L7" s="106" t="s">
        <v>121</v>
      </c>
      <c r="M7" s="106" t="s">
        <v>122</v>
      </c>
      <c r="N7" s="107" t="s">
        <v>696</v>
      </c>
      <c r="O7" s="108"/>
      <c r="P7" s="109">
        <v>30.0</v>
      </c>
      <c r="Q7" s="110" t="s">
        <v>697</v>
      </c>
      <c r="R7" s="111" t="s">
        <v>172</v>
      </c>
      <c r="S7" s="109">
        <v>0.0</v>
      </c>
      <c r="T7" s="109">
        <v>10.0</v>
      </c>
      <c r="U7" s="112">
        <v>10.0</v>
      </c>
      <c r="V7" s="112">
        <v>10.0</v>
      </c>
      <c r="W7" s="113" t="s">
        <v>683</v>
      </c>
      <c r="X7" s="105" t="s">
        <v>685</v>
      </c>
      <c r="Y7" s="103" t="s">
        <v>594</v>
      </c>
      <c r="Z7" s="105" t="s">
        <v>686</v>
      </c>
      <c r="AA7" s="103" t="s">
        <v>450</v>
      </c>
      <c r="AB7" s="103" t="s">
        <v>155</v>
      </c>
      <c r="AC7" s="103" t="s">
        <v>131</v>
      </c>
      <c r="AD7" s="103" t="s">
        <v>198</v>
      </c>
      <c r="AE7" s="103" t="s">
        <v>270</v>
      </c>
      <c r="AF7" s="103" t="s">
        <v>158</v>
      </c>
      <c r="AG7" s="114">
        <v>11.0</v>
      </c>
      <c r="AH7" s="115" t="s">
        <v>698</v>
      </c>
      <c r="AI7" s="124" t="s">
        <v>699</v>
      </c>
      <c r="AJ7" s="117">
        <f t="shared" si="1"/>
        <v>44396</v>
      </c>
      <c r="AK7" s="118">
        <f t="shared" si="2"/>
        <v>-318</v>
      </c>
      <c r="AL7" s="119" t="str">
        <f t="shared" si="3"/>
        <v>Reporte ok</v>
      </c>
      <c r="AM7" s="119"/>
      <c r="AN7" s="120"/>
    </row>
    <row r="8" ht="67.5" customHeight="1">
      <c r="A8" s="45"/>
      <c r="B8" s="103">
        <v>125.0</v>
      </c>
      <c r="C8" s="103" t="s">
        <v>256</v>
      </c>
      <c r="D8" s="103" t="s">
        <v>683</v>
      </c>
      <c r="E8" s="103" t="s">
        <v>258</v>
      </c>
      <c r="F8" s="104">
        <v>2.01901100028E12</v>
      </c>
      <c r="G8" s="105" t="s">
        <v>259</v>
      </c>
      <c r="H8" s="103" t="s">
        <v>260</v>
      </c>
      <c r="I8" s="103" t="s">
        <v>261</v>
      </c>
      <c r="J8" s="103" t="s">
        <v>261</v>
      </c>
      <c r="K8" s="106" t="s">
        <v>141</v>
      </c>
      <c r="L8" s="106" t="s">
        <v>121</v>
      </c>
      <c r="M8" s="106" t="s">
        <v>122</v>
      </c>
      <c r="N8" s="107" t="s">
        <v>700</v>
      </c>
      <c r="O8" s="108"/>
      <c r="P8" s="109">
        <v>2000.0</v>
      </c>
      <c r="Q8" s="110" t="s">
        <v>701</v>
      </c>
      <c r="R8" s="111" t="s">
        <v>172</v>
      </c>
      <c r="S8" s="109">
        <v>200.0</v>
      </c>
      <c r="T8" s="109">
        <v>300.0</v>
      </c>
      <c r="U8" s="112">
        <v>750.0</v>
      </c>
      <c r="V8" s="112">
        <v>750.0</v>
      </c>
      <c r="W8" s="113" t="s">
        <v>683</v>
      </c>
      <c r="X8" s="105" t="s">
        <v>685</v>
      </c>
      <c r="Y8" s="103" t="s">
        <v>594</v>
      </c>
      <c r="Z8" s="105" t="s">
        <v>686</v>
      </c>
      <c r="AA8" s="103" t="s">
        <v>450</v>
      </c>
      <c r="AB8" s="103" t="s">
        <v>155</v>
      </c>
      <c r="AC8" s="103" t="s">
        <v>269</v>
      </c>
      <c r="AD8" s="103" t="s">
        <v>198</v>
      </c>
      <c r="AE8" s="103" t="s">
        <v>672</v>
      </c>
      <c r="AF8" s="103" t="s">
        <v>158</v>
      </c>
      <c r="AG8" s="114">
        <v>2523.0</v>
      </c>
      <c r="AH8" s="115" t="s">
        <v>702</v>
      </c>
      <c r="AI8" s="123" t="s">
        <v>703</v>
      </c>
      <c r="AJ8" s="117">
        <f t="shared" si="1"/>
        <v>44396</v>
      </c>
      <c r="AK8" s="118">
        <f t="shared" si="2"/>
        <v>-318</v>
      </c>
      <c r="AL8" s="119" t="str">
        <f t="shared" si="3"/>
        <v>Reporte ok</v>
      </c>
      <c r="AM8" s="119"/>
      <c r="AN8" s="120"/>
    </row>
    <row r="9" ht="67.5" customHeight="1">
      <c r="A9" s="45"/>
      <c r="B9" s="103">
        <v>126.0</v>
      </c>
      <c r="C9" s="103" t="s">
        <v>335</v>
      </c>
      <c r="D9" s="103" t="s">
        <v>683</v>
      </c>
      <c r="E9" s="103" t="s">
        <v>337</v>
      </c>
      <c r="F9" s="104">
        <v>2.019011000276E12</v>
      </c>
      <c r="G9" s="105" t="s">
        <v>338</v>
      </c>
      <c r="H9" s="103" t="s">
        <v>339</v>
      </c>
      <c r="I9" s="103" t="s">
        <v>340</v>
      </c>
      <c r="J9" s="103" t="s">
        <v>340</v>
      </c>
      <c r="K9" s="106" t="s">
        <v>141</v>
      </c>
      <c r="L9" s="106" t="s">
        <v>121</v>
      </c>
      <c r="M9" s="106" t="s">
        <v>122</v>
      </c>
      <c r="N9" s="107" t="s">
        <v>704</v>
      </c>
      <c r="O9" s="108"/>
      <c r="P9" s="109">
        <v>50.0</v>
      </c>
      <c r="Q9" s="110" t="s">
        <v>705</v>
      </c>
      <c r="R9" s="111" t="s">
        <v>172</v>
      </c>
      <c r="S9" s="109">
        <v>10.0</v>
      </c>
      <c r="T9" s="109">
        <v>5.0</v>
      </c>
      <c r="U9" s="112">
        <v>5.0</v>
      </c>
      <c r="V9" s="112">
        <v>30.0</v>
      </c>
      <c r="W9" s="113" t="s">
        <v>683</v>
      </c>
      <c r="X9" s="105" t="s">
        <v>685</v>
      </c>
      <c r="Y9" s="103" t="s">
        <v>594</v>
      </c>
      <c r="Z9" s="105" t="s">
        <v>686</v>
      </c>
      <c r="AA9" s="103" t="s">
        <v>450</v>
      </c>
      <c r="AB9" s="103" t="s">
        <v>155</v>
      </c>
      <c r="AC9" s="103" t="s">
        <v>347</v>
      </c>
      <c r="AD9" s="103" t="s">
        <v>198</v>
      </c>
      <c r="AE9" s="103" t="s">
        <v>270</v>
      </c>
      <c r="AF9" s="103" t="s">
        <v>158</v>
      </c>
      <c r="AG9" s="114">
        <v>5.0</v>
      </c>
      <c r="AH9" s="115" t="s">
        <v>706</v>
      </c>
      <c r="AI9" s="123" t="s">
        <v>707</v>
      </c>
      <c r="AJ9" s="117">
        <f t="shared" si="1"/>
        <v>44396</v>
      </c>
      <c r="AK9" s="118">
        <f t="shared" si="2"/>
        <v>-318</v>
      </c>
      <c r="AL9" s="119" t="str">
        <f t="shared" si="3"/>
        <v>Reporte ok</v>
      </c>
      <c r="AM9" s="119"/>
      <c r="AN9" s="120"/>
    </row>
    <row r="10" ht="67.5" customHeight="1">
      <c r="A10" s="45"/>
      <c r="B10" s="103">
        <v>127.0</v>
      </c>
      <c r="C10" s="103" t="s">
        <v>438</v>
      </c>
      <c r="D10" s="103" t="s">
        <v>683</v>
      </c>
      <c r="E10" s="103" t="s">
        <v>440</v>
      </c>
      <c r="F10" s="104">
        <v>2.019011000277E12</v>
      </c>
      <c r="G10" s="105" t="s">
        <v>441</v>
      </c>
      <c r="H10" s="103" t="s">
        <v>442</v>
      </c>
      <c r="I10" s="103" t="s">
        <v>443</v>
      </c>
      <c r="J10" s="103" t="s">
        <v>443</v>
      </c>
      <c r="K10" s="106" t="s">
        <v>141</v>
      </c>
      <c r="L10" s="106" t="s">
        <v>121</v>
      </c>
      <c r="M10" s="106" t="s">
        <v>122</v>
      </c>
      <c r="N10" s="107" t="s">
        <v>708</v>
      </c>
      <c r="O10" s="108"/>
      <c r="P10" s="109">
        <v>3.0</v>
      </c>
      <c r="Q10" s="110" t="s">
        <v>709</v>
      </c>
      <c r="R10" s="111" t="s">
        <v>172</v>
      </c>
      <c r="S10" s="109">
        <v>0.0</v>
      </c>
      <c r="T10" s="109">
        <v>1.0</v>
      </c>
      <c r="U10" s="112">
        <v>1.0</v>
      </c>
      <c r="V10" s="112">
        <v>1.0</v>
      </c>
      <c r="W10" s="113" t="s">
        <v>683</v>
      </c>
      <c r="X10" s="105" t="s">
        <v>685</v>
      </c>
      <c r="Y10" s="103" t="s">
        <v>594</v>
      </c>
      <c r="Z10" s="105" t="s">
        <v>686</v>
      </c>
      <c r="AA10" s="103" t="s">
        <v>450</v>
      </c>
      <c r="AB10" s="103" t="s">
        <v>155</v>
      </c>
      <c r="AC10" s="103" t="s">
        <v>347</v>
      </c>
      <c r="AD10" s="103" t="s">
        <v>451</v>
      </c>
      <c r="AE10" s="103" t="s">
        <v>452</v>
      </c>
      <c r="AF10" s="103" t="s">
        <v>158</v>
      </c>
      <c r="AG10" s="114">
        <v>1.0</v>
      </c>
      <c r="AH10" s="115" t="s">
        <v>710</v>
      </c>
      <c r="AI10" s="123" t="s">
        <v>711</v>
      </c>
      <c r="AJ10" s="117">
        <f t="shared" si="1"/>
        <v>44396</v>
      </c>
      <c r="AK10" s="118">
        <f t="shared" si="2"/>
        <v>-318</v>
      </c>
      <c r="AL10" s="119" t="str">
        <f t="shared" si="3"/>
        <v>Reporte ok</v>
      </c>
      <c r="AM10" s="119"/>
      <c r="AN10" s="120"/>
    </row>
    <row r="11" ht="67.5" customHeight="1">
      <c r="A11" s="45"/>
      <c r="B11" s="103">
        <v>128.0</v>
      </c>
      <c r="C11" s="103" t="s">
        <v>256</v>
      </c>
      <c r="D11" s="103" t="s">
        <v>683</v>
      </c>
      <c r="E11" s="103" t="s">
        <v>258</v>
      </c>
      <c r="F11" s="104">
        <v>2.01901100028E12</v>
      </c>
      <c r="G11" s="105" t="s">
        <v>259</v>
      </c>
      <c r="H11" s="103" t="s">
        <v>260</v>
      </c>
      <c r="I11" s="103" t="s">
        <v>627</v>
      </c>
      <c r="J11" s="103" t="s">
        <v>285</v>
      </c>
      <c r="K11" s="106" t="s">
        <v>120</v>
      </c>
      <c r="L11" s="106" t="s">
        <v>121</v>
      </c>
      <c r="M11" s="106" t="s">
        <v>122</v>
      </c>
      <c r="N11" s="107" t="s">
        <v>628</v>
      </c>
      <c r="O11" s="108">
        <v>-1.0</v>
      </c>
      <c r="P11" s="109">
        <v>10000.0</v>
      </c>
      <c r="Q11" s="110" t="s">
        <v>712</v>
      </c>
      <c r="R11" s="111" t="s">
        <v>172</v>
      </c>
      <c r="S11" s="109">
        <v>0.0</v>
      </c>
      <c r="T11" s="109">
        <v>0.0</v>
      </c>
      <c r="U11" s="112">
        <v>3000.0</v>
      </c>
      <c r="V11" s="112">
        <v>7000.0</v>
      </c>
      <c r="W11" s="113" t="s">
        <v>683</v>
      </c>
      <c r="X11" s="105" t="s">
        <v>685</v>
      </c>
      <c r="Y11" s="103" t="s">
        <v>594</v>
      </c>
      <c r="Z11" s="105" t="s">
        <v>686</v>
      </c>
      <c r="AA11" s="103" t="s">
        <v>450</v>
      </c>
      <c r="AB11" s="103" t="s">
        <v>155</v>
      </c>
      <c r="AC11" s="103" t="s">
        <v>131</v>
      </c>
      <c r="AD11" s="103" t="s">
        <v>198</v>
      </c>
      <c r="AE11" s="103" t="s">
        <v>270</v>
      </c>
      <c r="AF11" s="103" t="s">
        <v>158</v>
      </c>
      <c r="AG11" s="114">
        <v>0.0</v>
      </c>
      <c r="AH11" s="115" t="s">
        <v>713</v>
      </c>
      <c r="AI11" s="115" t="s">
        <v>714</v>
      </c>
      <c r="AJ11" s="117">
        <f t="shared" si="1"/>
        <v>44396</v>
      </c>
      <c r="AK11" s="118">
        <f t="shared" si="2"/>
        <v>-318</v>
      </c>
      <c r="AL11" s="119" t="str">
        <f t="shared" si="3"/>
        <v>Reporte ok</v>
      </c>
      <c r="AM11" s="119"/>
      <c r="AN11" s="120"/>
    </row>
    <row r="12" ht="67.5" customHeight="1">
      <c r="A12" s="45"/>
      <c r="B12" s="103">
        <v>129.0</v>
      </c>
      <c r="C12" s="103" t="s">
        <v>335</v>
      </c>
      <c r="D12" s="103" t="s">
        <v>683</v>
      </c>
      <c r="E12" s="103" t="s">
        <v>337</v>
      </c>
      <c r="F12" s="104">
        <v>2.019011000276E12</v>
      </c>
      <c r="G12" s="105" t="s">
        <v>338</v>
      </c>
      <c r="H12" s="103" t="s">
        <v>350</v>
      </c>
      <c r="I12" s="103" t="s">
        <v>351</v>
      </c>
      <c r="J12" s="103" t="s">
        <v>351</v>
      </c>
      <c r="K12" s="106" t="s">
        <v>120</v>
      </c>
      <c r="L12" s="106" t="s">
        <v>121</v>
      </c>
      <c r="M12" s="106" t="s">
        <v>122</v>
      </c>
      <c r="N12" s="107" t="s">
        <v>353</v>
      </c>
      <c r="O12" s="108">
        <v>157.0</v>
      </c>
      <c r="P12" s="109">
        <v>640.0</v>
      </c>
      <c r="Q12" s="110" t="s">
        <v>715</v>
      </c>
      <c r="R12" s="111" t="s">
        <v>172</v>
      </c>
      <c r="S12" s="109">
        <v>130.0</v>
      </c>
      <c r="T12" s="109">
        <v>170.0</v>
      </c>
      <c r="U12" s="112">
        <v>170.0</v>
      </c>
      <c r="V12" s="112">
        <v>170.0</v>
      </c>
      <c r="W12" s="113" t="s">
        <v>683</v>
      </c>
      <c r="X12" s="105" t="s">
        <v>685</v>
      </c>
      <c r="Y12" s="103" t="s">
        <v>594</v>
      </c>
      <c r="Z12" s="105" t="s">
        <v>686</v>
      </c>
      <c r="AA12" s="103" t="s">
        <v>450</v>
      </c>
      <c r="AB12" s="103" t="s">
        <v>155</v>
      </c>
      <c r="AC12" s="103" t="s">
        <v>347</v>
      </c>
      <c r="AD12" s="103" t="s">
        <v>198</v>
      </c>
      <c r="AE12" s="103" t="s">
        <v>270</v>
      </c>
      <c r="AF12" s="103" t="s">
        <v>158</v>
      </c>
      <c r="AG12" s="114">
        <v>170.0</v>
      </c>
      <c r="AH12" s="115" t="s">
        <v>716</v>
      </c>
      <c r="AI12" s="123" t="s">
        <v>717</v>
      </c>
      <c r="AJ12" s="117">
        <f t="shared" si="1"/>
        <v>44396</v>
      </c>
      <c r="AK12" s="118">
        <f t="shared" si="2"/>
        <v>-318</v>
      </c>
      <c r="AL12" s="119" t="str">
        <f t="shared" si="3"/>
        <v>Reporte ok</v>
      </c>
      <c r="AM12" s="119"/>
      <c r="AN12" s="120"/>
    </row>
    <row r="13" ht="67.5" customHeight="1">
      <c r="A13" s="45"/>
      <c r="B13" s="103">
        <v>130.0</v>
      </c>
      <c r="C13" s="103" t="s">
        <v>438</v>
      </c>
      <c r="D13" s="103" t="s">
        <v>683</v>
      </c>
      <c r="E13" s="103" t="s">
        <v>440</v>
      </c>
      <c r="F13" s="104">
        <v>2.019011000277E12</v>
      </c>
      <c r="G13" s="105" t="s">
        <v>441</v>
      </c>
      <c r="H13" s="103" t="s">
        <v>442</v>
      </c>
      <c r="I13" s="103" t="s">
        <v>443</v>
      </c>
      <c r="J13" s="103" t="s">
        <v>443</v>
      </c>
      <c r="K13" s="106" t="s">
        <v>141</v>
      </c>
      <c r="L13" s="106" t="s">
        <v>121</v>
      </c>
      <c r="M13" s="106" t="s">
        <v>122</v>
      </c>
      <c r="N13" s="107" t="s">
        <v>708</v>
      </c>
      <c r="O13" s="108"/>
      <c r="P13" s="109">
        <v>36.0</v>
      </c>
      <c r="Q13" s="110" t="s">
        <v>718</v>
      </c>
      <c r="R13" s="111" t="s">
        <v>172</v>
      </c>
      <c r="S13" s="109">
        <v>4.0</v>
      </c>
      <c r="T13" s="109">
        <v>8.0</v>
      </c>
      <c r="U13" s="112">
        <v>12.0</v>
      </c>
      <c r="V13" s="112">
        <v>12.0</v>
      </c>
      <c r="W13" s="113" t="s">
        <v>683</v>
      </c>
      <c r="X13" s="105" t="s">
        <v>685</v>
      </c>
      <c r="Y13" s="103" t="s">
        <v>594</v>
      </c>
      <c r="Z13" s="105" t="s">
        <v>686</v>
      </c>
      <c r="AA13" s="103" t="s">
        <v>450</v>
      </c>
      <c r="AB13" s="103" t="s">
        <v>155</v>
      </c>
      <c r="AC13" s="103" t="s">
        <v>347</v>
      </c>
      <c r="AD13" s="103" t="s">
        <v>451</v>
      </c>
      <c r="AE13" s="103" t="s">
        <v>452</v>
      </c>
      <c r="AF13" s="103" t="s">
        <v>158</v>
      </c>
      <c r="AG13" s="114">
        <v>8.0</v>
      </c>
      <c r="AH13" s="115" t="s">
        <v>719</v>
      </c>
      <c r="AI13" s="123" t="s">
        <v>720</v>
      </c>
      <c r="AJ13" s="117">
        <f t="shared" si="1"/>
        <v>44396</v>
      </c>
      <c r="AK13" s="118">
        <f t="shared" si="2"/>
        <v>-318</v>
      </c>
      <c r="AL13" s="119" t="str">
        <f t="shared" si="3"/>
        <v>Reporte ok</v>
      </c>
      <c r="AM13" s="119"/>
      <c r="AN13" s="120"/>
    </row>
    <row r="14" ht="67.5" customHeight="1">
      <c r="A14" s="45"/>
      <c r="B14" s="103">
        <v>131.0</v>
      </c>
      <c r="C14" s="103" t="s">
        <v>438</v>
      </c>
      <c r="D14" s="103" t="s">
        <v>683</v>
      </c>
      <c r="E14" s="103" t="s">
        <v>440</v>
      </c>
      <c r="F14" s="104">
        <v>2.019011000277E12</v>
      </c>
      <c r="G14" s="105" t="s">
        <v>441</v>
      </c>
      <c r="H14" s="103" t="s">
        <v>442</v>
      </c>
      <c r="I14" s="103" t="s">
        <v>443</v>
      </c>
      <c r="J14" s="103" t="s">
        <v>443</v>
      </c>
      <c r="K14" s="106" t="s">
        <v>141</v>
      </c>
      <c r="L14" s="106" t="s">
        <v>121</v>
      </c>
      <c r="M14" s="106" t="s">
        <v>122</v>
      </c>
      <c r="N14" s="107" t="s">
        <v>708</v>
      </c>
      <c r="O14" s="108"/>
      <c r="P14" s="109">
        <v>70.0</v>
      </c>
      <c r="Q14" s="110" t="s">
        <v>721</v>
      </c>
      <c r="R14" s="111" t="s">
        <v>172</v>
      </c>
      <c r="S14" s="109">
        <v>7.0</v>
      </c>
      <c r="T14" s="109">
        <v>17.0</v>
      </c>
      <c r="U14" s="112">
        <v>26.0</v>
      </c>
      <c r="V14" s="112">
        <v>20.0</v>
      </c>
      <c r="W14" s="113" t="s">
        <v>683</v>
      </c>
      <c r="X14" s="105" t="s">
        <v>685</v>
      </c>
      <c r="Y14" s="103" t="s">
        <v>594</v>
      </c>
      <c r="Z14" s="105" t="s">
        <v>686</v>
      </c>
      <c r="AA14" s="103" t="s">
        <v>450</v>
      </c>
      <c r="AB14" s="103" t="s">
        <v>155</v>
      </c>
      <c r="AC14" s="103" t="s">
        <v>347</v>
      </c>
      <c r="AD14" s="103" t="s">
        <v>451</v>
      </c>
      <c r="AE14" s="103" t="s">
        <v>452</v>
      </c>
      <c r="AF14" s="103" t="s">
        <v>158</v>
      </c>
      <c r="AG14" s="114">
        <v>23.0</v>
      </c>
      <c r="AH14" s="115" t="s">
        <v>722</v>
      </c>
      <c r="AI14" s="123" t="s">
        <v>723</v>
      </c>
      <c r="AJ14" s="117">
        <f t="shared" si="1"/>
        <v>44396</v>
      </c>
      <c r="AK14" s="118">
        <f t="shared" si="2"/>
        <v>-318</v>
      </c>
      <c r="AL14" s="119" t="str">
        <f t="shared" si="3"/>
        <v>Reporte ok</v>
      </c>
      <c r="AM14" s="119"/>
      <c r="AN14" s="120"/>
    </row>
    <row r="15" ht="67.5" customHeight="1">
      <c r="A15" s="45"/>
      <c r="B15" s="103">
        <v>132.0</v>
      </c>
      <c r="C15" s="103" t="s">
        <v>438</v>
      </c>
      <c r="D15" s="103" t="s">
        <v>683</v>
      </c>
      <c r="E15" s="103" t="s">
        <v>440</v>
      </c>
      <c r="F15" s="104">
        <v>2.019011000277E12</v>
      </c>
      <c r="G15" s="105" t="s">
        <v>441</v>
      </c>
      <c r="H15" s="103" t="s">
        <v>442</v>
      </c>
      <c r="I15" s="103" t="s">
        <v>443</v>
      </c>
      <c r="J15" s="103" t="s">
        <v>443</v>
      </c>
      <c r="K15" s="106" t="s">
        <v>141</v>
      </c>
      <c r="L15" s="106" t="s">
        <v>121</v>
      </c>
      <c r="M15" s="106" t="s">
        <v>122</v>
      </c>
      <c r="N15" s="107" t="s">
        <v>708</v>
      </c>
      <c r="O15" s="108"/>
      <c r="P15" s="109">
        <v>19.0</v>
      </c>
      <c r="Q15" s="110" t="s">
        <v>724</v>
      </c>
      <c r="R15" s="111" t="s">
        <v>172</v>
      </c>
      <c r="S15" s="109">
        <v>2.0</v>
      </c>
      <c r="T15" s="109">
        <v>5.0</v>
      </c>
      <c r="U15" s="112">
        <v>6.0</v>
      </c>
      <c r="V15" s="112">
        <v>6.0</v>
      </c>
      <c r="W15" s="113" t="s">
        <v>683</v>
      </c>
      <c r="X15" s="105" t="s">
        <v>685</v>
      </c>
      <c r="Y15" s="103" t="s">
        <v>594</v>
      </c>
      <c r="Z15" s="105" t="s">
        <v>686</v>
      </c>
      <c r="AA15" s="103" t="s">
        <v>450</v>
      </c>
      <c r="AB15" s="103" t="s">
        <v>155</v>
      </c>
      <c r="AC15" s="103" t="s">
        <v>347</v>
      </c>
      <c r="AD15" s="103" t="s">
        <v>451</v>
      </c>
      <c r="AE15" s="103" t="s">
        <v>452</v>
      </c>
      <c r="AF15" s="103" t="s">
        <v>158</v>
      </c>
      <c r="AG15" s="114">
        <v>5.0</v>
      </c>
      <c r="AH15" s="115" t="s">
        <v>725</v>
      </c>
      <c r="AI15" s="123" t="s">
        <v>726</v>
      </c>
      <c r="AJ15" s="117">
        <f t="shared" si="1"/>
        <v>44396</v>
      </c>
      <c r="AK15" s="118">
        <f t="shared" si="2"/>
        <v>-318</v>
      </c>
      <c r="AL15" s="119" t="str">
        <f t="shared" si="3"/>
        <v>Reporte ok</v>
      </c>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14"/>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14"/>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14"/>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14"/>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14"/>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17"/>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2"/>
    <hyperlink r:id="rId9" ref="AI13"/>
    <hyperlink r:id="rId10" ref="AI14"/>
    <hyperlink r:id="rId11" ref="AI15"/>
  </hyperlinks>
  <printOptions gridLines="1" horizontalCentered="1"/>
  <pageMargins bottom="0.75" footer="0.0" header="0.0" left="0.7" right="0.7" top="0.75"/>
  <pageSetup cellComments="atEnd" orientation="portrait" pageOrder="overThenDown"/>
  <drawing r:id="rId12"/>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133.0</v>
      </c>
      <c r="C4" s="103" t="s">
        <v>335</v>
      </c>
      <c r="D4" s="103" t="s">
        <v>727</v>
      </c>
      <c r="E4" s="103" t="s">
        <v>337</v>
      </c>
      <c r="F4" s="104">
        <v>2.019011000276E12</v>
      </c>
      <c r="G4" s="105" t="s">
        <v>338</v>
      </c>
      <c r="H4" s="103" t="s">
        <v>350</v>
      </c>
      <c r="I4" s="103" t="s">
        <v>351</v>
      </c>
      <c r="J4" s="103" t="s">
        <v>352</v>
      </c>
      <c r="K4" s="106" t="s">
        <v>120</v>
      </c>
      <c r="L4" s="106" t="s">
        <v>121</v>
      </c>
      <c r="M4" s="106" t="s">
        <v>122</v>
      </c>
      <c r="N4" s="107" t="s">
        <v>353</v>
      </c>
      <c r="O4" s="108">
        <v>157.0</v>
      </c>
      <c r="P4" s="109">
        <v>240.0</v>
      </c>
      <c r="Q4" s="110" t="s">
        <v>728</v>
      </c>
      <c r="R4" s="111" t="s">
        <v>172</v>
      </c>
      <c r="S4" s="109">
        <v>40.0</v>
      </c>
      <c r="T4" s="109">
        <v>70.0</v>
      </c>
      <c r="U4" s="112">
        <v>70.0</v>
      </c>
      <c r="V4" s="112">
        <v>60.0</v>
      </c>
      <c r="W4" s="113" t="s">
        <v>729</v>
      </c>
      <c r="X4" s="105" t="s">
        <v>730</v>
      </c>
      <c r="Y4" s="103" t="s">
        <v>731</v>
      </c>
      <c r="Z4" s="105" t="s">
        <v>732</v>
      </c>
      <c r="AA4" s="103" t="s">
        <v>154</v>
      </c>
      <c r="AB4" s="103" t="s">
        <v>187</v>
      </c>
      <c r="AC4" s="103" t="s">
        <v>347</v>
      </c>
      <c r="AD4" s="103" t="s">
        <v>132</v>
      </c>
      <c r="AE4" s="103" t="s">
        <v>178</v>
      </c>
      <c r="AF4" s="103" t="s">
        <v>733</v>
      </c>
      <c r="AG4" s="114">
        <v>76.0</v>
      </c>
      <c r="AH4" s="115" t="s">
        <v>734</v>
      </c>
      <c r="AI4" s="133" t="s">
        <v>735</v>
      </c>
      <c r="AJ4" s="117">
        <f t="shared" ref="AJ4:AJ9" si="1">$AK$1</f>
        <v>44396</v>
      </c>
      <c r="AK4" s="118">
        <f t="shared" ref="AK4:AK9" si="2">AJ4-$AL$1</f>
        <v>-318</v>
      </c>
      <c r="AL4" s="119" t="str">
        <f t="shared" ref="AL4:AL9" si="3">IF(ISBLANK(AG4),"Pendiente Ejecución"&amp;CHAR(10),)&amp;IF(ISBLANK(AH4),"Pendiente Justificación"&amp;CHAR(10),)&amp;IF(ISBLANK(AI4),"Pendiente Evidencia",)&amp;IF(OR(ISBLANK(AG4),ISBLANK(AH4),ISBLANK(AI4)),,"Reporte ok")</f>
        <v>Reporte ok</v>
      </c>
      <c r="AM4" s="119"/>
      <c r="AN4" s="120"/>
    </row>
    <row r="5" ht="67.5" customHeight="1">
      <c r="A5" s="45"/>
      <c r="B5" s="103">
        <v>134.0</v>
      </c>
      <c r="C5" s="103" t="s">
        <v>256</v>
      </c>
      <c r="D5" s="103" t="s">
        <v>727</v>
      </c>
      <c r="E5" s="103" t="s">
        <v>258</v>
      </c>
      <c r="F5" s="104">
        <v>2.01901100028E12</v>
      </c>
      <c r="G5" s="105" t="s">
        <v>259</v>
      </c>
      <c r="H5" s="103" t="s">
        <v>339</v>
      </c>
      <c r="I5" s="103" t="s">
        <v>340</v>
      </c>
      <c r="J5" s="103" t="s">
        <v>341</v>
      </c>
      <c r="K5" s="106" t="s">
        <v>141</v>
      </c>
      <c r="L5" s="106" t="s">
        <v>121</v>
      </c>
      <c r="M5" s="106" t="s">
        <v>122</v>
      </c>
      <c r="N5" s="107" t="s">
        <v>704</v>
      </c>
      <c r="O5" s="108"/>
      <c r="P5" s="109">
        <v>60.0</v>
      </c>
      <c r="Q5" s="110" t="s">
        <v>736</v>
      </c>
      <c r="R5" s="111" t="s">
        <v>737</v>
      </c>
      <c r="S5" s="109">
        <v>10.0</v>
      </c>
      <c r="T5" s="109">
        <v>20.0</v>
      </c>
      <c r="U5" s="112">
        <v>20.0</v>
      </c>
      <c r="V5" s="112">
        <v>10.0</v>
      </c>
      <c r="W5" s="113" t="s">
        <v>729</v>
      </c>
      <c r="X5" s="105" t="s">
        <v>730</v>
      </c>
      <c r="Y5" s="103" t="s">
        <v>731</v>
      </c>
      <c r="Z5" s="105" t="s">
        <v>732</v>
      </c>
      <c r="AA5" s="103" t="s">
        <v>154</v>
      </c>
      <c r="AB5" s="103" t="s">
        <v>187</v>
      </c>
      <c r="AC5" s="103" t="s">
        <v>131</v>
      </c>
      <c r="AD5" s="103" t="s">
        <v>198</v>
      </c>
      <c r="AE5" s="103" t="s">
        <v>270</v>
      </c>
      <c r="AF5" s="103" t="s">
        <v>158</v>
      </c>
      <c r="AG5" s="114">
        <v>34.0</v>
      </c>
      <c r="AH5" s="115" t="s">
        <v>738</v>
      </c>
      <c r="AI5" s="133" t="s">
        <v>739</v>
      </c>
      <c r="AJ5" s="117">
        <f t="shared" si="1"/>
        <v>44396</v>
      </c>
      <c r="AK5" s="118">
        <f t="shared" si="2"/>
        <v>-318</v>
      </c>
      <c r="AL5" s="119" t="str">
        <f t="shared" si="3"/>
        <v>Reporte ok</v>
      </c>
      <c r="AM5" s="119"/>
      <c r="AN5" s="120"/>
    </row>
    <row r="6" ht="67.5" customHeight="1">
      <c r="A6" s="45"/>
      <c r="B6" s="103">
        <v>135.0</v>
      </c>
      <c r="C6" s="103" t="s">
        <v>256</v>
      </c>
      <c r="D6" s="103" t="s">
        <v>727</v>
      </c>
      <c r="E6" s="103" t="s">
        <v>258</v>
      </c>
      <c r="F6" s="104">
        <v>2.01901100028E12</v>
      </c>
      <c r="G6" s="105" t="s">
        <v>259</v>
      </c>
      <c r="H6" s="103" t="s">
        <v>260</v>
      </c>
      <c r="I6" s="103" t="s">
        <v>261</v>
      </c>
      <c r="J6" s="103" t="s">
        <v>262</v>
      </c>
      <c r="K6" s="106" t="s">
        <v>141</v>
      </c>
      <c r="L6" s="106" t="s">
        <v>121</v>
      </c>
      <c r="M6" s="106" t="s">
        <v>122</v>
      </c>
      <c r="N6" s="107" t="s">
        <v>700</v>
      </c>
      <c r="O6" s="108"/>
      <c r="P6" s="109">
        <v>3000.0</v>
      </c>
      <c r="Q6" s="110" t="s">
        <v>740</v>
      </c>
      <c r="R6" s="111" t="s">
        <v>172</v>
      </c>
      <c r="S6" s="109">
        <v>400.0</v>
      </c>
      <c r="T6" s="109">
        <v>800.0</v>
      </c>
      <c r="U6" s="112">
        <v>1000.0</v>
      </c>
      <c r="V6" s="112">
        <v>800.0</v>
      </c>
      <c r="W6" s="113" t="s">
        <v>729</v>
      </c>
      <c r="X6" s="105" t="s">
        <v>730</v>
      </c>
      <c r="Y6" s="103" t="s">
        <v>731</v>
      </c>
      <c r="Z6" s="105" t="s">
        <v>732</v>
      </c>
      <c r="AA6" s="103" t="s">
        <v>154</v>
      </c>
      <c r="AB6" s="103" t="s">
        <v>155</v>
      </c>
      <c r="AC6" s="103" t="s">
        <v>269</v>
      </c>
      <c r="AD6" s="103" t="s">
        <v>198</v>
      </c>
      <c r="AE6" s="103" t="s">
        <v>270</v>
      </c>
      <c r="AF6" s="103" t="s">
        <v>158</v>
      </c>
      <c r="AG6" s="114">
        <v>1089.0</v>
      </c>
      <c r="AH6" s="115" t="s">
        <v>741</v>
      </c>
      <c r="AI6" s="133" t="s">
        <v>742</v>
      </c>
      <c r="AJ6" s="117">
        <f t="shared" si="1"/>
        <v>44396</v>
      </c>
      <c r="AK6" s="118">
        <f t="shared" si="2"/>
        <v>-318</v>
      </c>
      <c r="AL6" s="119" t="str">
        <f t="shared" si="3"/>
        <v>Reporte ok</v>
      </c>
      <c r="AM6" s="119"/>
      <c r="AN6" s="120"/>
    </row>
    <row r="7" ht="67.5" customHeight="1">
      <c r="A7" s="45"/>
      <c r="B7" s="103">
        <v>136.0</v>
      </c>
      <c r="C7" s="103" t="s">
        <v>256</v>
      </c>
      <c r="D7" s="103" t="s">
        <v>727</v>
      </c>
      <c r="E7" s="103" t="s">
        <v>258</v>
      </c>
      <c r="F7" s="104">
        <v>2.01901100028E12</v>
      </c>
      <c r="G7" s="105" t="s">
        <v>259</v>
      </c>
      <c r="H7" s="103" t="s">
        <v>278</v>
      </c>
      <c r="I7" s="103" t="s">
        <v>279</v>
      </c>
      <c r="J7" s="103" t="s">
        <v>280</v>
      </c>
      <c r="K7" s="106" t="s">
        <v>141</v>
      </c>
      <c r="L7" s="106" t="s">
        <v>121</v>
      </c>
      <c r="M7" s="106" t="s">
        <v>122</v>
      </c>
      <c r="N7" s="107" t="s">
        <v>281</v>
      </c>
      <c r="O7" s="108"/>
      <c r="P7" s="109">
        <v>125.0</v>
      </c>
      <c r="Q7" s="110" t="s">
        <v>743</v>
      </c>
      <c r="R7" s="111" t="s">
        <v>172</v>
      </c>
      <c r="S7" s="109">
        <v>5.0</v>
      </c>
      <c r="T7" s="109">
        <v>40.0</v>
      </c>
      <c r="U7" s="112">
        <v>50.0</v>
      </c>
      <c r="V7" s="112">
        <v>30.0</v>
      </c>
      <c r="W7" s="113" t="s">
        <v>257</v>
      </c>
      <c r="X7" s="105" t="s">
        <v>744</v>
      </c>
      <c r="Y7" s="103" t="s">
        <v>745</v>
      </c>
      <c r="Z7" s="105" t="s">
        <v>267</v>
      </c>
      <c r="AA7" s="103" t="s">
        <v>154</v>
      </c>
      <c r="AB7" s="103" t="s">
        <v>155</v>
      </c>
      <c r="AC7" s="103" t="s">
        <v>269</v>
      </c>
      <c r="AD7" s="103" t="s">
        <v>132</v>
      </c>
      <c r="AE7" s="103" t="s">
        <v>270</v>
      </c>
      <c r="AF7" s="103" t="s">
        <v>733</v>
      </c>
      <c r="AG7" s="114">
        <v>41.0</v>
      </c>
      <c r="AH7" s="115" t="s">
        <v>746</v>
      </c>
      <c r="AI7" s="133" t="s">
        <v>747</v>
      </c>
      <c r="AJ7" s="117">
        <f t="shared" si="1"/>
        <v>44396</v>
      </c>
      <c r="AK7" s="118">
        <f t="shared" si="2"/>
        <v>-318</v>
      </c>
      <c r="AL7" s="119" t="str">
        <f t="shared" si="3"/>
        <v>Reporte ok</v>
      </c>
      <c r="AM7" s="119"/>
      <c r="AN7" s="120"/>
    </row>
    <row r="8" ht="67.5" customHeight="1">
      <c r="A8" s="45"/>
      <c r="B8" s="103">
        <v>137.0</v>
      </c>
      <c r="C8" s="103" t="s">
        <v>256</v>
      </c>
      <c r="D8" s="103" t="s">
        <v>727</v>
      </c>
      <c r="E8" s="103" t="s">
        <v>258</v>
      </c>
      <c r="F8" s="104">
        <v>2.01901100028E12</v>
      </c>
      <c r="G8" s="105" t="s">
        <v>259</v>
      </c>
      <c r="H8" s="103" t="s">
        <v>260</v>
      </c>
      <c r="I8" s="103" t="s">
        <v>261</v>
      </c>
      <c r="J8" s="103" t="s">
        <v>262</v>
      </c>
      <c r="K8" s="106" t="s">
        <v>141</v>
      </c>
      <c r="L8" s="106" t="s">
        <v>121</v>
      </c>
      <c r="M8" s="106" t="s">
        <v>122</v>
      </c>
      <c r="N8" s="107" t="s">
        <v>748</v>
      </c>
      <c r="O8" s="108"/>
      <c r="P8" s="109">
        <v>30.0</v>
      </c>
      <c r="Q8" s="110" t="s">
        <v>749</v>
      </c>
      <c r="R8" s="111" t="s">
        <v>172</v>
      </c>
      <c r="S8" s="109">
        <v>5.0</v>
      </c>
      <c r="T8" s="109">
        <v>10.0</v>
      </c>
      <c r="U8" s="112">
        <v>10.0</v>
      </c>
      <c r="V8" s="112">
        <v>5.0</v>
      </c>
      <c r="W8" s="113" t="s">
        <v>729</v>
      </c>
      <c r="X8" s="105" t="s">
        <v>730</v>
      </c>
      <c r="Y8" s="103" t="s">
        <v>731</v>
      </c>
      <c r="Z8" s="105" t="s">
        <v>732</v>
      </c>
      <c r="AA8" s="103" t="s">
        <v>154</v>
      </c>
      <c r="AB8" s="103" t="s">
        <v>155</v>
      </c>
      <c r="AC8" s="103" t="s">
        <v>347</v>
      </c>
      <c r="AD8" s="103" t="s">
        <v>198</v>
      </c>
      <c r="AE8" s="103" t="s">
        <v>270</v>
      </c>
      <c r="AF8" s="103" t="s">
        <v>158</v>
      </c>
      <c r="AG8" s="114">
        <v>9.0</v>
      </c>
      <c r="AH8" s="115" t="s">
        <v>750</v>
      </c>
      <c r="AI8" s="133" t="s">
        <v>751</v>
      </c>
      <c r="AJ8" s="117">
        <f t="shared" si="1"/>
        <v>44396</v>
      </c>
      <c r="AK8" s="118">
        <f t="shared" si="2"/>
        <v>-318</v>
      </c>
      <c r="AL8" s="119" t="str">
        <f t="shared" si="3"/>
        <v>Reporte ok</v>
      </c>
      <c r="AM8" s="119"/>
      <c r="AN8" s="120"/>
    </row>
    <row r="9" ht="67.5" customHeight="1">
      <c r="A9" s="45"/>
      <c r="B9" s="103">
        <v>138.0</v>
      </c>
      <c r="C9" s="103" t="s">
        <v>256</v>
      </c>
      <c r="D9" s="103" t="s">
        <v>727</v>
      </c>
      <c r="E9" s="103" t="s">
        <v>258</v>
      </c>
      <c r="F9" s="104">
        <v>2.01901100028E12</v>
      </c>
      <c r="G9" s="105" t="s">
        <v>259</v>
      </c>
      <c r="H9" s="103" t="s">
        <v>260</v>
      </c>
      <c r="I9" s="103" t="s">
        <v>261</v>
      </c>
      <c r="J9" s="103" t="s">
        <v>305</v>
      </c>
      <c r="K9" s="106" t="s">
        <v>289</v>
      </c>
      <c r="L9" s="106" t="s">
        <v>290</v>
      </c>
      <c r="M9" s="106" t="s">
        <v>122</v>
      </c>
      <c r="N9" s="107" t="s">
        <v>752</v>
      </c>
      <c r="O9" s="108">
        <v>15.0</v>
      </c>
      <c r="P9" s="109">
        <v>3000.0</v>
      </c>
      <c r="Q9" s="110" t="s">
        <v>753</v>
      </c>
      <c r="R9" s="111" t="s">
        <v>172</v>
      </c>
      <c r="S9" s="109">
        <v>350.0</v>
      </c>
      <c r="T9" s="109">
        <v>1000.0</v>
      </c>
      <c r="U9" s="112">
        <v>1000.0</v>
      </c>
      <c r="V9" s="112">
        <v>650.0</v>
      </c>
      <c r="W9" s="113" t="s">
        <v>257</v>
      </c>
      <c r="X9" s="105" t="s">
        <v>744</v>
      </c>
      <c r="Y9" s="103" t="s">
        <v>745</v>
      </c>
      <c r="Z9" s="105" t="s">
        <v>267</v>
      </c>
      <c r="AA9" s="103" t="s">
        <v>154</v>
      </c>
      <c r="AB9" s="103" t="s">
        <v>155</v>
      </c>
      <c r="AC9" s="103" t="s">
        <v>131</v>
      </c>
      <c r="AD9" s="103" t="s">
        <v>198</v>
      </c>
      <c r="AE9" s="103" t="s">
        <v>270</v>
      </c>
      <c r="AF9" s="103" t="s">
        <v>158</v>
      </c>
      <c r="AG9" s="114">
        <v>1010.0</v>
      </c>
      <c r="AH9" s="115" t="s">
        <v>754</v>
      </c>
      <c r="AI9" s="133" t="s">
        <v>755</v>
      </c>
      <c r="AJ9" s="117">
        <f t="shared" si="1"/>
        <v>44396</v>
      </c>
      <c r="AK9" s="118">
        <f t="shared" si="2"/>
        <v>-318</v>
      </c>
      <c r="AL9" s="119" t="str">
        <f t="shared" si="3"/>
        <v>Reporte ok</v>
      </c>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22"/>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22"/>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22"/>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22"/>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22"/>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22"/>
      <c r="AH23" s="115"/>
      <c r="AI23" s="116"/>
      <c r="AJ23" s="117"/>
      <c r="AK23" s="118"/>
      <c r="AL23" s="119"/>
      <c r="AM23" s="119"/>
      <c r="AN23" s="120"/>
    </row>
    <row r="24" ht="15.75" customHeight="1"/>
  </sheetData>
  <autoFilter ref="$A$3:$AN$11"/>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s>
  <printOptions gridLines="1" horizontalCentered="1"/>
  <pageMargins bottom="0.75" footer="0.0" header="0.0" left="0.7" right="0.7" top="0.75"/>
  <pageSetup cellComments="atEnd" orientation="portrait" pageOrder="overThenDown"/>
  <drawing r:id="rId7"/>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3.38"/>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139.0</v>
      </c>
      <c r="C4" s="103" t="s">
        <v>335</v>
      </c>
      <c r="D4" s="103" t="s">
        <v>756</v>
      </c>
      <c r="E4" s="103" t="s">
        <v>337</v>
      </c>
      <c r="F4" s="104">
        <v>2.019011000276E12</v>
      </c>
      <c r="G4" s="105" t="s">
        <v>338</v>
      </c>
      <c r="H4" s="103" t="s">
        <v>339</v>
      </c>
      <c r="I4" s="103" t="s">
        <v>340</v>
      </c>
      <c r="J4" s="103" t="s">
        <v>341</v>
      </c>
      <c r="K4" s="106" t="s">
        <v>289</v>
      </c>
      <c r="L4" s="106" t="s">
        <v>290</v>
      </c>
      <c r="M4" s="106" t="s">
        <v>122</v>
      </c>
      <c r="N4" s="107" t="s">
        <v>757</v>
      </c>
      <c r="O4" s="108">
        <v>3582.0</v>
      </c>
      <c r="P4" s="109">
        <v>30.0</v>
      </c>
      <c r="Q4" s="110" t="s">
        <v>758</v>
      </c>
      <c r="R4" s="111" t="s">
        <v>172</v>
      </c>
      <c r="S4" s="109">
        <v>6.0</v>
      </c>
      <c r="T4" s="109">
        <v>2.0</v>
      </c>
      <c r="U4" s="112">
        <v>11.0</v>
      </c>
      <c r="V4" s="112">
        <v>11.0</v>
      </c>
      <c r="W4" s="113" t="s">
        <v>759</v>
      </c>
      <c r="X4" s="105" t="s">
        <v>760</v>
      </c>
      <c r="Y4" s="103" t="s">
        <v>761</v>
      </c>
      <c r="Z4" s="105" t="s">
        <v>762</v>
      </c>
      <c r="AA4" s="103" t="s">
        <v>268</v>
      </c>
      <c r="AB4" s="103" t="s">
        <v>155</v>
      </c>
      <c r="AC4" s="103" t="s">
        <v>347</v>
      </c>
      <c r="AD4" s="103" t="s">
        <v>198</v>
      </c>
      <c r="AE4" s="103" t="s">
        <v>270</v>
      </c>
      <c r="AF4" s="103" t="s">
        <v>158</v>
      </c>
      <c r="AG4" s="114">
        <v>3.0</v>
      </c>
      <c r="AH4" s="115" t="s">
        <v>763</v>
      </c>
      <c r="AI4" s="124" t="s">
        <v>764</v>
      </c>
      <c r="AJ4" s="117">
        <f t="shared" ref="AJ4:AJ13" si="1">$AK$1</f>
        <v>44396</v>
      </c>
      <c r="AK4" s="118">
        <f t="shared" ref="AK4:AK13" si="2">AJ4-$AL$1</f>
        <v>-318</v>
      </c>
      <c r="AL4" s="119" t="str">
        <f t="shared" ref="AL4:AL13" si="3">IF(ISBLANK(AG4),"Pendiente Ejecución"&amp;CHAR(10),)&amp;IF(ISBLANK(AH4),"Pendiente Justificación"&amp;CHAR(10),)&amp;IF(ISBLANK(AI4),"Pendiente Evidencia",)&amp;IF(OR(ISBLANK(AG4),ISBLANK(AH4),ISBLANK(AI4)),,"Reporte ok")</f>
        <v>Reporte ok</v>
      </c>
      <c r="AM4" s="119"/>
      <c r="AN4" s="120"/>
    </row>
    <row r="5" ht="67.5" customHeight="1">
      <c r="A5" s="45"/>
      <c r="B5" s="103">
        <v>140.0</v>
      </c>
      <c r="C5" s="103" t="s">
        <v>256</v>
      </c>
      <c r="D5" s="103" t="s">
        <v>756</v>
      </c>
      <c r="E5" s="103" t="s">
        <v>258</v>
      </c>
      <c r="F5" s="104">
        <v>2.01901100028E12</v>
      </c>
      <c r="G5" s="105" t="s">
        <v>259</v>
      </c>
      <c r="H5" s="103" t="s">
        <v>260</v>
      </c>
      <c r="I5" s="103" t="s">
        <v>261</v>
      </c>
      <c r="J5" s="103" t="s">
        <v>262</v>
      </c>
      <c r="K5" s="106" t="s">
        <v>120</v>
      </c>
      <c r="L5" s="106" t="s">
        <v>121</v>
      </c>
      <c r="M5" s="106" t="s">
        <v>122</v>
      </c>
      <c r="N5" s="107" t="s">
        <v>571</v>
      </c>
      <c r="O5" s="108">
        <v>-7140.0</v>
      </c>
      <c r="P5" s="109">
        <v>300.0</v>
      </c>
      <c r="Q5" s="110" t="s">
        <v>765</v>
      </c>
      <c r="R5" s="111" t="s">
        <v>172</v>
      </c>
      <c r="S5" s="109">
        <v>50.0</v>
      </c>
      <c r="T5" s="109">
        <v>60.0</v>
      </c>
      <c r="U5" s="112">
        <v>90.0</v>
      </c>
      <c r="V5" s="112">
        <v>100.0</v>
      </c>
      <c r="W5" s="113" t="s">
        <v>759</v>
      </c>
      <c r="X5" s="105" t="s">
        <v>760</v>
      </c>
      <c r="Y5" s="103" t="s">
        <v>761</v>
      </c>
      <c r="Z5" s="105" t="s">
        <v>762</v>
      </c>
      <c r="AA5" s="103" t="s">
        <v>268</v>
      </c>
      <c r="AB5" s="103" t="s">
        <v>155</v>
      </c>
      <c r="AC5" s="103" t="s">
        <v>347</v>
      </c>
      <c r="AD5" s="103" t="s">
        <v>198</v>
      </c>
      <c r="AE5" s="103" t="s">
        <v>270</v>
      </c>
      <c r="AF5" s="103" t="s">
        <v>158</v>
      </c>
      <c r="AG5" s="114">
        <v>79.0</v>
      </c>
      <c r="AH5" s="115" t="s">
        <v>766</v>
      </c>
      <c r="AI5" s="124" t="s">
        <v>767</v>
      </c>
      <c r="AJ5" s="117">
        <f t="shared" si="1"/>
        <v>44396</v>
      </c>
      <c r="AK5" s="118">
        <f t="shared" si="2"/>
        <v>-318</v>
      </c>
      <c r="AL5" s="119" t="str">
        <f t="shared" si="3"/>
        <v>Reporte ok</v>
      </c>
      <c r="AM5" s="119"/>
      <c r="AN5" s="120"/>
    </row>
    <row r="6" ht="67.5" customHeight="1">
      <c r="A6" s="45"/>
      <c r="B6" s="103">
        <v>141.0</v>
      </c>
      <c r="C6" s="103" t="s">
        <v>256</v>
      </c>
      <c r="D6" s="103" t="s">
        <v>756</v>
      </c>
      <c r="E6" s="103" t="s">
        <v>258</v>
      </c>
      <c r="F6" s="104">
        <v>2.01901100028E12</v>
      </c>
      <c r="G6" s="105" t="s">
        <v>259</v>
      </c>
      <c r="H6" s="103" t="s">
        <v>278</v>
      </c>
      <c r="I6" s="103" t="s">
        <v>279</v>
      </c>
      <c r="J6" s="103" t="s">
        <v>280</v>
      </c>
      <c r="K6" s="106" t="s">
        <v>141</v>
      </c>
      <c r="L6" s="106" t="s">
        <v>121</v>
      </c>
      <c r="M6" s="106" t="s">
        <v>122</v>
      </c>
      <c r="N6" s="107" t="s">
        <v>768</v>
      </c>
      <c r="O6" s="108"/>
      <c r="P6" s="109">
        <v>20.0</v>
      </c>
      <c r="Q6" s="110" t="s">
        <v>769</v>
      </c>
      <c r="R6" s="111" t="s">
        <v>172</v>
      </c>
      <c r="S6" s="109">
        <v>3.0</v>
      </c>
      <c r="T6" s="109">
        <v>2.0</v>
      </c>
      <c r="U6" s="112">
        <v>7.0</v>
      </c>
      <c r="V6" s="112">
        <v>8.0</v>
      </c>
      <c r="W6" s="113" t="s">
        <v>759</v>
      </c>
      <c r="X6" s="105" t="s">
        <v>760</v>
      </c>
      <c r="Y6" s="103" t="s">
        <v>761</v>
      </c>
      <c r="Z6" s="105" t="s">
        <v>762</v>
      </c>
      <c r="AA6" s="103" t="s">
        <v>268</v>
      </c>
      <c r="AB6" s="103" t="s">
        <v>155</v>
      </c>
      <c r="AC6" s="103" t="s">
        <v>347</v>
      </c>
      <c r="AD6" s="103" t="s">
        <v>198</v>
      </c>
      <c r="AE6" s="103" t="s">
        <v>270</v>
      </c>
      <c r="AF6" s="103" t="s">
        <v>158</v>
      </c>
      <c r="AG6" s="114">
        <v>2.0</v>
      </c>
      <c r="AH6" s="115" t="s">
        <v>770</v>
      </c>
      <c r="AI6" s="124" t="s">
        <v>771</v>
      </c>
      <c r="AJ6" s="117">
        <f t="shared" si="1"/>
        <v>44396</v>
      </c>
      <c r="AK6" s="118">
        <f t="shared" si="2"/>
        <v>-318</v>
      </c>
      <c r="AL6" s="119" t="str">
        <f t="shared" si="3"/>
        <v>Reporte ok</v>
      </c>
      <c r="AM6" s="119"/>
      <c r="AN6" s="120"/>
    </row>
    <row r="7" ht="67.5" customHeight="1">
      <c r="A7" s="45"/>
      <c r="B7" s="103">
        <v>142.0</v>
      </c>
      <c r="C7" s="103" t="s">
        <v>256</v>
      </c>
      <c r="D7" s="103" t="s">
        <v>756</v>
      </c>
      <c r="E7" s="103" t="s">
        <v>258</v>
      </c>
      <c r="F7" s="104">
        <v>2.01901100028E12</v>
      </c>
      <c r="G7" s="105" t="s">
        <v>259</v>
      </c>
      <c r="H7" s="103" t="s">
        <v>260</v>
      </c>
      <c r="I7" s="103" t="s">
        <v>261</v>
      </c>
      <c r="J7" s="103" t="s">
        <v>305</v>
      </c>
      <c r="K7" s="106" t="s">
        <v>141</v>
      </c>
      <c r="L7" s="106" t="s">
        <v>121</v>
      </c>
      <c r="M7" s="106" t="s">
        <v>122</v>
      </c>
      <c r="N7" s="107" t="s">
        <v>772</v>
      </c>
      <c r="O7" s="108"/>
      <c r="P7" s="109">
        <v>66.0</v>
      </c>
      <c r="Q7" s="110" t="s">
        <v>773</v>
      </c>
      <c r="R7" s="111" t="s">
        <v>172</v>
      </c>
      <c r="S7" s="109">
        <v>12.0</v>
      </c>
      <c r="T7" s="109">
        <v>8.0</v>
      </c>
      <c r="U7" s="112">
        <v>23.0</v>
      </c>
      <c r="V7" s="112">
        <v>23.0</v>
      </c>
      <c r="W7" s="113" t="s">
        <v>759</v>
      </c>
      <c r="X7" s="105" t="s">
        <v>760</v>
      </c>
      <c r="Y7" s="103" t="s">
        <v>761</v>
      </c>
      <c r="Z7" s="105" t="s">
        <v>762</v>
      </c>
      <c r="AA7" s="103" t="s">
        <v>268</v>
      </c>
      <c r="AB7" s="103" t="s">
        <v>155</v>
      </c>
      <c r="AC7" s="103" t="s">
        <v>347</v>
      </c>
      <c r="AD7" s="103" t="s">
        <v>198</v>
      </c>
      <c r="AE7" s="103" t="s">
        <v>270</v>
      </c>
      <c r="AF7" s="103" t="s">
        <v>158</v>
      </c>
      <c r="AG7" s="114">
        <v>8.0</v>
      </c>
      <c r="AH7" s="115" t="s">
        <v>770</v>
      </c>
      <c r="AI7" s="124" t="s">
        <v>774</v>
      </c>
      <c r="AJ7" s="117">
        <f t="shared" si="1"/>
        <v>44396</v>
      </c>
      <c r="AK7" s="118">
        <f t="shared" si="2"/>
        <v>-318</v>
      </c>
      <c r="AL7" s="119" t="str">
        <f t="shared" si="3"/>
        <v>Reporte ok</v>
      </c>
      <c r="AM7" s="119"/>
      <c r="AN7" s="120"/>
    </row>
    <row r="8" ht="67.5" customHeight="1">
      <c r="A8" s="45"/>
      <c r="B8" s="103">
        <v>143.0</v>
      </c>
      <c r="C8" s="103" t="s">
        <v>256</v>
      </c>
      <c r="D8" s="103" t="s">
        <v>756</v>
      </c>
      <c r="E8" s="103" t="s">
        <v>258</v>
      </c>
      <c r="F8" s="104">
        <v>2.01901100028E12</v>
      </c>
      <c r="G8" s="105" t="s">
        <v>259</v>
      </c>
      <c r="H8" s="103" t="s">
        <v>260</v>
      </c>
      <c r="I8" s="103" t="s">
        <v>261</v>
      </c>
      <c r="J8" s="103" t="s">
        <v>305</v>
      </c>
      <c r="K8" s="106" t="s">
        <v>141</v>
      </c>
      <c r="L8" s="106" t="s">
        <v>121</v>
      </c>
      <c r="M8" s="106" t="s">
        <v>122</v>
      </c>
      <c r="N8" s="107" t="s">
        <v>775</v>
      </c>
      <c r="O8" s="108"/>
      <c r="P8" s="109">
        <v>500.0</v>
      </c>
      <c r="Q8" s="110" t="s">
        <v>776</v>
      </c>
      <c r="R8" s="111" t="s">
        <v>172</v>
      </c>
      <c r="S8" s="109">
        <v>100.0</v>
      </c>
      <c r="T8" s="109">
        <v>60.0</v>
      </c>
      <c r="U8" s="112">
        <v>170.0</v>
      </c>
      <c r="V8" s="112">
        <v>170.0</v>
      </c>
      <c r="W8" s="113" t="s">
        <v>759</v>
      </c>
      <c r="X8" s="105" t="s">
        <v>760</v>
      </c>
      <c r="Y8" s="103" t="s">
        <v>761</v>
      </c>
      <c r="Z8" s="105" t="s">
        <v>762</v>
      </c>
      <c r="AA8" s="103" t="s">
        <v>268</v>
      </c>
      <c r="AB8" s="103" t="s">
        <v>155</v>
      </c>
      <c r="AC8" s="103" t="s">
        <v>347</v>
      </c>
      <c r="AD8" s="103" t="s">
        <v>198</v>
      </c>
      <c r="AE8" s="103" t="s">
        <v>270</v>
      </c>
      <c r="AF8" s="103" t="s">
        <v>158</v>
      </c>
      <c r="AG8" s="114">
        <v>64.0</v>
      </c>
      <c r="AH8" s="115" t="s">
        <v>777</v>
      </c>
      <c r="AI8" s="124" t="s">
        <v>778</v>
      </c>
      <c r="AJ8" s="117">
        <f t="shared" si="1"/>
        <v>44396</v>
      </c>
      <c r="AK8" s="118">
        <f t="shared" si="2"/>
        <v>-318</v>
      </c>
      <c r="AL8" s="119" t="str">
        <f t="shared" si="3"/>
        <v>Reporte ok</v>
      </c>
      <c r="AM8" s="119"/>
      <c r="AN8" s="120"/>
    </row>
    <row r="9" ht="67.5" customHeight="1">
      <c r="A9" s="45"/>
      <c r="B9" s="103">
        <v>144.0</v>
      </c>
      <c r="C9" s="103" t="s">
        <v>335</v>
      </c>
      <c r="D9" s="103" t="s">
        <v>756</v>
      </c>
      <c r="E9" s="103" t="s">
        <v>337</v>
      </c>
      <c r="F9" s="104">
        <v>2.019011000276E12</v>
      </c>
      <c r="G9" s="105" t="s">
        <v>338</v>
      </c>
      <c r="H9" s="103" t="s">
        <v>339</v>
      </c>
      <c r="I9" s="103" t="s">
        <v>340</v>
      </c>
      <c r="J9" s="103" t="s">
        <v>341</v>
      </c>
      <c r="K9" s="106" t="s">
        <v>141</v>
      </c>
      <c r="L9" s="106" t="s">
        <v>121</v>
      </c>
      <c r="M9" s="106" t="s">
        <v>122</v>
      </c>
      <c r="N9" s="107" t="s">
        <v>779</v>
      </c>
      <c r="O9" s="108"/>
      <c r="P9" s="109">
        <v>500.0</v>
      </c>
      <c r="Q9" s="110" t="s">
        <v>780</v>
      </c>
      <c r="R9" s="111" t="s">
        <v>172</v>
      </c>
      <c r="S9" s="109">
        <v>100.0</v>
      </c>
      <c r="T9" s="109">
        <v>60.0</v>
      </c>
      <c r="U9" s="112">
        <v>170.0</v>
      </c>
      <c r="V9" s="112">
        <v>170.0</v>
      </c>
      <c r="W9" s="113" t="s">
        <v>759</v>
      </c>
      <c r="X9" s="105" t="s">
        <v>760</v>
      </c>
      <c r="Y9" s="103" t="s">
        <v>761</v>
      </c>
      <c r="Z9" s="105" t="s">
        <v>762</v>
      </c>
      <c r="AA9" s="103" t="s">
        <v>268</v>
      </c>
      <c r="AB9" s="103" t="s">
        <v>155</v>
      </c>
      <c r="AC9" s="103" t="s">
        <v>347</v>
      </c>
      <c r="AD9" s="103" t="s">
        <v>198</v>
      </c>
      <c r="AE9" s="103" t="s">
        <v>270</v>
      </c>
      <c r="AF9" s="103" t="s">
        <v>158</v>
      </c>
      <c r="AG9" s="114">
        <v>61.0</v>
      </c>
      <c r="AH9" s="115" t="s">
        <v>777</v>
      </c>
      <c r="AI9" s="124" t="s">
        <v>781</v>
      </c>
      <c r="AJ9" s="117">
        <f t="shared" si="1"/>
        <v>44396</v>
      </c>
      <c r="AK9" s="118">
        <f t="shared" si="2"/>
        <v>-318</v>
      </c>
      <c r="AL9" s="119" t="str">
        <f t="shared" si="3"/>
        <v>Reporte ok</v>
      </c>
      <c r="AM9" s="119"/>
      <c r="AN9" s="120"/>
    </row>
    <row r="10" ht="67.5" customHeight="1">
      <c r="A10" s="45"/>
      <c r="B10" s="103">
        <v>145.0</v>
      </c>
      <c r="C10" s="103" t="s">
        <v>335</v>
      </c>
      <c r="D10" s="103" t="s">
        <v>756</v>
      </c>
      <c r="E10" s="103" t="s">
        <v>337</v>
      </c>
      <c r="F10" s="104">
        <v>2.019011000276E12</v>
      </c>
      <c r="G10" s="105" t="s">
        <v>338</v>
      </c>
      <c r="H10" s="103" t="s">
        <v>339</v>
      </c>
      <c r="I10" s="103" t="s">
        <v>340</v>
      </c>
      <c r="J10" s="103" t="s">
        <v>341</v>
      </c>
      <c r="K10" s="106" t="s">
        <v>141</v>
      </c>
      <c r="L10" s="106" t="s">
        <v>121</v>
      </c>
      <c r="M10" s="106" t="s">
        <v>122</v>
      </c>
      <c r="N10" s="107" t="s">
        <v>782</v>
      </c>
      <c r="O10" s="108"/>
      <c r="P10" s="109">
        <v>25.0</v>
      </c>
      <c r="Q10" s="110" t="s">
        <v>783</v>
      </c>
      <c r="R10" s="111" t="s">
        <v>172</v>
      </c>
      <c r="S10" s="109">
        <v>6.0</v>
      </c>
      <c r="T10" s="109">
        <v>5.0</v>
      </c>
      <c r="U10" s="112">
        <v>7.0</v>
      </c>
      <c r="V10" s="112">
        <v>7.0</v>
      </c>
      <c r="W10" s="113" t="s">
        <v>759</v>
      </c>
      <c r="X10" s="105" t="s">
        <v>760</v>
      </c>
      <c r="Y10" s="103" t="s">
        <v>761</v>
      </c>
      <c r="Z10" s="105" t="s">
        <v>762</v>
      </c>
      <c r="AA10" s="103" t="s">
        <v>268</v>
      </c>
      <c r="AB10" s="103" t="s">
        <v>155</v>
      </c>
      <c r="AC10" s="103" t="s">
        <v>347</v>
      </c>
      <c r="AD10" s="103" t="s">
        <v>198</v>
      </c>
      <c r="AE10" s="103" t="s">
        <v>270</v>
      </c>
      <c r="AF10" s="103" t="s">
        <v>158</v>
      </c>
      <c r="AG10" s="114">
        <v>5.0</v>
      </c>
      <c r="AH10" s="115" t="s">
        <v>784</v>
      </c>
      <c r="AI10" s="124" t="s">
        <v>785</v>
      </c>
      <c r="AJ10" s="117">
        <f t="shared" si="1"/>
        <v>44396</v>
      </c>
      <c r="AK10" s="118">
        <f t="shared" si="2"/>
        <v>-318</v>
      </c>
      <c r="AL10" s="119" t="str">
        <f t="shared" si="3"/>
        <v>Reporte ok</v>
      </c>
      <c r="AM10" s="119"/>
      <c r="AN10" s="120"/>
    </row>
    <row r="11" ht="67.5" customHeight="1">
      <c r="A11" s="45"/>
      <c r="B11" s="103">
        <v>146.0</v>
      </c>
      <c r="C11" s="103" t="s">
        <v>256</v>
      </c>
      <c r="D11" s="103" t="s">
        <v>756</v>
      </c>
      <c r="E11" s="103" t="s">
        <v>258</v>
      </c>
      <c r="F11" s="104">
        <v>2.01901100028E12</v>
      </c>
      <c r="G11" s="105" t="s">
        <v>259</v>
      </c>
      <c r="H11" s="103" t="s">
        <v>278</v>
      </c>
      <c r="I11" s="103" t="s">
        <v>279</v>
      </c>
      <c r="J11" s="103" t="s">
        <v>280</v>
      </c>
      <c r="K11" s="106" t="s">
        <v>141</v>
      </c>
      <c r="L11" s="106" t="s">
        <v>121</v>
      </c>
      <c r="M11" s="106" t="s">
        <v>122</v>
      </c>
      <c r="N11" s="107" t="s">
        <v>786</v>
      </c>
      <c r="O11" s="108"/>
      <c r="P11" s="109">
        <v>30.0</v>
      </c>
      <c r="Q11" s="110" t="s">
        <v>787</v>
      </c>
      <c r="R11" s="111" t="s">
        <v>172</v>
      </c>
      <c r="S11" s="109">
        <v>6.0</v>
      </c>
      <c r="T11" s="109">
        <v>4.0</v>
      </c>
      <c r="U11" s="112">
        <v>10.0</v>
      </c>
      <c r="V11" s="112">
        <v>10.0</v>
      </c>
      <c r="W11" s="113" t="s">
        <v>759</v>
      </c>
      <c r="X11" s="105" t="s">
        <v>760</v>
      </c>
      <c r="Y11" s="103" t="s">
        <v>761</v>
      </c>
      <c r="Z11" s="105" t="s">
        <v>762</v>
      </c>
      <c r="AA11" s="103" t="s">
        <v>268</v>
      </c>
      <c r="AB11" s="103" t="s">
        <v>155</v>
      </c>
      <c r="AC11" s="103" t="s">
        <v>347</v>
      </c>
      <c r="AD11" s="103" t="s">
        <v>198</v>
      </c>
      <c r="AE11" s="103" t="s">
        <v>270</v>
      </c>
      <c r="AF11" s="103" t="s">
        <v>158</v>
      </c>
      <c r="AG11" s="114">
        <v>8.0</v>
      </c>
      <c r="AH11" s="115" t="s">
        <v>788</v>
      </c>
      <c r="AI11" s="124" t="s">
        <v>789</v>
      </c>
      <c r="AJ11" s="117">
        <f t="shared" si="1"/>
        <v>44396</v>
      </c>
      <c r="AK11" s="118">
        <f t="shared" si="2"/>
        <v>-318</v>
      </c>
      <c r="AL11" s="119" t="str">
        <f t="shared" si="3"/>
        <v>Reporte ok</v>
      </c>
      <c r="AM11" s="119"/>
      <c r="AN11" s="120"/>
    </row>
    <row r="12" ht="67.5" customHeight="1">
      <c r="A12" s="45"/>
      <c r="B12" s="103">
        <v>147.0</v>
      </c>
      <c r="C12" s="103" t="s">
        <v>256</v>
      </c>
      <c r="D12" s="103" t="s">
        <v>756</v>
      </c>
      <c r="E12" s="103" t="s">
        <v>258</v>
      </c>
      <c r="F12" s="104">
        <v>2.01901100028E12</v>
      </c>
      <c r="G12" s="105" t="s">
        <v>259</v>
      </c>
      <c r="H12" s="103" t="s">
        <v>260</v>
      </c>
      <c r="I12" s="103" t="s">
        <v>261</v>
      </c>
      <c r="J12" s="103" t="s">
        <v>262</v>
      </c>
      <c r="K12" s="106" t="s">
        <v>141</v>
      </c>
      <c r="L12" s="106" t="s">
        <v>121</v>
      </c>
      <c r="M12" s="106" t="s">
        <v>122</v>
      </c>
      <c r="N12" s="107" t="s">
        <v>790</v>
      </c>
      <c r="O12" s="108"/>
      <c r="P12" s="109">
        <v>2200.0</v>
      </c>
      <c r="Q12" s="110" t="s">
        <v>701</v>
      </c>
      <c r="R12" s="111" t="s">
        <v>172</v>
      </c>
      <c r="S12" s="109">
        <v>0.0</v>
      </c>
      <c r="T12" s="109">
        <v>650.0</v>
      </c>
      <c r="U12" s="112">
        <v>750.0</v>
      </c>
      <c r="V12" s="112">
        <v>800.0</v>
      </c>
      <c r="W12" s="113" t="s">
        <v>759</v>
      </c>
      <c r="X12" s="105" t="s">
        <v>760</v>
      </c>
      <c r="Y12" s="103" t="s">
        <v>761</v>
      </c>
      <c r="Z12" s="105" t="s">
        <v>762</v>
      </c>
      <c r="AA12" s="103" t="s">
        <v>268</v>
      </c>
      <c r="AB12" s="103" t="s">
        <v>155</v>
      </c>
      <c r="AC12" s="103" t="s">
        <v>347</v>
      </c>
      <c r="AD12" s="103" t="s">
        <v>198</v>
      </c>
      <c r="AE12" s="103" t="s">
        <v>270</v>
      </c>
      <c r="AF12" s="103" t="s">
        <v>158</v>
      </c>
      <c r="AG12" s="114">
        <v>821.0</v>
      </c>
      <c r="AH12" s="115" t="s">
        <v>791</v>
      </c>
      <c r="AI12" s="124" t="s">
        <v>792</v>
      </c>
      <c r="AJ12" s="117">
        <f t="shared" si="1"/>
        <v>44396</v>
      </c>
      <c r="AK12" s="118">
        <f t="shared" si="2"/>
        <v>-318</v>
      </c>
      <c r="AL12" s="119" t="str">
        <f t="shared" si="3"/>
        <v>Reporte ok</v>
      </c>
      <c r="AM12" s="119"/>
      <c r="AN12" s="120"/>
    </row>
    <row r="13" ht="67.5" customHeight="1">
      <c r="A13" s="45"/>
      <c r="B13" s="103">
        <v>148.0</v>
      </c>
      <c r="C13" s="103" t="s">
        <v>335</v>
      </c>
      <c r="D13" s="103" t="s">
        <v>756</v>
      </c>
      <c r="E13" s="103" t="s">
        <v>337</v>
      </c>
      <c r="F13" s="104">
        <v>2.019011000276E12</v>
      </c>
      <c r="G13" s="105" t="s">
        <v>338</v>
      </c>
      <c r="H13" s="103" t="s">
        <v>350</v>
      </c>
      <c r="I13" s="103" t="s">
        <v>351</v>
      </c>
      <c r="J13" s="103" t="s">
        <v>367</v>
      </c>
      <c r="K13" s="106" t="s">
        <v>120</v>
      </c>
      <c r="L13" s="106" t="s">
        <v>121</v>
      </c>
      <c r="M13" s="106" t="s">
        <v>122</v>
      </c>
      <c r="N13" s="107" t="s">
        <v>353</v>
      </c>
      <c r="O13" s="108">
        <v>157.0</v>
      </c>
      <c r="P13" s="109">
        <v>600.0</v>
      </c>
      <c r="Q13" s="110" t="s">
        <v>728</v>
      </c>
      <c r="R13" s="111" t="s">
        <v>172</v>
      </c>
      <c r="S13" s="109">
        <v>152.0</v>
      </c>
      <c r="T13" s="109">
        <v>85.0</v>
      </c>
      <c r="U13" s="112">
        <v>179.0</v>
      </c>
      <c r="V13" s="112">
        <v>184.0</v>
      </c>
      <c r="W13" s="113" t="s">
        <v>759</v>
      </c>
      <c r="X13" s="105" t="s">
        <v>760</v>
      </c>
      <c r="Y13" s="103" t="s">
        <v>761</v>
      </c>
      <c r="Z13" s="105" t="s">
        <v>762</v>
      </c>
      <c r="AA13" s="103" t="s">
        <v>268</v>
      </c>
      <c r="AB13" s="103" t="s">
        <v>155</v>
      </c>
      <c r="AC13" s="103" t="s">
        <v>347</v>
      </c>
      <c r="AD13" s="103" t="s">
        <v>198</v>
      </c>
      <c r="AE13" s="103" t="s">
        <v>270</v>
      </c>
      <c r="AF13" s="103" t="s">
        <v>158</v>
      </c>
      <c r="AG13" s="114">
        <v>145.0</v>
      </c>
      <c r="AH13" s="115" t="s">
        <v>793</v>
      </c>
      <c r="AI13" s="124" t="s">
        <v>794</v>
      </c>
      <c r="AJ13" s="117">
        <f t="shared" si="1"/>
        <v>44396</v>
      </c>
      <c r="AK13" s="118">
        <f t="shared" si="2"/>
        <v>-318</v>
      </c>
      <c r="AL13" s="119" t="str">
        <f t="shared" si="3"/>
        <v>Reporte ok</v>
      </c>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14"/>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14"/>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14"/>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14"/>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14"/>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14"/>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14"/>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15"/>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location="gid=0" ref="AI5"/>
    <hyperlink r:id="rId3" ref="AI6"/>
    <hyperlink r:id="rId4" ref="AI7"/>
    <hyperlink r:id="rId5" ref="AI8"/>
    <hyperlink r:id="rId6" ref="AI9"/>
    <hyperlink r:id="rId7" ref="AI10"/>
    <hyperlink r:id="rId8" ref="AI11"/>
    <hyperlink r:id="rId9" location="gid=1782517093" ref="AI12"/>
    <hyperlink r:id="rId10" ref="AI13"/>
  </hyperlinks>
  <printOptions gridLines="1" horizontalCentered="1"/>
  <pageMargins bottom="0.75" footer="0.0" header="0.0" left="0.7" right="0.7" top="0.75"/>
  <pageSetup cellComments="atEnd" orientation="portrait" pageOrder="overThenDown"/>
  <drawing r:id="rId1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57.0"/>
    <col customWidth="1" min="35" max="35" width="47.25"/>
    <col customWidth="1" min="36" max="36" width="15.75"/>
    <col customWidth="1" min="37" max="37" width="15.63"/>
    <col customWidth="1" min="38" max="38" width="15.25"/>
    <col customWidth="1" min="39" max="39" width="18.25"/>
    <col customWidth="1" min="40" max="40" width="3.88"/>
  </cols>
  <sheetData>
    <row r="1" ht="33.75" customHeight="1">
      <c r="A1" s="136"/>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149.0</v>
      </c>
      <c r="C4" s="103" t="s">
        <v>256</v>
      </c>
      <c r="D4" s="103" t="s">
        <v>795</v>
      </c>
      <c r="E4" s="103" t="s">
        <v>258</v>
      </c>
      <c r="F4" s="104">
        <v>2.01901100028E12</v>
      </c>
      <c r="G4" s="105" t="s">
        <v>259</v>
      </c>
      <c r="H4" s="103" t="s">
        <v>260</v>
      </c>
      <c r="I4" s="103" t="s">
        <v>261</v>
      </c>
      <c r="J4" s="103" t="s">
        <v>262</v>
      </c>
      <c r="K4" s="106" t="s">
        <v>120</v>
      </c>
      <c r="L4" s="106" t="s">
        <v>121</v>
      </c>
      <c r="M4" s="106" t="s">
        <v>122</v>
      </c>
      <c r="N4" s="107" t="s">
        <v>571</v>
      </c>
      <c r="O4" s="108">
        <v>-7140.0</v>
      </c>
      <c r="P4" s="109">
        <v>230.0</v>
      </c>
      <c r="Q4" s="110" t="s">
        <v>592</v>
      </c>
      <c r="R4" s="111" t="s">
        <v>150</v>
      </c>
      <c r="S4" s="109">
        <v>30.0</v>
      </c>
      <c r="T4" s="109">
        <v>75.0</v>
      </c>
      <c r="U4" s="112">
        <v>75.0</v>
      </c>
      <c r="V4" s="112">
        <v>50.0</v>
      </c>
      <c r="W4" s="113" t="s">
        <v>795</v>
      </c>
      <c r="X4" s="105" t="s">
        <v>796</v>
      </c>
      <c r="Y4" s="103" t="s">
        <v>594</v>
      </c>
      <c r="Z4" s="105" t="s">
        <v>797</v>
      </c>
      <c r="AA4" s="103" t="s">
        <v>450</v>
      </c>
      <c r="AB4" s="103" t="s">
        <v>155</v>
      </c>
      <c r="AC4" s="103" t="s">
        <v>269</v>
      </c>
      <c r="AD4" s="103" t="s">
        <v>198</v>
      </c>
      <c r="AE4" s="103" t="s">
        <v>270</v>
      </c>
      <c r="AF4" s="103" t="s">
        <v>158</v>
      </c>
      <c r="AG4" s="114">
        <f>70+6+18</f>
        <v>94</v>
      </c>
      <c r="AH4" s="115" t="s">
        <v>798</v>
      </c>
      <c r="AI4" s="124" t="s">
        <v>799</v>
      </c>
      <c r="AJ4" s="117">
        <f t="shared" ref="AJ4:AJ11" si="1">$AK$1</f>
        <v>44396</v>
      </c>
      <c r="AK4" s="118">
        <f t="shared" ref="AK4:AK11" si="2">AJ4-$AL$1</f>
        <v>-318</v>
      </c>
      <c r="AL4" s="119" t="str">
        <f t="shared" ref="AL4:AL11" si="3">IF(ISBLANK(AG4),"Pendiente Ejecución"&amp;CHAR(10),)&amp;IF(ISBLANK(AH4),"Pendiente Justificación"&amp;CHAR(10),)&amp;IF(ISBLANK(AI4),"Pendiente Evidencia",)&amp;IF(OR(ISBLANK(AG4),ISBLANK(AH4),ISBLANK(AI4)),,"Reporte ok")</f>
        <v>Reporte ok</v>
      </c>
      <c r="AM4" s="119"/>
      <c r="AN4" s="120"/>
    </row>
    <row r="5" ht="67.5" customHeight="1">
      <c r="A5" s="45"/>
      <c r="B5" s="103">
        <v>150.0</v>
      </c>
      <c r="C5" s="103" t="s">
        <v>256</v>
      </c>
      <c r="D5" s="103" t="s">
        <v>795</v>
      </c>
      <c r="E5" s="103" t="s">
        <v>258</v>
      </c>
      <c r="F5" s="104">
        <v>2.01901100028E12</v>
      </c>
      <c r="G5" s="105" t="s">
        <v>259</v>
      </c>
      <c r="H5" s="103" t="s">
        <v>260</v>
      </c>
      <c r="I5" s="103" t="s">
        <v>261</v>
      </c>
      <c r="J5" s="103" t="s">
        <v>305</v>
      </c>
      <c r="K5" s="106" t="s">
        <v>141</v>
      </c>
      <c r="L5" s="106" t="s">
        <v>121</v>
      </c>
      <c r="M5" s="106" t="s">
        <v>122</v>
      </c>
      <c r="N5" s="107" t="s">
        <v>696</v>
      </c>
      <c r="O5" s="108"/>
      <c r="P5" s="109">
        <v>35.0</v>
      </c>
      <c r="Q5" s="110" t="s">
        <v>697</v>
      </c>
      <c r="R5" s="111" t="s">
        <v>172</v>
      </c>
      <c r="S5" s="109">
        <v>5.0</v>
      </c>
      <c r="T5" s="109">
        <v>10.0</v>
      </c>
      <c r="U5" s="112">
        <v>10.0</v>
      </c>
      <c r="V5" s="112">
        <v>10.0</v>
      </c>
      <c r="W5" s="113" t="s">
        <v>795</v>
      </c>
      <c r="X5" s="105" t="s">
        <v>796</v>
      </c>
      <c r="Y5" s="103" t="s">
        <v>594</v>
      </c>
      <c r="Z5" s="105" t="s">
        <v>797</v>
      </c>
      <c r="AA5" s="103" t="s">
        <v>450</v>
      </c>
      <c r="AB5" s="103" t="s">
        <v>155</v>
      </c>
      <c r="AC5" s="103" t="s">
        <v>131</v>
      </c>
      <c r="AD5" s="103" t="s">
        <v>198</v>
      </c>
      <c r="AE5" s="103" t="s">
        <v>270</v>
      </c>
      <c r="AF5" s="103" t="s">
        <v>158</v>
      </c>
      <c r="AG5" s="114">
        <v>11.0</v>
      </c>
      <c r="AH5" s="115" t="s">
        <v>800</v>
      </c>
      <c r="AI5" s="124" t="s">
        <v>801</v>
      </c>
      <c r="AJ5" s="117">
        <f t="shared" si="1"/>
        <v>44396</v>
      </c>
      <c r="AK5" s="118">
        <f t="shared" si="2"/>
        <v>-318</v>
      </c>
      <c r="AL5" s="119" t="str">
        <f t="shared" si="3"/>
        <v>Reporte ok</v>
      </c>
      <c r="AM5" s="119"/>
      <c r="AN5" s="120"/>
    </row>
    <row r="6" ht="67.5" customHeight="1">
      <c r="A6" s="45"/>
      <c r="B6" s="103">
        <v>151.0</v>
      </c>
      <c r="C6" s="103" t="s">
        <v>256</v>
      </c>
      <c r="D6" s="103" t="s">
        <v>795</v>
      </c>
      <c r="E6" s="103" t="s">
        <v>258</v>
      </c>
      <c r="F6" s="104">
        <v>2.01901100028E12</v>
      </c>
      <c r="G6" s="105" t="s">
        <v>259</v>
      </c>
      <c r="H6" s="103" t="s">
        <v>260</v>
      </c>
      <c r="I6" s="103" t="s">
        <v>261</v>
      </c>
      <c r="J6" s="103" t="s">
        <v>305</v>
      </c>
      <c r="K6" s="106" t="s">
        <v>141</v>
      </c>
      <c r="L6" s="106" t="s">
        <v>121</v>
      </c>
      <c r="M6" s="106" t="s">
        <v>122</v>
      </c>
      <c r="N6" s="107" t="s">
        <v>582</v>
      </c>
      <c r="O6" s="108"/>
      <c r="P6" s="109">
        <v>120.0</v>
      </c>
      <c r="Q6" s="110" t="s">
        <v>802</v>
      </c>
      <c r="R6" s="111" t="s">
        <v>172</v>
      </c>
      <c r="S6" s="109">
        <v>30.0</v>
      </c>
      <c r="T6" s="109">
        <v>30.0</v>
      </c>
      <c r="U6" s="112">
        <v>30.0</v>
      </c>
      <c r="V6" s="112">
        <v>30.0</v>
      </c>
      <c r="W6" s="113" t="s">
        <v>795</v>
      </c>
      <c r="X6" s="105" t="s">
        <v>796</v>
      </c>
      <c r="Y6" s="103" t="s">
        <v>594</v>
      </c>
      <c r="Z6" s="105" t="s">
        <v>797</v>
      </c>
      <c r="AA6" s="103" t="s">
        <v>450</v>
      </c>
      <c r="AB6" s="103" t="s">
        <v>155</v>
      </c>
      <c r="AC6" s="103" t="s">
        <v>131</v>
      </c>
      <c r="AD6" s="103" t="s">
        <v>198</v>
      </c>
      <c r="AE6" s="103" t="s">
        <v>270</v>
      </c>
      <c r="AF6" s="103" t="s">
        <v>158</v>
      </c>
      <c r="AG6" s="114">
        <v>37.0</v>
      </c>
      <c r="AH6" s="115" t="s">
        <v>803</v>
      </c>
      <c r="AI6" s="123" t="s">
        <v>804</v>
      </c>
      <c r="AJ6" s="117">
        <f t="shared" si="1"/>
        <v>44396</v>
      </c>
      <c r="AK6" s="118">
        <f t="shared" si="2"/>
        <v>-318</v>
      </c>
      <c r="AL6" s="119" t="str">
        <f t="shared" si="3"/>
        <v>Reporte ok</v>
      </c>
      <c r="AM6" s="119"/>
      <c r="AN6" s="120"/>
    </row>
    <row r="7" ht="67.5" customHeight="1">
      <c r="A7" s="45"/>
      <c r="B7" s="103">
        <v>152.0</v>
      </c>
      <c r="C7" s="103" t="s">
        <v>335</v>
      </c>
      <c r="D7" s="103" t="s">
        <v>795</v>
      </c>
      <c r="E7" s="103" t="s">
        <v>337</v>
      </c>
      <c r="F7" s="104">
        <v>2.019011000276E12</v>
      </c>
      <c r="G7" s="105" t="s">
        <v>338</v>
      </c>
      <c r="H7" s="103" t="s">
        <v>339</v>
      </c>
      <c r="I7" s="103" t="s">
        <v>340</v>
      </c>
      <c r="J7" s="103" t="s">
        <v>341</v>
      </c>
      <c r="K7" s="106" t="s">
        <v>141</v>
      </c>
      <c r="L7" s="106" t="s">
        <v>121</v>
      </c>
      <c r="M7" s="106" t="s">
        <v>122</v>
      </c>
      <c r="N7" s="107" t="s">
        <v>704</v>
      </c>
      <c r="O7" s="108"/>
      <c r="P7" s="109">
        <v>35.0</v>
      </c>
      <c r="Q7" s="110" t="s">
        <v>805</v>
      </c>
      <c r="R7" s="111" t="s">
        <v>172</v>
      </c>
      <c r="S7" s="109">
        <v>10.0</v>
      </c>
      <c r="T7" s="109">
        <v>25.0</v>
      </c>
      <c r="U7" s="112">
        <v>0.0</v>
      </c>
      <c r="V7" s="112">
        <v>0.0</v>
      </c>
      <c r="W7" s="113" t="s">
        <v>795</v>
      </c>
      <c r="X7" s="105" t="s">
        <v>796</v>
      </c>
      <c r="Y7" s="103" t="s">
        <v>594</v>
      </c>
      <c r="Z7" s="105" t="s">
        <v>797</v>
      </c>
      <c r="AA7" s="103" t="s">
        <v>450</v>
      </c>
      <c r="AB7" s="103" t="s">
        <v>155</v>
      </c>
      <c r="AC7" s="103" t="s">
        <v>347</v>
      </c>
      <c r="AD7" s="103" t="s">
        <v>198</v>
      </c>
      <c r="AE7" s="103" t="s">
        <v>270</v>
      </c>
      <c r="AF7" s="103" t="s">
        <v>158</v>
      </c>
      <c r="AG7" s="114">
        <v>30.0</v>
      </c>
      <c r="AH7" s="115" t="s">
        <v>806</v>
      </c>
      <c r="AI7" s="123" t="s">
        <v>807</v>
      </c>
      <c r="AJ7" s="117">
        <f t="shared" si="1"/>
        <v>44396</v>
      </c>
      <c r="AK7" s="118">
        <f t="shared" si="2"/>
        <v>-318</v>
      </c>
      <c r="AL7" s="119" t="str">
        <f t="shared" si="3"/>
        <v>Reporte ok</v>
      </c>
      <c r="AM7" s="119"/>
      <c r="AN7" s="120"/>
    </row>
    <row r="8" ht="67.5" customHeight="1">
      <c r="A8" s="45"/>
      <c r="B8" s="103">
        <v>153.0</v>
      </c>
      <c r="C8" s="103" t="s">
        <v>335</v>
      </c>
      <c r="D8" s="103" t="s">
        <v>795</v>
      </c>
      <c r="E8" s="103" t="s">
        <v>337</v>
      </c>
      <c r="F8" s="104">
        <v>2.019011000276E12</v>
      </c>
      <c r="G8" s="105" t="s">
        <v>338</v>
      </c>
      <c r="H8" s="103" t="s">
        <v>350</v>
      </c>
      <c r="I8" s="103" t="s">
        <v>351</v>
      </c>
      <c r="J8" s="103" t="s">
        <v>352</v>
      </c>
      <c r="K8" s="106" t="s">
        <v>120</v>
      </c>
      <c r="L8" s="106" t="s">
        <v>121</v>
      </c>
      <c r="M8" s="106" t="s">
        <v>122</v>
      </c>
      <c r="N8" s="107" t="s">
        <v>353</v>
      </c>
      <c r="O8" s="108">
        <v>157.0</v>
      </c>
      <c r="P8" s="109">
        <v>850.0</v>
      </c>
      <c r="Q8" s="110" t="s">
        <v>808</v>
      </c>
      <c r="R8" s="111" t="s">
        <v>150</v>
      </c>
      <c r="S8" s="109">
        <v>193.0</v>
      </c>
      <c r="T8" s="109">
        <v>240.0</v>
      </c>
      <c r="U8" s="112">
        <v>231.0</v>
      </c>
      <c r="V8" s="112">
        <v>186.0</v>
      </c>
      <c r="W8" s="113" t="s">
        <v>795</v>
      </c>
      <c r="X8" s="105" t="s">
        <v>796</v>
      </c>
      <c r="Y8" s="103" t="s">
        <v>594</v>
      </c>
      <c r="Z8" s="105" t="s">
        <v>797</v>
      </c>
      <c r="AA8" s="103" t="s">
        <v>450</v>
      </c>
      <c r="AB8" s="103" t="s">
        <v>155</v>
      </c>
      <c r="AC8" s="103" t="s">
        <v>347</v>
      </c>
      <c r="AD8" s="103" t="s">
        <v>198</v>
      </c>
      <c r="AE8" s="103" t="s">
        <v>270</v>
      </c>
      <c r="AF8" s="103" t="s">
        <v>158</v>
      </c>
      <c r="AG8" s="114">
        <v>260.0</v>
      </c>
      <c r="AH8" s="115" t="s">
        <v>809</v>
      </c>
      <c r="AI8" s="123" t="s">
        <v>810</v>
      </c>
      <c r="AJ8" s="117">
        <f t="shared" si="1"/>
        <v>44396</v>
      </c>
      <c r="AK8" s="118">
        <f t="shared" si="2"/>
        <v>-318</v>
      </c>
      <c r="AL8" s="119" t="str">
        <f t="shared" si="3"/>
        <v>Reporte ok</v>
      </c>
      <c r="AM8" s="119"/>
      <c r="AN8" s="120"/>
    </row>
    <row r="9" ht="67.5" customHeight="1">
      <c r="A9" s="45"/>
      <c r="B9" s="103">
        <v>154.0</v>
      </c>
      <c r="C9" s="103" t="s">
        <v>256</v>
      </c>
      <c r="D9" s="103" t="s">
        <v>795</v>
      </c>
      <c r="E9" s="103" t="s">
        <v>258</v>
      </c>
      <c r="F9" s="104">
        <v>2.01901100028E12</v>
      </c>
      <c r="G9" s="105" t="s">
        <v>259</v>
      </c>
      <c r="H9" s="103" t="s">
        <v>260</v>
      </c>
      <c r="I9" s="103" t="s">
        <v>261</v>
      </c>
      <c r="J9" s="103" t="s">
        <v>262</v>
      </c>
      <c r="K9" s="106" t="s">
        <v>141</v>
      </c>
      <c r="L9" s="106" t="s">
        <v>121</v>
      </c>
      <c r="M9" s="106" t="s">
        <v>122</v>
      </c>
      <c r="N9" s="107" t="s">
        <v>700</v>
      </c>
      <c r="O9" s="108"/>
      <c r="P9" s="109">
        <v>1050.0</v>
      </c>
      <c r="Q9" s="110" t="s">
        <v>811</v>
      </c>
      <c r="R9" s="111" t="s">
        <v>172</v>
      </c>
      <c r="S9" s="109">
        <v>250.0</v>
      </c>
      <c r="T9" s="109">
        <v>250.0</v>
      </c>
      <c r="U9" s="112">
        <v>250.0</v>
      </c>
      <c r="V9" s="112">
        <v>300.0</v>
      </c>
      <c r="W9" s="113" t="s">
        <v>795</v>
      </c>
      <c r="X9" s="105" t="s">
        <v>796</v>
      </c>
      <c r="Y9" s="103" t="s">
        <v>594</v>
      </c>
      <c r="Z9" s="105" t="s">
        <v>797</v>
      </c>
      <c r="AA9" s="103" t="s">
        <v>450</v>
      </c>
      <c r="AB9" s="103" t="s">
        <v>155</v>
      </c>
      <c r="AC9" s="103" t="s">
        <v>269</v>
      </c>
      <c r="AD9" s="103" t="s">
        <v>198</v>
      </c>
      <c r="AE9" s="103" t="s">
        <v>672</v>
      </c>
      <c r="AF9" s="103" t="s">
        <v>158</v>
      </c>
      <c r="AG9" s="114">
        <v>506.0</v>
      </c>
      <c r="AH9" s="115" t="s">
        <v>812</v>
      </c>
      <c r="AI9" s="123" t="s">
        <v>813</v>
      </c>
      <c r="AJ9" s="117">
        <f t="shared" si="1"/>
        <v>44396</v>
      </c>
      <c r="AK9" s="118">
        <f t="shared" si="2"/>
        <v>-318</v>
      </c>
      <c r="AL9" s="119" t="str">
        <f t="shared" si="3"/>
        <v>Reporte ok</v>
      </c>
      <c r="AM9" s="119"/>
      <c r="AN9" s="120"/>
    </row>
    <row r="10" ht="67.5" customHeight="1">
      <c r="A10" s="45"/>
      <c r="B10" s="103">
        <v>155.0</v>
      </c>
      <c r="C10" s="103" t="s">
        <v>256</v>
      </c>
      <c r="D10" s="103" t="s">
        <v>795</v>
      </c>
      <c r="E10" s="103" t="s">
        <v>258</v>
      </c>
      <c r="F10" s="104">
        <v>2.01901100028E12</v>
      </c>
      <c r="G10" s="105" t="s">
        <v>259</v>
      </c>
      <c r="H10" s="103" t="s">
        <v>260</v>
      </c>
      <c r="I10" s="103" t="s">
        <v>261</v>
      </c>
      <c r="J10" s="103" t="s">
        <v>262</v>
      </c>
      <c r="K10" s="106" t="s">
        <v>141</v>
      </c>
      <c r="L10" s="106" t="s">
        <v>121</v>
      </c>
      <c r="M10" s="106" t="s">
        <v>122</v>
      </c>
      <c r="N10" s="107" t="s">
        <v>814</v>
      </c>
      <c r="O10" s="108"/>
      <c r="P10" s="109">
        <v>120.0</v>
      </c>
      <c r="Q10" s="110" t="s">
        <v>815</v>
      </c>
      <c r="R10" s="111" t="s">
        <v>172</v>
      </c>
      <c r="S10" s="109">
        <v>80.0</v>
      </c>
      <c r="T10" s="109">
        <v>0.0</v>
      </c>
      <c r="U10" s="112">
        <v>0.0</v>
      </c>
      <c r="V10" s="112">
        <v>40.0</v>
      </c>
      <c r="W10" s="113" t="s">
        <v>795</v>
      </c>
      <c r="X10" s="105" t="s">
        <v>796</v>
      </c>
      <c r="Y10" s="103" t="s">
        <v>594</v>
      </c>
      <c r="Z10" s="105" t="s">
        <v>797</v>
      </c>
      <c r="AA10" s="103" t="s">
        <v>450</v>
      </c>
      <c r="AB10" s="103" t="s">
        <v>155</v>
      </c>
      <c r="AC10" s="103" t="s">
        <v>269</v>
      </c>
      <c r="AD10" s="103" t="s">
        <v>198</v>
      </c>
      <c r="AE10" s="103" t="s">
        <v>672</v>
      </c>
      <c r="AF10" s="103" t="s">
        <v>158</v>
      </c>
      <c r="AG10" s="114">
        <v>4.0</v>
      </c>
      <c r="AH10" s="115" t="s">
        <v>816</v>
      </c>
      <c r="AI10" s="123" t="s">
        <v>817</v>
      </c>
      <c r="AJ10" s="117">
        <f t="shared" si="1"/>
        <v>44396</v>
      </c>
      <c r="AK10" s="118">
        <f t="shared" si="2"/>
        <v>-318</v>
      </c>
      <c r="AL10" s="119" t="str">
        <f t="shared" si="3"/>
        <v>Reporte ok</v>
      </c>
      <c r="AM10" s="119"/>
      <c r="AN10" s="120"/>
    </row>
    <row r="11" ht="67.5" customHeight="1">
      <c r="A11" s="45"/>
      <c r="B11" s="103">
        <v>156.0</v>
      </c>
      <c r="C11" s="103" t="s">
        <v>256</v>
      </c>
      <c r="D11" s="103" t="s">
        <v>795</v>
      </c>
      <c r="E11" s="103" t="s">
        <v>258</v>
      </c>
      <c r="F11" s="104">
        <v>2.01901100028E12</v>
      </c>
      <c r="G11" s="105" t="s">
        <v>259</v>
      </c>
      <c r="H11" s="103" t="s">
        <v>260</v>
      </c>
      <c r="I11" s="103" t="s">
        <v>261</v>
      </c>
      <c r="J11" s="103" t="s">
        <v>262</v>
      </c>
      <c r="K11" s="106" t="s">
        <v>141</v>
      </c>
      <c r="L11" s="106" t="s">
        <v>121</v>
      </c>
      <c r="M11" s="106" t="s">
        <v>122</v>
      </c>
      <c r="N11" s="107" t="s">
        <v>818</v>
      </c>
      <c r="O11" s="108"/>
      <c r="P11" s="109">
        <v>1500.0</v>
      </c>
      <c r="Q11" s="110" t="s">
        <v>819</v>
      </c>
      <c r="R11" s="111" t="s">
        <v>172</v>
      </c>
      <c r="S11" s="109">
        <v>1500.0</v>
      </c>
      <c r="T11" s="109">
        <v>0.0</v>
      </c>
      <c r="U11" s="112">
        <v>0.0</v>
      </c>
      <c r="V11" s="112">
        <v>0.0</v>
      </c>
      <c r="W11" s="113" t="s">
        <v>795</v>
      </c>
      <c r="X11" s="105" t="s">
        <v>796</v>
      </c>
      <c r="Y11" s="103" t="s">
        <v>594</v>
      </c>
      <c r="Z11" s="105" t="s">
        <v>797</v>
      </c>
      <c r="AA11" s="103" t="s">
        <v>450</v>
      </c>
      <c r="AB11" s="103" t="s">
        <v>155</v>
      </c>
      <c r="AC11" s="103" t="s">
        <v>269</v>
      </c>
      <c r="AD11" s="103" t="s">
        <v>198</v>
      </c>
      <c r="AE11" s="103" t="s">
        <v>672</v>
      </c>
      <c r="AF11" s="103" t="s">
        <v>158</v>
      </c>
      <c r="AG11" s="114">
        <v>4176.0</v>
      </c>
      <c r="AH11" s="115" t="s">
        <v>820</v>
      </c>
      <c r="AI11" s="123" t="s">
        <v>821</v>
      </c>
      <c r="AJ11" s="117">
        <f t="shared" si="1"/>
        <v>44396</v>
      </c>
      <c r="AK11" s="118">
        <f t="shared" si="2"/>
        <v>-318</v>
      </c>
      <c r="AL11" s="119" t="str">
        <f t="shared" si="3"/>
        <v>Reporte ok</v>
      </c>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14"/>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14"/>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14"/>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14"/>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14"/>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14"/>
      <c r="AH17" s="115"/>
      <c r="AI17" s="116"/>
      <c r="AJ17" s="117"/>
      <c r="AK17" s="118"/>
      <c r="AL17" s="119"/>
      <c r="AM17" s="119"/>
      <c r="AN17" s="120"/>
    </row>
    <row r="18" ht="67.5" customHeight="1">
      <c r="A18" s="45"/>
      <c r="B18" s="103"/>
      <c r="C18" s="103"/>
      <c r="D18" s="103"/>
      <c r="E18" s="103"/>
      <c r="F18" s="104"/>
      <c r="G18" s="105"/>
      <c r="H18" s="103"/>
      <c r="I18" s="103"/>
      <c r="J18" s="103"/>
      <c r="K18" s="106"/>
      <c r="L18" s="106"/>
      <c r="M18" s="106"/>
      <c r="N18" s="107"/>
      <c r="O18" s="108"/>
      <c r="P18" s="109"/>
      <c r="Q18" s="110"/>
      <c r="R18" s="111"/>
      <c r="S18" s="109"/>
      <c r="T18" s="109"/>
      <c r="U18" s="112"/>
      <c r="V18" s="112"/>
      <c r="W18" s="113"/>
      <c r="X18" s="105"/>
      <c r="Y18" s="103"/>
      <c r="Z18" s="105"/>
      <c r="AA18" s="103"/>
      <c r="AB18" s="103"/>
      <c r="AC18" s="103"/>
      <c r="AD18" s="103"/>
      <c r="AE18" s="103"/>
      <c r="AF18" s="103"/>
      <c r="AG18" s="114"/>
      <c r="AH18" s="115"/>
      <c r="AI18" s="116"/>
      <c r="AJ18" s="117"/>
      <c r="AK18" s="118"/>
      <c r="AL18" s="119"/>
      <c r="AM18" s="119"/>
      <c r="AN18" s="120"/>
    </row>
    <row r="19" ht="67.5" customHeight="1">
      <c r="A19" s="45"/>
      <c r="B19" s="103"/>
      <c r="C19" s="103"/>
      <c r="D19" s="103"/>
      <c r="E19" s="103"/>
      <c r="F19" s="104"/>
      <c r="G19" s="105"/>
      <c r="H19" s="103"/>
      <c r="I19" s="103"/>
      <c r="J19" s="103"/>
      <c r="K19" s="106"/>
      <c r="L19" s="106"/>
      <c r="M19" s="106"/>
      <c r="N19" s="107"/>
      <c r="O19" s="108"/>
      <c r="P19" s="109"/>
      <c r="Q19" s="110"/>
      <c r="R19" s="111"/>
      <c r="S19" s="109"/>
      <c r="T19" s="109"/>
      <c r="U19" s="112"/>
      <c r="V19" s="112"/>
      <c r="W19" s="113"/>
      <c r="X19" s="105"/>
      <c r="Y19" s="103"/>
      <c r="Z19" s="105"/>
      <c r="AA19" s="103"/>
      <c r="AB19" s="103"/>
      <c r="AC19" s="103"/>
      <c r="AD19" s="103"/>
      <c r="AE19" s="103"/>
      <c r="AF19" s="103"/>
      <c r="AG19" s="114"/>
      <c r="AH19" s="115"/>
      <c r="AI19" s="116"/>
      <c r="AJ19" s="117"/>
      <c r="AK19" s="118"/>
      <c r="AL19" s="119"/>
      <c r="AM19" s="119"/>
      <c r="AN19" s="120"/>
    </row>
    <row r="20" ht="67.5" customHeight="1">
      <c r="A20" s="45"/>
      <c r="B20" s="103"/>
      <c r="C20" s="103"/>
      <c r="D20" s="103"/>
      <c r="E20" s="103"/>
      <c r="F20" s="104"/>
      <c r="G20" s="105"/>
      <c r="H20" s="103"/>
      <c r="I20" s="103"/>
      <c r="J20" s="103"/>
      <c r="K20" s="106"/>
      <c r="L20" s="106"/>
      <c r="M20" s="106"/>
      <c r="N20" s="107"/>
      <c r="O20" s="108"/>
      <c r="P20" s="109"/>
      <c r="Q20" s="110"/>
      <c r="R20" s="111"/>
      <c r="S20" s="109"/>
      <c r="T20" s="109"/>
      <c r="U20" s="112"/>
      <c r="V20" s="112"/>
      <c r="W20" s="113"/>
      <c r="X20" s="105"/>
      <c r="Y20" s="103"/>
      <c r="Z20" s="105"/>
      <c r="AA20" s="103"/>
      <c r="AB20" s="103"/>
      <c r="AC20" s="103"/>
      <c r="AD20" s="103"/>
      <c r="AE20" s="103"/>
      <c r="AF20" s="103"/>
      <c r="AG20" s="114"/>
      <c r="AH20" s="115"/>
      <c r="AI20" s="116"/>
      <c r="AJ20" s="117"/>
      <c r="AK20" s="118"/>
      <c r="AL20" s="119"/>
      <c r="AM20" s="119"/>
      <c r="AN20" s="120"/>
    </row>
    <row r="21" ht="67.5" customHeight="1">
      <c r="A21" s="45"/>
      <c r="B21" s="103"/>
      <c r="C21" s="103"/>
      <c r="D21" s="103"/>
      <c r="E21" s="103"/>
      <c r="F21" s="104"/>
      <c r="G21" s="105"/>
      <c r="H21" s="103"/>
      <c r="I21" s="103"/>
      <c r="J21" s="103"/>
      <c r="K21" s="106"/>
      <c r="L21" s="106"/>
      <c r="M21" s="106"/>
      <c r="N21" s="107"/>
      <c r="O21" s="108"/>
      <c r="P21" s="109"/>
      <c r="Q21" s="110"/>
      <c r="R21" s="111"/>
      <c r="S21" s="109"/>
      <c r="T21" s="109"/>
      <c r="U21" s="112"/>
      <c r="V21" s="112"/>
      <c r="W21" s="113"/>
      <c r="X21" s="105"/>
      <c r="Y21" s="103"/>
      <c r="Z21" s="105"/>
      <c r="AA21" s="103"/>
      <c r="AB21" s="103"/>
      <c r="AC21" s="103"/>
      <c r="AD21" s="103"/>
      <c r="AE21" s="103"/>
      <c r="AF21" s="103"/>
      <c r="AG21" s="114"/>
      <c r="AH21" s="115"/>
      <c r="AI21" s="116"/>
      <c r="AJ21" s="117"/>
      <c r="AK21" s="118"/>
      <c r="AL21" s="119"/>
      <c r="AM21" s="119"/>
      <c r="AN21" s="120"/>
    </row>
    <row r="22" ht="67.5" customHeight="1">
      <c r="A22" s="45"/>
      <c r="B22" s="103"/>
      <c r="C22" s="103"/>
      <c r="D22" s="103"/>
      <c r="E22" s="103"/>
      <c r="F22" s="104"/>
      <c r="G22" s="105"/>
      <c r="H22" s="103"/>
      <c r="I22" s="103"/>
      <c r="J22" s="103"/>
      <c r="K22" s="106"/>
      <c r="L22" s="106"/>
      <c r="M22" s="106"/>
      <c r="N22" s="107"/>
      <c r="O22" s="108"/>
      <c r="P22" s="109"/>
      <c r="Q22" s="110"/>
      <c r="R22" s="111"/>
      <c r="S22" s="109"/>
      <c r="T22" s="109"/>
      <c r="U22" s="112"/>
      <c r="V22" s="112"/>
      <c r="W22" s="113"/>
      <c r="X22" s="105"/>
      <c r="Y22" s="103"/>
      <c r="Z22" s="105"/>
      <c r="AA22" s="103"/>
      <c r="AB22" s="103"/>
      <c r="AC22" s="103"/>
      <c r="AD22" s="103"/>
      <c r="AE22" s="103"/>
      <c r="AF22" s="103"/>
      <c r="AG22" s="114"/>
      <c r="AH22" s="115"/>
      <c r="AI22" s="116"/>
      <c r="AJ22" s="117"/>
      <c r="AK22" s="118"/>
      <c r="AL22" s="119"/>
      <c r="AM22" s="119"/>
      <c r="AN22" s="120"/>
    </row>
    <row r="23" ht="67.5" customHeight="1">
      <c r="A23" s="45"/>
      <c r="B23" s="103"/>
      <c r="C23" s="103"/>
      <c r="D23" s="103"/>
      <c r="E23" s="103"/>
      <c r="F23" s="104"/>
      <c r="G23" s="105"/>
      <c r="H23" s="103"/>
      <c r="I23" s="103"/>
      <c r="J23" s="103"/>
      <c r="K23" s="106"/>
      <c r="L23" s="106"/>
      <c r="M23" s="106"/>
      <c r="N23" s="107"/>
      <c r="O23" s="108"/>
      <c r="P23" s="109"/>
      <c r="Q23" s="110"/>
      <c r="R23" s="111"/>
      <c r="S23" s="109"/>
      <c r="T23" s="109"/>
      <c r="U23" s="112"/>
      <c r="V23" s="112"/>
      <c r="W23" s="113"/>
      <c r="X23" s="105"/>
      <c r="Y23" s="103"/>
      <c r="Z23" s="105"/>
      <c r="AA23" s="103"/>
      <c r="AB23" s="103"/>
      <c r="AC23" s="103"/>
      <c r="AD23" s="103"/>
      <c r="AE23" s="103"/>
      <c r="AF23" s="103"/>
      <c r="AG23" s="114"/>
      <c r="AH23" s="115"/>
      <c r="AI23" s="116"/>
      <c r="AJ23" s="117"/>
      <c r="AK23" s="118"/>
      <c r="AL23" s="119"/>
      <c r="AM23" s="119"/>
      <c r="AN23" s="120"/>
    </row>
    <row r="24" ht="15.75" customHeight="1"/>
  </sheetData>
  <autoFilter ref="$A$3:$AN$13"/>
  <mergeCells count="2">
    <mergeCell ref="B1:C1"/>
    <mergeCell ref="AG2:AM2"/>
  </mergeCells>
  <conditionalFormatting sqref="AK4:AK24">
    <cfRule type="cellIs" dxfId="2" priority="1" operator="greaterThan">
      <formula>0</formula>
    </cfRule>
  </conditionalFormatting>
  <conditionalFormatting sqref="AK4:AK24">
    <cfRule type="cellIs" dxfId="3" priority="2" operator="lessThan">
      <formula>0</formula>
    </cfRule>
  </conditionalFormatting>
  <dataValidations>
    <dataValidation type="decimal" allowBlank="1" showDropDown="1" showInputMessage="1" showErrorMessage="1" prompt="Recuerde que debe ingresar un valor numérico o porcentaje" sqref="AG4:AG23">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1"/>
  </hyperlinks>
  <printOptions gridLines="1" horizontalCentered="1"/>
  <pageMargins bottom="0.75" footer="0.0" header="0.0" left="0.7" right="0.7" top="0.75"/>
  <pageSetup cellComments="atEnd" orientation="portrait" pageOrder="overThenDown"/>
  <drawing r:id="rId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5"/>
      <c r="B2" s="16" t="s">
        <v>31</v>
      </c>
      <c r="C2" s="17"/>
      <c r="D2" s="18" t="s">
        <v>32</v>
      </c>
    </row>
    <row r="3">
      <c r="A3" s="15"/>
      <c r="B3" s="16" t="s">
        <v>33</v>
      </c>
      <c r="C3" s="17"/>
      <c r="D3" s="17"/>
    </row>
    <row r="4">
      <c r="A4" s="15"/>
      <c r="B4" s="16" t="s">
        <v>34</v>
      </c>
      <c r="C4" s="19"/>
      <c r="D4" s="18" t="s">
        <v>35</v>
      </c>
    </row>
    <row r="5">
      <c r="D5" s="20"/>
    </row>
    <row r="6">
      <c r="B6" s="21">
        <v>44396.0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6" width="15.13"/>
    <col customWidth="1" hidden="1" min="37" max="37" width="60.5"/>
    <col customWidth="1" min="38" max="38" width="14.13"/>
    <col customWidth="1" min="39" max="39" width="66.63"/>
    <col customWidth="1" hidden="1" min="40" max="61" width="15.13"/>
    <col customWidth="1" min="62" max="62" width="2.63"/>
    <col customWidth="1" min="63" max="63" width="5.38"/>
    <col customWidth="1" min="64" max="64" width="19.0"/>
    <col customWidth="1" min="65" max="65" width="23.13"/>
    <col customWidth="1" min="66" max="66" width="13.63"/>
    <col customWidth="1" min="67" max="67" width="19.0"/>
    <col customWidth="1" min="68" max="68" width="13.63"/>
    <col customWidth="1" min="69" max="70" width="17.5"/>
    <col customWidth="1" min="71" max="74" width="13.63"/>
    <col customWidth="1" min="75" max="75" width="19.0"/>
  </cols>
  <sheetData>
    <row r="1" ht="30.75" customHeight="1">
      <c r="A1" s="22"/>
      <c r="B1" s="23"/>
      <c r="C1" s="23"/>
      <c r="D1" s="23"/>
      <c r="E1" s="23"/>
      <c r="F1" s="23"/>
      <c r="G1" s="23"/>
      <c r="H1" s="23"/>
      <c r="I1" s="23"/>
      <c r="J1" s="23"/>
      <c r="K1" s="23"/>
      <c r="L1" s="23"/>
      <c r="M1" s="23"/>
      <c r="N1" s="23"/>
      <c r="O1" s="23"/>
      <c r="P1" s="24"/>
      <c r="Q1" s="24"/>
      <c r="R1" s="24"/>
      <c r="S1" s="24"/>
      <c r="T1" s="24"/>
      <c r="U1" s="24"/>
      <c r="V1" s="24"/>
      <c r="W1" s="23"/>
      <c r="AG1" s="25" t="s">
        <v>36</v>
      </c>
      <c r="AH1" s="26"/>
      <c r="AI1" s="26"/>
      <c r="AJ1" s="26"/>
      <c r="AK1" s="26"/>
      <c r="AL1" s="26"/>
      <c r="AM1" s="26"/>
      <c r="AN1" s="27"/>
      <c r="AO1" s="28" t="s">
        <v>37</v>
      </c>
      <c r="AP1" s="29"/>
      <c r="AQ1" s="29"/>
      <c r="AR1" s="29"/>
      <c r="AS1" s="29"/>
      <c r="AT1" s="29"/>
      <c r="AU1" s="30"/>
      <c r="AV1" s="28" t="s">
        <v>36</v>
      </c>
      <c r="AW1" s="29"/>
      <c r="AX1" s="29"/>
      <c r="AY1" s="29"/>
      <c r="AZ1" s="29"/>
      <c r="BA1" s="29"/>
      <c r="BB1" s="30"/>
      <c r="BC1" s="28" t="s">
        <v>38</v>
      </c>
      <c r="BD1" s="29"/>
      <c r="BE1" s="29"/>
      <c r="BF1" s="29"/>
      <c r="BG1" s="29"/>
      <c r="BH1" s="29"/>
      <c r="BI1" s="31"/>
      <c r="BJ1" s="5"/>
      <c r="BL1" s="5"/>
      <c r="BM1" s="6" t="s">
        <v>24</v>
      </c>
      <c r="BS1" s="32" t="s">
        <v>39</v>
      </c>
      <c r="BT1" s="32">
        <v>-1.0</v>
      </c>
      <c r="BU1" s="32">
        <v>0.0</v>
      </c>
      <c r="BV1" s="32">
        <v>1.0</v>
      </c>
      <c r="BW1" s="5"/>
    </row>
    <row r="2" ht="33.75" customHeight="1">
      <c r="A2" s="33"/>
      <c r="B2" s="34" t="s">
        <v>40</v>
      </c>
      <c r="C2" s="35" t="s">
        <v>41</v>
      </c>
      <c r="D2" s="34" t="s">
        <v>42</v>
      </c>
      <c r="E2" s="34" t="s">
        <v>43</v>
      </c>
      <c r="F2" s="36" t="s">
        <v>44</v>
      </c>
      <c r="G2" s="37" t="s">
        <v>45</v>
      </c>
      <c r="H2" s="34" t="s">
        <v>46</v>
      </c>
      <c r="I2" s="37" t="s">
        <v>47</v>
      </c>
      <c r="J2" s="37" t="s">
        <v>48</v>
      </c>
      <c r="K2" s="37" t="s">
        <v>49</v>
      </c>
      <c r="L2" s="37" t="s">
        <v>50</v>
      </c>
      <c r="M2" s="34" t="s">
        <v>51</v>
      </c>
      <c r="N2" s="34" t="s">
        <v>52</v>
      </c>
      <c r="O2" s="37" t="s">
        <v>53</v>
      </c>
      <c r="P2" s="38" t="s">
        <v>54</v>
      </c>
      <c r="Q2" s="38" t="s">
        <v>55</v>
      </c>
      <c r="R2" s="38" t="s">
        <v>56</v>
      </c>
      <c r="S2" s="38" t="s">
        <v>57</v>
      </c>
      <c r="T2" s="38" t="s">
        <v>58</v>
      </c>
      <c r="U2" s="38" t="s">
        <v>59</v>
      </c>
      <c r="V2" s="38" t="s">
        <v>60</v>
      </c>
      <c r="W2" s="34" t="s">
        <v>61</v>
      </c>
      <c r="X2" s="35" t="s">
        <v>62</v>
      </c>
      <c r="Y2" s="35" t="s">
        <v>63</v>
      </c>
      <c r="Z2" s="35" t="s">
        <v>64</v>
      </c>
      <c r="AA2" s="35" t="s">
        <v>65</v>
      </c>
      <c r="AB2" s="35" t="s">
        <v>66</v>
      </c>
      <c r="AC2" s="35" t="s">
        <v>67</v>
      </c>
      <c r="AD2" s="35" t="s">
        <v>68</v>
      </c>
      <c r="AE2" s="35" t="s">
        <v>69</v>
      </c>
      <c r="AF2" s="35" t="s">
        <v>70</v>
      </c>
      <c r="AG2" s="34" t="s">
        <v>71</v>
      </c>
      <c r="AH2" s="35" t="s">
        <v>72</v>
      </c>
      <c r="AI2" s="35" t="s">
        <v>73</v>
      </c>
      <c r="AJ2" s="35" t="s">
        <v>74</v>
      </c>
      <c r="AK2" s="35"/>
      <c r="AL2" s="35" t="s">
        <v>75</v>
      </c>
      <c r="AM2" s="35" t="s">
        <v>76</v>
      </c>
      <c r="AN2" s="39" t="s">
        <v>77</v>
      </c>
      <c r="AO2" s="39" t="s">
        <v>78</v>
      </c>
      <c r="AP2" s="39" t="s">
        <v>72</v>
      </c>
      <c r="AQ2" s="39" t="s">
        <v>73</v>
      </c>
      <c r="AR2" s="39" t="s">
        <v>74</v>
      </c>
      <c r="AS2" s="39" t="s">
        <v>79</v>
      </c>
      <c r="AT2" s="39" t="s">
        <v>76</v>
      </c>
      <c r="AU2" s="39" t="s">
        <v>77</v>
      </c>
      <c r="AV2" s="39" t="s">
        <v>78</v>
      </c>
      <c r="AW2" s="39" t="s">
        <v>72</v>
      </c>
      <c r="AX2" s="39" t="s">
        <v>73</v>
      </c>
      <c r="AY2" s="39" t="s">
        <v>74</v>
      </c>
      <c r="AZ2" s="39" t="s">
        <v>79</v>
      </c>
      <c r="BA2" s="39" t="s">
        <v>76</v>
      </c>
      <c r="BB2" s="39" t="s">
        <v>77</v>
      </c>
      <c r="BC2" s="39" t="s">
        <v>78</v>
      </c>
      <c r="BD2" s="39" t="s">
        <v>72</v>
      </c>
      <c r="BE2" s="39" t="s">
        <v>73</v>
      </c>
      <c r="BF2" s="39" t="s">
        <v>74</v>
      </c>
      <c r="BG2" s="39" t="s">
        <v>79</v>
      </c>
      <c r="BH2" s="40" t="s">
        <v>76</v>
      </c>
      <c r="BI2" s="41" t="s">
        <v>77</v>
      </c>
      <c r="BJ2" s="5"/>
      <c r="BL2" s="5"/>
      <c r="BM2" s="7" t="s">
        <v>25</v>
      </c>
      <c r="BN2" s="8" t="s">
        <v>26</v>
      </c>
      <c r="BO2" s="8" t="s">
        <v>27</v>
      </c>
      <c r="BP2" s="8" t="s">
        <v>28</v>
      </c>
      <c r="BQ2" s="42" t="s">
        <v>80</v>
      </c>
      <c r="BR2" s="42" t="s">
        <v>81</v>
      </c>
      <c r="BS2" s="43" t="s">
        <v>82</v>
      </c>
      <c r="BT2" s="44" t="s">
        <v>83</v>
      </c>
      <c r="BU2" s="44" t="s">
        <v>84</v>
      </c>
      <c r="BV2" s="44" t="s">
        <v>85</v>
      </c>
      <c r="BW2" s="5"/>
    </row>
    <row r="3" ht="37.5" customHeight="1">
      <c r="A3" s="45"/>
      <c r="B3" s="46">
        <f>IFERROR(__xludf.DUMMYFUNCTION("{FILTER(Administrativa!B4:AJ17,NOT(ISBLANK(Administrativa!B4:B17)));
FILTER(Comunicaciones!B4:AJ12,NOT(ISBLANK(Comunicaciones!B4:B12)));
FILTER(A_Ciudadano!B4:AJ9,NOT(ISBLANK(A_Ciudadano!B4:B9)));
FILTER(Contratos!B4:AJ12,NOT(ISBLANK(Contratos!B4:B12)));
"&amp;"FILTER(C_Interno!B4:AJ6,NOT(ISBLANK(C_Interno!B4:B6)));
FILTER(DTAF!B4:AJ18,NOT(ISBLANK(DTAF!B4:B18)));
FILTER(CI_Disciplinario!B4:AJ8,NOT(ISBLANK(CI_Disciplinario!B4:B8)));
FILTER(DTIV!B4:AJ12,NOT(ISBLANK(DTIV!B4:B12)));
FILTER(Financiera!B4:AJ8,NOT(ISBL"&amp;"ANK(Financiera!B4:B8)));
FILTER(G_Documental!B4:AJ8,NOT(ISBLANK(G_Documental!B4:B8)));
FILTER(OA_Juridica!B4:AJ15,NOT(ISBLANK(OA_Juridica!B4:B15)));
FILTER(OGCI!B4:AJ17,NOT(ISBLANK(OGCI!B4:B17)));
FILTER('Planeación'!B4:AJ13,NOT(ISBLANK('Planeación'!B4:B1"&amp;"3)));
FILTER(Sistemas!B4:AJ10,NOT(ISBLANK(Sistemas!B4:B10)));
FILTER(T_Humano!B4:AJ9,NOT(ISBLANK(T_Humano!B4:B9)));
FILTER(R_Barrancabermeja!B4:AJ13,NOT(ISBLANK(R_Barrancabermeja!B4:B13)));
FILTER(R_Barranquilla!B4:AJ24,NOT(ISBLANK(R_Barranquilla!B4:B24))"&amp;");
FILTER(R_Bogota!B4:AJ15,NOT(ISBLANK(R_Bogota!B4:B15)));
FILTER(R_Cali!B4:AJ17,NOT(ISBLANK(R_Cali!B4:B17)));
FILTER(R_Magangue!B4:AJ11,NOT(ISBLANK(R_Magangue!B4:B11)));
FILTER(R_Medellin!B4:AJ15,NOT(ISBLANK(R_Medellin!B4:B15)));
FILTER(R_Villavicencio!B"&amp;"4:AJ13,NOT(ISBLANK(R_Villavicencio!B4:B13)))}"),1.0)</f>
        <v>1</v>
      </c>
      <c r="C3" s="47" t="str">
        <f>IFERROR(__xludf.DUMMYFUNCTION("""COMPUTED_VALUE"""),"Gestión administrativa")</f>
        <v>Gestión administrativa</v>
      </c>
      <c r="D3" s="48" t="str">
        <f>IFERROR(__xludf.DUMMYFUNCTION("""COMPUTED_VALUE"""),"Administrativa")</f>
        <v>Administrativa</v>
      </c>
      <c r="E3" s="48" t="str">
        <f>IFERROR(__xludf.DUMMYFUNCTION("""COMPUTED_VALUE"""),"Fortalecimiento de la capacidad de gestión de la autoridad nacional de acuicultura y pesca - aunap nacional")</f>
        <v>Fortalecimiento de la capacidad de gestión de la autoridad nacional de acuicultura y pesca - aunap nacional</v>
      </c>
      <c r="F3" s="49">
        <f>IFERROR(__xludf.DUMMYFUNCTION("""COMPUTED_VALUE"""),2.018011000241E12)</f>
        <v>2018011000241</v>
      </c>
      <c r="G3" s="50" t="str">
        <f>IFERROR(__xludf.DUMMYFUNCTION("""COMPUTED_VALUE"""),"Fortalecimiento")</f>
        <v>Fortalecimiento</v>
      </c>
      <c r="H3" s="48" t="str">
        <f>IFERROR(__xludf.DUMMYFUNCTION("""COMPUTED_VALUE"""),"Mejorar las condiciones en la infraestructura física de las sedes de la AUNAP")</f>
        <v>Mejorar las condiciones en la infraestructura física de las sedes de la AUNAP</v>
      </c>
      <c r="I3" s="48" t="str">
        <f>IFERROR(__xludf.DUMMYFUNCTION("""COMPUTED_VALUE"""),"Sedes adecuadas")</f>
        <v>Sedes adecuadas</v>
      </c>
      <c r="J3" s="48" t="str">
        <f>IFERROR(__xludf.DUMMYFUNCTION("""COMPUTED_VALUE"""),"Adecuar locativamente las sedes de la AUNAP, para ofrecer mejores condiciones a los servidores públicos y brindar una adecuada prestación del servicios")</f>
        <v>Adecuar locativamente las sedes de la AUNAP, para ofrecer mejores condiciones a los servidores públicos y brindar una adecuada prestación del servicios</v>
      </c>
      <c r="K3" s="51" t="str">
        <f>IFERROR(__xludf.DUMMYFUNCTION("""COMPUTED_VALUE"""),"Producto")</f>
        <v>Producto</v>
      </c>
      <c r="L3" s="51" t="str">
        <f>IFERROR(__xludf.DUMMYFUNCTION("""COMPUTED_VALUE"""),"Eficacia")</f>
        <v>Eficacia</v>
      </c>
      <c r="M3" s="51" t="str">
        <f>IFERROR(__xludf.DUMMYFUNCTION("""COMPUTED_VALUE"""),"Número")</f>
        <v>Número</v>
      </c>
      <c r="N3" s="52" t="str">
        <f>IFERROR(__xludf.DUMMYFUNCTION("""COMPUTED_VALUE"""),"Sedes adecuadas")</f>
        <v>Sedes adecuadas</v>
      </c>
      <c r="O3" s="53">
        <f>IFERROR(__xludf.DUMMYFUNCTION("""COMPUTED_VALUE"""),1.0)</f>
        <v>1</v>
      </c>
      <c r="P3" s="54">
        <f>IFERROR(__xludf.DUMMYFUNCTION("""COMPUTED_VALUE"""),1.0)</f>
        <v>1</v>
      </c>
      <c r="Q3" s="55" t="str">
        <f>IFERROR(__xludf.DUMMYFUNCTION("""COMPUTED_VALUE"""),"Hacer una intervencion de Adecuación a un bien inmueble de la AUNAP")</f>
        <v>Hacer una intervencion de Adecuación a un bien inmueble de la AUNAP</v>
      </c>
      <c r="R3" s="14" t="str">
        <f>IFERROR(__xludf.DUMMYFUNCTION("""COMPUTED_VALUE"""),"Anual")</f>
        <v>Anual</v>
      </c>
      <c r="S3" s="54">
        <f>IFERROR(__xludf.DUMMYFUNCTION("""COMPUTED_VALUE"""),0.0)</f>
        <v>0</v>
      </c>
      <c r="T3" s="54">
        <f>IFERROR(__xludf.DUMMYFUNCTION("""COMPUTED_VALUE"""),0.0)</f>
        <v>0</v>
      </c>
      <c r="U3" s="54">
        <f>IFERROR(__xludf.DUMMYFUNCTION("""COMPUTED_VALUE"""),0.0)</f>
        <v>0</v>
      </c>
      <c r="V3" s="54">
        <f>IFERROR(__xludf.DUMMYFUNCTION("""COMPUTED_VALUE"""),1.0)</f>
        <v>1</v>
      </c>
      <c r="W3" s="56" t="str">
        <f>IFERROR(__xludf.DUMMYFUNCTION("""COMPUTED_VALUE"""),"Coordinación Administrativa")</f>
        <v>Coordinación Administrativa</v>
      </c>
      <c r="X3" s="57" t="str">
        <f>IFERROR(__xludf.DUMMYFUNCTION("""COMPUTED_VALUE"""),"Gustavo Polo")</f>
        <v>Gustavo Polo</v>
      </c>
      <c r="Y3" s="47" t="str">
        <f>IFERROR(__xludf.DUMMYFUNCTION("""COMPUTED_VALUE"""),"Coordinador Administrativa")</f>
        <v>Coordinador Administrativa</v>
      </c>
      <c r="Z3" s="57" t="str">
        <f>IFERROR(__xludf.DUMMYFUNCTION("""COMPUTED_VALUE"""),"gustavo.polo@aunap.gov.co")</f>
        <v>gustavo.polo@aunap.gov.co</v>
      </c>
      <c r="AA3" s="47" t="str">
        <f>IFERROR(__xludf.DUMMYFUNCTION("""COMPUTED_VALUE"""),"Humanos, fisicos, financieros")</f>
        <v>Humanos, fisicos, financieros</v>
      </c>
      <c r="AB3" s="47" t="str">
        <f>IFERROR(__xludf.DUMMYFUNCTION("""COMPUTED_VALUE"""),"Plan Anual de Adquisiciones - PAA")</f>
        <v>Plan Anual de Adquisiciones - PAA</v>
      </c>
      <c r="AC3" s="47" t="str">
        <f>IFERROR(__xludf.DUMMYFUNCTION("""COMPUTED_VALUE"""),"Llegar con actividades de pesca y acuicultura a todas las regiones")</f>
        <v>Llegar con actividades de pesca y acuicultura a todas las regiones</v>
      </c>
      <c r="AD3" s="47" t="str">
        <f>IFERROR(__xludf.DUMMYFUNCTION("""COMPUTED_VALUE"""),"Direccionamiento Estratégico")</f>
        <v>Direccionamiento Estratégico</v>
      </c>
      <c r="AE3" s="47" t="str">
        <f>IFERROR(__xludf.DUMMYFUNCTION("""COMPUTED_VALUE"""),"Gestión Presupuestal y Eficiencia del Gasto Público")</f>
        <v>Gestión Presupuestal y Eficiencia del Gasto Público</v>
      </c>
      <c r="AF3" s="47" t="str">
        <f>IFERROR(__xludf.DUMMYFUNCTION("""COMPUTED_VALUE"""),"16. Paz, justicia e instituciones sólidas")</f>
        <v>16. Paz, justicia e instituciones sólidas</v>
      </c>
      <c r="AG3" s="58"/>
      <c r="AH3" s="59"/>
      <c r="AI3" s="59"/>
      <c r="AJ3" s="60">
        <f>IFERROR(__xludf.DUMMYFUNCTION("""COMPUTED_VALUE"""),44396.0)</f>
        <v>44396</v>
      </c>
      <c r="AK3" s="61" t="str">
        <f>IFERROR(IF((AL3+1)&lt;2,Alertas!$B$2&amp;TEXT(AL3,"0%")&amp;Alertas!$D$2, IF((AL3+1)=2,Alertas!$B$3,IF((AL3+1)&gt;2,Alertas!$B$4&amp;TEXT(AL3,"0%")&amp;Alertas!$D$4,AL3+1))),"Sin meta para el segundo trimestre")</f>
        <v>Sin meta para el segundo trimestre</v>
      </c>
      <c r="AL3" s="62" t="str">
        <f t="shared" ref="AL3:AL158" si="2">IF(AND(OR(NOT(ISBLANK(AG3)),NOT(ISBLANK(AH3)),NOT(ISBLANK(AI3))),OR(T3=0,T3="-")),IF(OR(AG3=0,AG3=""),"-",1+AG3),IF(T3=0,"-",AG3/T3))</f>
        <v>-</v>
      </c>
      <c r="AM3" s="61" t="str">
        <f t="shared" ref="AM3:AM158" si="3">IF(AND(ISBLANK(AG3),T3&lt;&gt;0),"No reporto ejecución. "&amp;CHAR(10),"")
&amp;IF(AND(ISBLANK(AH3),T3&lt;&gt;0),"No reporto justificación de avance. "&amp;CHAR(10),"")
&amp;IF(AND(ISBLANK(AI3),T3&lt;&gt;0),"No reporto evidencia."&amp;CHAR(10),"")
&amp;IF(ISBLANK(AL3),"vacio",AK3)&amp;"."</f>
        <v>Sin meta para el segundo trimestre.</v>
      </c>
      <c r="AN3" s="63"/>
      <c r="AO3" s="64"/>
      <c r="AP3" s="65"/>
      <c r="AQ3" s="65"/>
      <c r="AR3" s="66"/>
      <c r="AS3" s="67"/>
      <c r="AT3" s="68"/>
      <c r="AU3" s="63"/>
      <c r="AV3" s="64"/>
      <c r="AW3" s="69"/>
      <c r="AX3" s="65"/>
      <c r="AY3" s="70"/>
      <c r="AZ3" s="71"/>
      <c r="BA3" s="72"/>
      <c r="BB3" s="73"/>
      <c r="BC3" s="64"/>
      <c r="BD3" s="69"/>
      <c r="BE3" s="65"/>
      <c r="BF3" s="66"/>
      <c r="BG3" s="71"/>
      <c r="BH3" s="72"/>
      <c r="BI3" s="74"/>
      <c r="BK3" s="5" t="str">
        <f t="shared" ref="BK3:BK15" si="4">IFERROR(IF((AL3+1)&lt;2,"-1", IF((AL3+1)=2,"0",IF((AL3+1)&gt;2,"1",AL3+1))),"-")</f>
        <v>-</v>
      </c>
      <c r="BM3" s="75" t="s">
        <v>86</v>
      </c>
      <c r="BN3" s="10">
        <f t="shared" ref="BN3:BN24" si="5">COUNTIFS($D:$D,BM3)</f>
        <v>3</v>
      </c>
      <c r="BO3" s="11">
        <f t="shared" ref="BO3:BO24" si="6">COUNTIFS($D:$D,$BM3,$T:$T,"&gt;0")</f>
        <v>1</v>
      </c>
      <c r="BP3" s="11">
        <f t="shared" ref="BP3:BP24" si="7">COUNTIFS($D:$D,$BM3,$AG:$AG,"&gt;0")</f>
        <v>1</v>
      </c>
      <c r="BQ3" s="12">
        <f t="shared" ref="BQ3:BQ24" si="8">IFERROR(AVERAGEIFS($AL:$AL,$D:$D,$BM3),"-")</f>
        <v>4</v>
      </c>
      <c r="BR3" s="11" t="str">
        <f t="shared" ref="BR3:BR24" si="9">IFERROR(IF(BQ3+1&lt;1.9,"Reporte con Baja Ejecución",IF(BQ3+1&gt;2.1,"Reporte con Sobre Ejecución","Reporte Completo")),"-")</f>
        <v>Reporte con Sobre Ejecución</v>
      </c>
      <c r="BS3" s="76">
        <f t="shared" ref="BS3:BV3" si="1">COUNTIFS($D:$D,$BM3,$BK:$BK,BS$1)</f>
        <v>2</v>
      </c>
      <c r="BT3" s="76">
        <f t="shared" si="1"/>
        <v>0</v>
      </c>
      <c r="BU3" s="76">
        <f t="shared" si="1"/>
        <v>0</v>
      </c>
      <c r="BV3" s="76">
        <f t="shared" si="1"/>
        <v>1</v>
      </c>
    </row>
    <row r="4" ht="37.5" customHeight="1">
      <c r="A4" s="45"/>
      <c r="B4" s="46">
        <f>IFERROR(__xludf.DUMMYFUNCTION("""COMPUTED_VALUE"""),2.0)</f>
        <v>2</v>
      </c>
      <c r="C4" s="47" t="str">
        <f>IFERROR(__xludf.DUMMYFUNCTION("""COMPUTED_VALUE"""),"Gestión administrativa")</f>
        <v>Gestión administrativa</v>
      </c>
      <c r="D4" s="48" t="str">
        <f>IFERROR(__xludf.DUMMYFUNCTION("""COMPUTED_VALUE"""),"Administrativa")</f>
        <v>Administrativa</v>
      </c>
      <c r="E4" s="48" t="str">
        <f>IFERROR(__xludf.DUMMYFUNCTION("""COMPUTED_VALUE"""),"Fortalecimiento de la capacidad de gestión de la autoridad nacional de acuicultura y pesca - aunap nacional")</f>
        <v>Fortalecimiento de la capacidad de gestión de la autoridad nacional de acuicultura y pesca - aunap nacional</v>
      </c>
      <c r="F4" s="49">
        <f>IFERROR(__xludf.DUMMYFUNCTION("""COMPUTED_VALUE"""),2.018011000241E12)</f>
        <v>2018011000241</v>
      </c>
      <c r="G4" s="50" t="str">
        <f>IFERROR(__xludf.DUMMYFUNCTION("""COMPUTED_VALUE"""),"Fortalecimiento")</f>
        <v>Fortalecimiento</v>
      </c>
      <c r="H4" s="48" t="str">
        <f>IFERROR(__xludf.DUMMYFUNCTION("""COMPUTED_VALUE"""),"Mejorar las condiciones en la infraestructura física de las sedes de la AUNAP")</f>
        <v>Mejorar las condiciones en la infraestructura física de las sedes de la AUNAP</v>
      </c>
      <c r="I4" s="48" t="str">
        <f>IFERROR(__xludf.DUMMYFUNCTION("""COMPUTED_VALUE"""),"Sedes mantenidas")</f>
        <v>Sedes mantenidas</v>
      </c>
      <c r="J4" s="48" t="str">
        <f>IFERROR(__xludf.DUMMYFUNCTION("""COMPUTED_VALUE"""),"Realizar mantenimiento preventivo y correctivo a las sedes de AUNAP, para brindar una mejor prestación del servicios de atención a la ciudadanía")</f>
        <v>Realizar mantenimiento preventivo y correctivo a las sedes de AUNAP, para brindar una mejor prestación del servicios de atención a la ciudadanía</v>
      </c>
      <c r="K4" s="51" t="str">
        <f>IFERROR(__xludf.DUMMYFUNCTION("""COMPUTED_VALUE"""),"Producto")</f>
        <v>Producto</v>
      </c>
      <c r="L4" s="51" t="str">
        <f>IFERROR(__xludf.DUMMYFUNCTION("""COMPUTED_VALUE"""),"Eficacia")</f>
        <v>Eficacia</v>
      </c>
      <c r="M4" s="51" t="str">
        <f>IFERROR(__xludf.DUMMYFUNCTION("""COMPUTED_VALUE"""),"Número")</f>
        <v>Número</v>
      </c>
      <c r="N4" s="52" t="str">
        <f>IFERROR(__xludf.DUMMYFUNCTION("""COMPUTED_VALUE"""),"Sedes mantenidas")</f>
        <v>Sedes mantenidas</v>
      </c>
      <c r="O4" s="53">
        <f>IFERROR(__xludf.DUMMYFUNCTION("""COMPUTED_VALUE"""),1.0)</f>
        <v>1</v>
      </c>
      <c r="P4" s="54">
        <f>IFERROR(__xludf.DUMMYFUNCTION("""COMPUTED_VALUE"""),1.0)</f>
        <v>1</v>
      </c>
      <c r="Q4" s="55" t="str">
        <f>IFERROR(__xludf.DUMMYFUNCTION("""COMPUTED_VALUE"""),"Realizar un mantenimiento a un bien inmueble de la AUNAP")</f>
        <v>Realizar un mantenimiento a un bien inmueble de la AUNAP</v>
      </c>
      <c r="R4" s="14" t="str">
        <f>IFERROR(__xludf.DUMMYFUNCTION("""COMPUTED_VALUE"""),"Anual")</f>
        <v>Anual</v>
      </c>
      <c r="S4" s="54">
        <f>IFERROR(__xludf.DUMMYFUNCTION("""COMPUTED_VALUE"""),0.0)</f>
        <v>0</v>
      </c>
      <c r="T4" s="54">
        <f>IFERROR(__xludf.DUMMYFUNCTION("""COMPUTED_VALUE"""),0.0)</f>
        <v>0</v>
      </c>
      <c r="U4" s="54">
        <f>IFERROR(__xludf.DUMMYFUNCTION("""COMPUTED_VALUE"""),0.0)</f>
        <v>0</v>
      </c>
      <c r="V4" s="54">
        <f>IFERROR(__xludf.DUMMYFUNCTION("""COMPUTED_VALUE"""),1.0)</f>
        <v>1</v>
      </c>
      <c r="W4" s="56" t="str">
        <f>IFERROR(__xludf.DUMMYFUNCTION("""COMPUTED_VALUE"""),"Coordinación Administrativa")</f>
        <v>Coordinación Administrativa</v>
      </c>
      <c r="X4" s="57" t="str">
        <f>IFERROR(__xludf.DUMMYFUNCTION("""COMPUTED_VALUE"""),"Gustavo Polo")</f>
        <v>Gustavo Polo</v>
      </c>
      <c r="Y4" s="47" t="str">
        <f>IFERROR(__xludf.DUMMYFUNCTION("""COMPUTED_VALUE"""),"Coordinador Administrativa")</f>
        <v>Coordinador Administrativa</v>
      </c>
      <c r="Z4" s="57" t="str">
        <f>IFERROR(__xludf.DUMMYFUNCTION("""COMPUTED_VALUE"""),"gustavo.polo@aunap.gov.co")</f>
        <v>gustavo.polo@aunap.gov.co</v>
      </c>
      <c r="AA4" s="47" t="str">
        <f>IFERROR(__xludf.DUMMYFUNCTION("""COMPUTED_VALUE"""),"Humanos, fisicos, financieros")</f>
        <v>Humanos, fisicos, financieros</v>
      </c>
      <c r="AB4" s="47" t="str">
        <f>IFERROR(__xludf.DUMMYFUNCTION("""COMPUTED_VALUE"""),"Plan Anual de Adquisiciones - PAA")</f>
        <v>Plan Anual de Adquisiciones - PAA</v>
      </c>
      <c r="AC4" s="47" t="str">
        <f>IFERROR(__xludf.DUMMYFUNCTION("""COMPUTED_VALUE"""),"Llegar con actividades de pesca y acuicultura a todas las regiones")</f>
        <v>Llegar con actividades de pesca y acuicultura a todas las regiones</v>
      </c>
      <c r="AD4" s="47" t="str">
        <f>IFERROR(__xludf.DUMMYFUNCTION("""COMPUTED_VALUE"""),"Direccionamiento Estratégico")</f>
        <v>Direccionamiento Estratégico</v>
      </c>
      <c r="AE4" s="47" t="str">
        <f>IFERROR(__xludf.DUMMYFUNCTION("""COMPUTED_VALUE"""),"Gestión Presupuestal y Eficiencia del Gasto Público")</f>
        <v>Gestión Presupuestal y Eficiencia del Gasto Público</v>
      </c>
      <c r="AF4" s="47" t="str">
        <f>IFERROR(__xludf.DUMMYFUNCTION("""COMPUTED_VALUE"""),"16. Paz, justicia e instituciones sólidas")</f>
        <v>16. Paz, justicia e instituciones sólidas</v>
      </c>
      <c r="AG4" s="58"/>
      <c r="AH4" s="59"/>
      <c r="AI4" s="59"/>
      <c r="AJ4" s="60">
        <f>IFERROR(__xludf.DUMMYFUNCTION("""COMPUTED_VALUE"""),44396.0)</f>
        <v>44396</v>
      </c>
      <c r="AK4" s="61" t="str">
        <f>IFERROR(IF((AL4+1)&lt;2,Alertas!$B$2&amp;TEXT(AL4,"0%")&amp;Alertas!$D$2, IF((AL4+1)=2,Alertas!$B$3,IF((AL4+1)&gt;2,Alertas!$B$4&amp;TEXT(AL4,"0%")&amp;Alertas!$D$4,AL4+1))),"Sin meta para el segundo trimestre")</f>
        <v>Sin meta para el segundo trimestre</v>
      </c>
      <c r="AL4" s="62" t="str">
        <f t="shared" si="2"/>
        <v>-</v>
      </c>
      <c r="AM4" s="61" t="str">
        <f t="shared" si="3"/>
        <v>Sin meta para el segundo trimestre.</v>
      </c>
      <c r="AN4" s="63"/>
      <c r="AO4" s="64"/>
      <c r="AP4" s="65"/>
      <c r="AQ4" s="65"/>
      <c r="AR4" s="66"/>
      <c r="AS4" s="67"/>
      <c r="AT4" s="68"/>
      <c r="AU4" s="63"/>
      <c r="AV4" s="64"/>
      <c r="AW4" s="69"/>
      <c r="AX4" s="65"/>
      <c r="AY4" s="70"/>
      <c r="AZ4" s="71"/>
      <c r="BA4" s="72"/>
      <c r="BB4" s="73"/>
      <c r="BC4" s="64"/>
      <c r="BD4" s="69"/>
      <c r="BE4" s="65"/>
      <c r="BF4" s="66"/>
      <c r="BG4" s="71"/>
      <c r="BH4" s="72"/>
      <c r="BI4" s="74"/>
      <c r="BK4" s="5" t="str">
        <f t="shared" si="4"/>
        <v>-</v>
      </c>
      <c r="BM4" s="75" t="s">
        <v>87</v>
      </c>
      <c r="BN4" s="13">
        <f t="shared" si="5"/>
        <v>8</v>
      </c>
      <c r="BO4" s="11">
        <f t="shared" si="6"/>
        <v>7</v>
      </c>
      <c r="BP4" s="11">
        <f t="shared" si="7"/>
        <v>7</v>
      </c>
      <c r="BQ4" s="12">
        <f t="shared" si="8"/>
        <v>1</v>
      </c>
      <c r="BR4" s="11" t="str">
        <f t="shared" si="9"/>
        <v>Reporte Completo</v>
      </c>
      <c r="BS4" s="76">
        <f t="shared" ref="BS4:BV4" si="10">COUNTIFS($D:$D,$BM4,$BK:$BK,BS$1)</f>
        <v>1</v>
      </c>
      <c r="BT4" s="76">
        <f t="shared" si="10"/>
        <v>0</v>
      </c>
      <c r="BU4" s="76">
        <f t="shared" si="10"/>
        <v>7</v>
      </c>
      <c r="BV4" s="76">
        <f t="shared" si="10"/>
        <v>0</v>
      </c>
    </row>
    <row r="5" ht="37.5" customHeight="1">
      <c r="A5" s="45"/>
      <c r="B5" s="46">
        <f>IFERROR(__xludf.DUMMYFUNCTION("""COMPUTED_VALUE"""),3.0)</f>
        <v>3</v>
      </c>
      <c r="C5" s="47" t="str">
        <f>IFERROR(__xludf.DUMMYFUNCTION("""COMPUTED_VALUE"""),"Gestión administrativa")</f>
        <v>Gestión administrativa</v>
      </c>
      <c r="D5" s="48" t="str">
        <f>IFERROR(__xludf.DUMMYFUNCTION("""COMPUTED_VALUE"""),"Administrativa")</f>
        <v>Administrativa</v>
      </c>
      <c r="E5" s="48" t="str">
        <f>IFERROR(__xludf.DUMMYFUNCTION("""COMPUTED_VALUE"""),"Fortalecimiento de la capacidad de gestión de la autoridad nacional de acuicultura y pesca - aunap nacional")</f>
        <v>Fortalecimiento de la capacidad de gestión de la autoridad nacional de acuicultura y pesca - aunap nacional</v>
      </c>
      <c r="F5" s="49">
        <f>IFERROR(__xludf.DUMMYFUNCTION("""COMPUTED_VALUE"""),2.018011000241E12)</f>
        <v>2018011000241</v>
      </c>
      <c r="G5" s="50" t="str">
        <f>IFERROR(__xludf.DUMMYFUNCTION("""COMPUTED_VALUE"""),"Fortalecimiento")</f>
        <v>Fortalecimiento</v>
      </c>
      <c r="H5" s="48" t="str">
        <f>IFERROR(__xludf.DUMMYFUNCTION("""COMPUTED_VALUE"""),"Fortalecer los sistemas de gestión de la Entidad")</f>
        <v>Fortalecer los sistemas de gestión de la Entidad</v>
      </c>
      <c r="I5" s="48" t="str">
        <f>IFERROR(__xludf.DUMMYFUNCTION("""COMPUTED_VALUE"""),"Servicio de Implementación Sistemas de Gestión")</f>
        <v>Servicio de Implementación Sistemas de Gestión</v>
      </c>
      <c r="J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 s="51" t="str">
        <f>IFERROR(__xludf.DUMMYFUNCTION("""COMPUTED_VALUE"""),"Gestión del área")</f>
        <v>Gestión del área</v>
      </c>
      <c r="L5" s="51" t="str">
        <f>IFERROR(__xludf.DUMMYFUNCTION("""COMPUTED_VALUE"""),"Eficacia")</f>
        <v>Eficacia</v>
      </c>
      <c r="M5" s="51" t="str">
        <f>IFERROR(__xludf.DUMMYFUNCTION("""COMPUTED_VALUE"""),"Porcentaje")</f>
        <v>Porcentaje</v>
      </c>
      <c r="N5" s="52" t="str">
        <f>IFERROR(__xludf.DUMMYFUNCTION("""COMPUTED_VALUE"""),"Inventarios nivel central realizados / Total de inventarios nivel central programados")</f>
        <v>Inventarios nivel central realizados / Total de inventarios nivel central programados</v>
      </c>
      <c r="O5" s="53">
        <f>IFERROR(__xludf.DUMMYFUNCTION("""COMPUTED_VALUE"""),1.0)</f>
        <v>1</v>
      </c>
      <c r="P5" s="77">
        <f>IFERROR(__xludf.DUMMYFUNCTION("""COMPUTED_VALUE"""),1.0)</f>
        <v>1</v>
      </c>
      <c r="Q5" s="78" t="str">
        <f>IFERROR(__xludf.DUMMYFUNCTION("""COMPUTED_VALUE"""),"Hacer inventario de los bienes muebles a las oficinas Buenaventura, Magangue y Villavicencio")</f>
        <v>Hacer inventario de los bienes muebles a las oficinas Buenaventura, Magangue y Villavicencio</v>
      </c>
      <c r="R5" s="78" t="str">
        <f>IFERROR(__xludf.DUMMYFUNCTION("""COMPUTED_VALUE"""),"Anual")</f>
        <v>Anual</v>
      </c>
      <c r="S5" s="77">
        <f>IFERROR(__xludf.DUMMYFUNCTION("""COMPUTED_VALUE"""),0.0)</f>
        <v>0</v>
      </c>
      <c r="T5" s="77">
        <f>IFERROR(__xludf.DUMMYFUNCTION("""COMPUTED_VALUE"""),0.2)</f>
        <v>0.2</v>
      </c>
      <c r="U5" s="77">
        <f>IFERROR(__xludf.DUMMYFUNCTION("""COMPUTED_VALUE"""),0.3)</f>
        <v>0.3</v>
      </c>
      <c r="V5" s="77">
        <f>IFERROR(__xludf.DUMMYFUNCTION("""COMPUTED_VALUE"""),0.5)</f>
        <v>0.5</v>
      </c>
      <c r="W5" s="56" t="str">
        <f>IFERROR(__xludf.DUMMYFUNCTION("""COMPUTED_VALUE"""),"Coordinación Administrativa")</f>
        <v>Coordinación Administrativa</v>
      </c>
      <c r="X5" s="57" t="str">
        <f>IFERROR(__xludf.DUMMYFUNCTION("""COMPUTED_VALUE"""),"Gustavo Polo")</f>
        <v>Gustavo Polo</v>
      </c>
      <c r="Y5" s="47" t="str">
        <f>IFERROR(__xludf.DUMMYFUNCTION("""COMPUTED_VALUE"""),"Coordinador Administrativa")</f>
        <v>Coordinador Administrativa</v>
      </c>
      <c r="Z5" s="57" t="str">
        <f>IFERROR(__xludf.DUMMYFUNCTION("""COMPUTED_VALUE"""),"gustavo.polo@aunap.gov.co")</f>
        <v>gustavo.polo@aunap.gov.co</v>
      </c>
      <c r="AA5" s="47" t="str">
        <f>IFERROR(__xludf.DUMMYFUNCTION("""COMPUTED_VALUE"""),"Humanos, fisicos, financieros")</f>
        <v>Humanos, fisicos, financieros</v>
      </c>
      <c r="AB5" s="47" t="str">
        <f>IFERROR(__xludf.DUMMYFUNCTION("""COMPUTED_VALUE"""),"Plan Anual de Adquisiciones - PAA")</f>
        <v>Plan Anual de Adquisiciones - PAA</v>
      </c>
      <c r="AC5" s="47" t="str">
        <f>IFERROR(__xludf.DUMMYFUNCTION("""COMPUTED_VALUE"""),"Llegar con actividades de pesca y acuicultura a todas las regiones")</f>
        <v>Llegar con actividades de pesca y acuicultura a todas las regiones</v>
      </c>
      <c r="AD5" s="47" t="str">
        <f>IFERROR(__xludf.DUMMYFUNCTION("""COMPUTED_VALUE"""),"Direccionamiento Estratégico")</f>
        <v>Direccionamiento Estratégico</v>
      </c>
      <c r="AE5" s="47" t="str">
        <f>IFERROR(__xludf.DUMMYFUNCTION("""COMPUTED_VALUE"""),"Gestión Presupuestal y Eficiencia del Gasto Público")</f>
        <v>Gestión Presupuestal y Eficiencia del Gasto Público</v>
      </c>
      <c r="AF5" s="47" t="str">
        <f>IFERROR(__xludf.DUMMYFUNCTION("""COMPUTED_VALUE"""),"16. Paz, justicia e instituciones sólidas")</f>
        <v>16. Paz, justicia e instituciones sólidas</v>
      </c>
      <c r="AG5" s="79">
        <f>IFERROR(__xludf.DUMMYFUNCTION("""COMPUTED_VALUE"""),0.8)</f>
        <v>0.8</v>
      </c>
      <c r="AH5" s="59" t="str">
        <f>IFERROR(__xludf.DUMMYFUNCTION("""COMPUTED_VALUE"""),"Se realizaron los inventarios de las oficinas de Sede Central ")</f>
        <v>Se realizaron los inventarios de las oficinas de Sede Central </v>
      </c>
      <c r="AI5" s="80" t="str">
        <f>IFERROR(__xludf.DUMMYFUNCTION("""COMPUTED_VALUE"""),"https://drive.google.com/drive/folders/1_2x575-FBknilG0yMkXREc6CIJCzbBUo")</f>
        <v>https://drive.google.com/drive/folders/1_2x575-FBknilG0yMkXREc6CIJCzbBUo</v>
      </c>
      <c r="AJ5" s="60">
        <f>IFERROR(__xludf.DUMMYFUNCTION("""COMPUTED_VALUE"""),44396.0)</f>
        <v>44396</v>
      </c>
      <c r="AK5" s="61" t="str">
        <f>IFERROR(IF((AL5+1)&lt;2,Alertas!$B$2&amp;TEXT(AL5,"0%")&amp;Alertas!$D$2, IF((AL5+1)=2,Alertas!$B$3,IF((AL5+1)&gt;2,Alertas!$B$4&amp;TEXT(AL5,"0%")&amp;Alertas!$D$4,AL5+1))),"Sin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5" s="62">
        <f t="shared" si="2"/>
        <v>4</v>
      </c>
      <c r="AM5"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5" s="63"/>
      <c r="AO5" s="64"/>
      <c r="AP5" s="65"/>
      <c r="AQ5" s="65"/>
      <c r="AR5" s="66"/>
      <c r="AS5" s="67"/>
      <c r="AT5" s="68"/>
      <c r="AU5" s="63"/>
      <c r="AV5" s="64"/>
      <c r="AW5" s="69"/>
      <c r="AX5" s="65"/>
      <c r="AY5" s="70"/>
      <c r="AZ5" s="71"/>
      <c r="BA5" s="72"/>
      <c r="BB5" s="73"/>
      <c r="BC5" s="64"/>
      <c r="BD5" s="69"/>
      <c r="BE5" s="65"/>
      <c r="BF5" s="66"/>
      <c r="BG5" s="71"/>
      <c r="BH5" s="72"/>
      <c r="BI5" s="74"/>
      <c r="BK5" s="5" t="str">
        <f t="shared" si="4"/>
        <v>1</v>
      </c>
      <c r="BM5" s="75" t="s">
        <v>88</v>
      </c>
      <c r="BN5" s="13">
        <f t="shared" si="5"/>
        <v>3</v>
      </c>
      <c r="BO5" s="11">
        <f t="shared" si="6"/>
        <v>2</v>
      </c>
      <c r="BP5" s="11">
        <f t="shared" si="7"/>
        <v>2</v>
      </c>
      <c r="BQ5" s="12">
        <f t="shared" si="8"/>
        <v>1</v>
      </c>
      <c r="BR5" s="11" t="str">
        <f t="shared" si="9"/>
        <v>Reporte Completo</v>
      </c>
      <c r="BS5" s="76">
        <f t="shared" ref="BS5:BV5" si="11">COUNTIFS($D:$D,$BM5,$BK:$BK,BS$1)</f>
        <v>0</v>
      </c>
      <c r="BT5" s="76">
        <f t="shared" si="11"/>
        <v>0</v>
      </c>
      <c r="BU5" s="76">
        <f t="shared" si="11"/>
        <v>2</v>
      </c>
      <c r="BV5" s="76">
        <f t="shared" si="11"/>
        <v>0</v>
      </c>
    </row>
    <row r="6" ht="37.5" customHeight="1">
      <c r="A6" s="45"/>
      <c r="B6" s="46">
        <f>IFERROR(__xludf.DUMMYFUNCTION("""COMPUTED_VALUE"""),4.0)</f>
        <v>4</v>
      </c>
      <c r="C6" s="47" t="str">
        <f>IFERROR(__xludf.DUMMYFUNCTION("""COMPUTED_VALUE"""),"Comunicación estratégica")</f>
        <v>Comunicación estratégica</v>
      </c>
      <c r="D6" s="48" t="str">
        <f>IFERROR(__xludf.DUMMYFUNCTION("""COMPUTED_VALUE"""),"Comunicaciones")</f>
        <v>Comunicaciones</v>
      </c>
      <c r="E6" s="48" t="str">
        <f>IFERROR(__xludf.DUMMYFUNCTION("""COMPUTED_VALUE"""),"Fortalecimiento de la capacidad de gestión de la autoridad nacional de acuicultura y pesca - aunap nacional")</f>
        <v>Fortalecimiento de la capacidad de gestión de la autoridad nacional de acuicultura y pesca - aunap nacional</v>
      </c>
      <c r="F6" s="49">
        <f>IFERROR(__xludf.DUMMYFUNCTION("""COMPUTED_VALUE"""),2.018011000241E12)</f>
        <v>2018011000241</v>
      </c>
      <c r="G6" s="50" t="str">
        <f>IFERROR(__xludf.DUMMYFUNCTION("""COMPUTED_VALUE"""),"Fortalecimiento")</f>
        <v>Fortalecimiento</v>
      </c>
      <c r="H6" s="48" t="str">
        <f>IFERROR(__xludf.DUMMYFUNCTION("""COMPUTED_VALUE"""),"Fortalecer los sistemas de gestión de la Entidad")</f>
        <v>Fortalecer los sistemas de gestión de la Entidad</v>
      </c>
      <c r="I6" s="48" t="str">
        <f>IFERROR(__xludf.DUMMYFUNCTION("""COMPUTED_VALUE"""),"Servicio de Implementación Sistemas de Gestión")</f>
        <v>Servicio de Implementación Sistemas de Gestión</v>
      </c>
      <c r="J6"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6" s="51" t="str">
        <f>IFERROR(__xludf.DUMMYFUNCTION("""COMPUTED_VALUE"""),"Gestión del área")</f>
        <v>Gestión del área</v>
      </c>
      <c r="L6" s="51" t="str">
        <f>IFERROR(__xludf.DUMMYFUNCTION("""COMPUTED_VALUE"""),"Eficacia")</f>
        <v>Eficacia</v>
      </c>
      <c r="M6" s="51" t="str">
        <f>IFERROR(__xludf.DUMMYFUNCTION("""COMPUTED_VALUE"""),"Número")</f>
        <v>Número</v>
      </c>
      <c r="N6" s="52" t="str">
        <f>IFERROR(__xludf.DUMMYFUNCTION("""COMPUTED_VALUE"""),"Publicaciones de contenido institucional divulgado en alguno de los canales dispuestos por la entidad")</f>
        <v>Publicaciones de contenido institucional divulgado en alguno de los canales dispuestos por la entidad</v>
      </c>
      <c r="O6" s="53"/>
      <c r="P6" s="54">
        <f>IFERROR(__xludf.DUMMYFUNCTION("""COMPUTED_VALUE"""),22.0)</f>
        <v>22</v>
      </c>
      <c r="Q6" s="55" t="str">
        <f>IFERROR(__xludf.DUMMYFUNCTION("""COMPUTED_VALUE"""),"Editar, adaptar y divulgar contenido institucional de la gestión realizada por la entidad para su posicionamiento externo ante los diferentes grupos de interés")</f>
        <v>Editar, adaptar y divulgar contenido institucional de la gestión realizada por la entidad para su posicionamiento externo ante los diferentes grupos de interés</v>
      </c>
      <c r="R6" s="14" t="str">
        <f>IFERROR(__xludf.DUMMYFUNCTION("""COMPUTED_VALUE"""),"Mensual")</f>
        <v>Mensual</v>
      </c>
      <c r="S6" s="54">
        <f>IFERROR(__xludf.DUMMYFUNCTION("""COMPUTED_VALUE"""),4.0)</f>
        <v>4</v>
      </c>
      <c r="T6" s="54">
        <f>IFERROR(__xludf.DUMMYFUNCTION("""COMPUTED_VALUE"""),6.0)</f>
        <v>6</v>
      </c>
      <c r="U6" s="54">
        <f>IFERROR(__xludf.DUMMYFUNCTION("""COMPUTED_VALUE"""),6.0)</f>
        <v>6</v>
      </c>
      <c r="V6" s="54">
        <f>IFERROR(__xludf.DUMMYFUNCTION("""COMPUTED_VALUE"""),6.0)</f>
        <v>6</v>
      </c>
      <c r="W6" s="56" t="str">
        <f>IFERROR(__xludf.DUMMYFUNCTION("""COMPUTED_VALUE"""),"Comunicaciones")</f>
        <v>Comunicaciones</v>
      </c>
      <c r="X6" s="57" t="str">
        <f>IFERROR(__xludf.DUMMYFUNCTION("""COMPUTED_VALUE"""),"Leidy Hidalgo")</f>
        <v>Leidy Hidalgo</v>
      </c>
      <c r="Y6" s="47" t="str">
        <f>IFERROR(__xludf.DUMMYFUNCTION("""COMPUTED_VALUE"""),"Profesional Especializado")</f>
        <v>Profesional Especializado</v>
      </c>
      <c r="Z6" s="57" t="str">
        <f>IFERROR(__xludf.DUMMYFUNCTION("""COMPUTED_VALUE"""),"leidy.hidalgo@aunap.gov.co")</f>
        <v>leidy.hidalgo@aunap.gov.co</v>
      </c>
      <c r="AA6" s="47" t="str">
        <f>IFERROR(__xludf.DUMMYFUNCTION("""COMPUTED_VALUE"""),"Humanos, Físicos, Financieros, Tecnológicos")</f>
        <v>Humanos, Físicos, Financieros, Tecnológicos</v>
      </c>
      <c r="AB6" s="47" t="str">
        <f>IFERROR(__xludf.DUMMYFUNCTION("""COMPUTED_VALUE"""),"No asociado")</f>
        <v>No asociado</v>
      </c>
      <c r="AC6" s="47" t="str">
        <f>IFERROR(__xludf.DUMMYFUNCTION("""COMPUTED_VALUE"""),"Llegar con actividades de pesca y acuicultura a todas las regiones")</f>
        <v>Llegar con actividades de pesca y acuicultura a todas las regiones</v>
      </c>
      <c r="AD6" s="47" t="str">
        <f>IFERROR(__xludf.DUMMYFUNCTION("""COMPUTED_VALUE"""),"Información y comunicación")</f>
        <v>Información y comunicación</v>
      </c>
      <c r="AE6" s="47" t="str">
        <f>IFERROR(__xludf.DUMMYFUNCTION("""COMPUTED_VALUE"""),"Transparencia, acceso a la información pública y lucha contra la corrupción")</f>
        <v>Transparencia, acceso a la información pública y lucha contra la corrupción</v>
      </c>
      <c r="AF6" s="47" t="str">
        <f>IFERROR(__xludf.DUMMYFUNCTION("""COMPUTED_VALUE"""),"12. Producción y consumo responsable")</f>
        <v>12. Producción y consumo responsable</v>
      </c>
      <c r="AG6" s="58">
        <f>IFERROR(__xludf.DUMMYFUNCTION("""COMPUTED_VALUE"""),6.0)</f>
        <v>6</v>
      </c>
      <c r="AH6" s="59" t="str">
        <f>IFERROR(__xludf.DUMMYFUNCTION("""COMPUTED_VALUE"""),"El proceso de comunicaciones editó, adaptó y divulgó contenido institucional de la gestión realizada por la entidad para su posicionamiento externo ante los diferentes grupos de interé")</f>
        <v>El proceso de comunicaciones editó, adaptó y divulgó contenido institucional de la gestión realizada por la entidad para su posicionamiento externo ante los diferentes grupos de interé</v>
      </c>
      <c r="AI6" s="81" t="str">
        <f>IFERROR(__xludf.DUMMYFUNCTION("""COMPUTED_VALUE"""),"https://drive.google.com/file/d/1aWRkg2PfEs8PIovP-wTHfPenzRjfYPa9/view?usp=sharing")</f>
        <v>https://drive.google.com/file/d/1aWRkg2PfEs8PIovP-wTHfPenzRjfYPa9/view?usp=sharing</v>
      </c>
      <c r="AJ6" s="60">
        <f>IFERROR(__xludf.DUMMYFUNCTION("""COMPUTED_VALUE"""),44396.0)</f>
        <v>44396</v>
      </c>
      <c r="AK6" s="61" t="str">
        <f>IFERROR(IF((AL6+1)&lt;2,Alertas!$B$2&amp;TEXT(AL6,"0%")&amp;Alertas!$D$2, IF((AL6+1)=2,Alertas!$B$3,IF((AL6+1)&gt;2,Alertas!$B$4&amp;TEXT(AL6,"0%")&amp;Alertas!$D$4,AL6+1))),"Sin meta para el segundo trimestre")</f>
        <v>La ejecución de la meta registrada se encuentra acorde a la meta programada en la formulación del plan de acción para el segundo trimestre</v>
      </c>
      <c r="AL6" s="62">
        <f t="shared" si="2"/>
        <v>1</v>
      </c>
      <c r="AM6" s="61" t="str">
        <f t="shared" si="3"/>
        <v>La ejecución de la meta registrada se encuentra acorde a la meta programada en la formulación del plan de acción para el segundo trimestre.</v>
      </c>
      <c r="AN6" s="63"/>
      <c r="AO6" s="64"/>
      <c r="AP6" s="65"/>
      <c r="AQ6" s="65"/>
      <c r="AR6" s="66"/>
      <c r="AS6" s="67"/>
      <c r="AT6" s="68"/>
      <c r="AU6" s="63"/>
      <c r="AV6" s="64"/>
      <c r="AW6" s="69"/>
      <c r="AX6" s="65"/>
      <c r="AY6" s="70"/>
      <c r="AZ6" s="71"/>
      <c r="BA6" s="72"/>
      <c r="BB6" s="73"/>
      <c r="BC6" s="64"/>
      <c r="BD6" s="69"/>
      <c r="BE6" s="65"/>
      <c r="BF6" s="66"/>
      <c r="BG6" s="71"/>
      <c r="BH6" s="72"/>
      <c r="BI6" s="74"/>
      <c r="BK6" s="5" t="str">
        <f t="shared" si="4"/>
        <v>0</v>
      </c>
      <c r="BM6" s="75" t="s">
        <v>89</v>
      </c>
      <c r="BN6" s="13">
        <f t="shared" si="5"/>
        <v>7</v>
      </c>
      <c r="BO6" s="11">
        <f t="shared" si="6"/>
        <v>7</v>
      </c>
      <c r="BP6" s="11">
        <f t="shared" si="7"/>
        <v>7</v>
      </c>
      <c r="BQ6" s="12">
        <f t="shared" si="8"/>
        <v>0.989</v>
      </c>
      <c r="BR6" s="11" t="str">
        <f t="shared" si="9"/>
        <v>Reporte Completo</v>
      </c>
      <c r="BS6" s="76">
        <f t="shared" ref="BS6:BV6" si="12">COUNTIFS($D:$D,$BM6,$BK:$BK,BS$1)</f>
        <v>0</v>
      </c>
      <c r="BT6" s="76">
        <f t="shared" si="12"/>
        <v>1</v>
      </c>
      <c r="BU6" s="76">
        <f t="shared" si="12"/>
        <v>5</v>
      </c>
      <c r="BV6" s="76">
        <f t="shared" si="12"/>
        <v>0</v>
      </c>
    </row>
    <row r="7" ht="37.5" customHeight="1">
      <c r="A7" s="45"/>
      <c r="B7" s="46">
        <f>IFERROR(__xludf.DUMMYFUNCTION("""COMPUTED_VALUE"""),5.0)</f>
        <v>5</v>
      </c>
      <c r="C7" s="47" t="str">
        <f>IFERROR(__xludf.DUMMYFUNCTION("""COMPUTED_VALUE"""),"Comunicación estratégica")</f>
        <v>Comunicación estratégica</v>
      </c>
      <c r="D7" s="48" t="str">
        <f>IFERROR(__xludf.DUMMYFUNCTION("""COMPUTED_VALUE"""),"Comunicaciones")</f>
        <v>Comunicaciones</v>
      </c>
      <c r="E7" s="48" t="str">
        <f>IFERROR(__xludf.DUMMYFUNCTION("""COMPUTED_VALUE"""),"Fortalecimiento de la capacidad de gestión de la autoridad nacional de acuicultura y pesca - aunap nacional")</f>
        <v>Fortalecimiento de la capacidad de gestión de la autoridad nacional de acuicultura y pesca - aunap nacional</v>
      </c>
      <c r="F7" s="49">
        <f>IFERROR(__xludf.DUMMYFUNCTION("""COMPUTED_VALUE"""),2.018011000241E12)</f>
        <v>2018011000241</v>
      </c>
      <c r="G7" s="50" t="str">
        <f>IFERROR(__xludf.DUMMYFUNCTION("""COMPUTED_VALUE"""),"Fortalecimiento")</f>
        <v>Fortalecimiento</v>
      </c>
      <c r="H7" s="48" t="str">
        <f>IFERROR(__xludf.DUMMYFUNCTION("""COMPUTED_VALUE"""),"Fortalecer los sistemas de gestión de la Entidad")</f>
        <v>Fortalecer los sistemas de gestión de la Entidad</v>
      </c>
      <c r="I7" s="48" t="str">
        <f>IFERROR(__xludf.DUMMYFUNCTION("""COMPUTED_VALUE"""),"Servicio de Implementación Sistemas de Gestión")</f>
        <v>Servicio de Implementación Sistemas de Gestión</v>
      </c>
      <c r="J7"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7" s="51" t="str">
        <f>IFERROR(__xludf.DUMMYFUNCTION("""COMPUTED_VALUE"""),"Gestión del área")</f>
        <v>Gestión del área</v>
      </c>
      <c r="L7" s="51" t="str">
        <f>IFERROR(__xludf.DUMMYFUNCTION("""COMPUTED_VALUE"""),"Eficacia")</f>
        <v>Eficacia</v>
      </c>
      <c r="M7" s="51" t="str">
        <f>IFERROR(__xludf.DUMMYFUNCTION("""COMPUTED_VALUE"""),"Porcentaje")</f>
        <v>Porcentaje</v>
      </c>
      <c r="N7" s="52" t="str">
        <f>IFERROR(__xludf.DUMMYFUNCTION("""COMPUTED_VALUE"""),"Número de piezas de comunicación interna diseñadas y divulgadas/Número de piezas de comunicación interna solicitadas")</f>
        <v>Número de piezas de comunicación interna diseñadas y divulgadas/Número de piezas de comunicación interna solicitadas</v>
      </c>
      <c r="O7" s="53"/>
      <c r="P7" s="54">
        <f>IFERROR(__xludf.DUMMYFUNCTION("""COMPUTED_VALUE"""),1.0)</f>
        <v>1</v>
      </c>
      <c r="Q7" s="55" t="str">
        <f>IFERROR(__xludf.DUMMYFUNCTION("""COMPUTED_VALUE"""),"Diseñar y divulgar piezas de comunicación internas con base a la información allegada por las diferentes dependencias de la entidad")</f>
        <v>Diseñar y divulgar piezas de comunicación internas con base a la información allegada por las diferentes dependencias de la entidad</v>
      </c>
      <c r="R7" s="14" t="str">
        <f>IFERROR(__xludf.DUMMYFUNCTION("""COMPUTED_VALUE"""),"Mensual")</f>
        <v>Mensual</v>
      </c>
      <c r="S7" s="54">
        <f>IFERROR(__xludf.DUMMYFUNCTION("""COMPUTED_VALUE"""),1.0)</f>
        <v>1</v>
      </c>
      <c r="T7" s="54">
        <f>IFERROR(__xludf.DUMMYFUNCTION("""COMPUTED_VALUE"""),1.0)</f>
        <v>1</v>
      </c>
      <c r="U7" s="54">
        <f>IFERROR(__xludf.DUMMYFUNCTION("""COMPUTED_VALUE"""),1.0)</f>
        <v>1</v>
      </c>
      <c r="V7" s="54">
        <f>IFERROR(__xludf.DUMMYFUNCTION("""COMPUTED_VALUE"""),1.0)</f>
        <v>1</v>
      </c>
      <c r="W7" s="56" t="str">
        <f>IFERROR(__xludf.DUMMYFUNCTION("""COMPUTED_VALUE"""),"Comunicaciones")</f>
        <v>Comunicaciones</v>
      </c>
      <c r="X7" s="57" t="str">
        <f>IFERROR(__xludf.DUMMYFUNCTION("""COMPUTED_VALUE"""),"Leidy Hidalgo")</f>
        <v>Leidy Hidalgo</v>
      </c>
      <c r="Y7" s="47" t="str">
        <f>IFERROR(__xludf.DUMMYFUNCTION("""COMPUTED_VALUE"""),"Profesional Especializado")</f>
        <v>Profesional Especializado</v>
      </c>
      <c r="Z7" s="57" t="str">
        <f>IFERROR(__xludf.DUMMYFUNCTION("""COMPUTED_VALUE"""),"leidy.hidalgo@aunap.gov.co")</f>
        <v>leidy.hidalgo@aunap.gov.co</v>
      </c>
      <c r="AA7" s="47" t="str">
        <f>IFERROR(__xludf.DUMMYFUNCTION("""COMPUTED_VALUE"""),"Humanos, Físicos, Financieros, Tecnológicos")</f>
        <v>Humanos, Físicos, Financieros, Tecnológicos</v>
      </c>
      <c r="AB7" s="47" t="str">
        <f>IFERROR(__xludf.DUMMYFUNCTION("""COMPUTED_VALUE"""),"No asociado")</f>
        <v>No asociado</v>
      </c>
      <c r="AC7" s="47" t="str">
        <f>IFERROR(__xludf.DUMMYFUNCTION("""COMPUTED_VALUE"""),"Llegar con actividades de pesca y acuicultura a todas las regiones")</f>
        <v>Llegar con actividades de pesca y acuicultura a todas las regiones</v>
      </c>
      <c r="AD7" s="47" t="str">
        <f>IFERROR(__xludf.DUMMYFUNCTION("""COMPUTED_VALUE"""),"Información y comunicación")</f>
        <v>Información y comunicación</v>
      </c>
      <c r="AE7" s="47" t="str">
        <f>IFERROR(__xludf.DUMMYFUNCTION("""COMPUTED_VALUE"""),"Transparencia, acceso a la información pública y lucha contra la corrupción")</f>
        <v>Transparencia, acceso a la información pública y lucha contra la corrupción</v>
      </c>
      <c r="AF7" s="47" t="str">
        <f>IFERROR(__xludf.DUMMYFUNCTION("""COMPUTED_VALUE"""),"12. Producción y consumo responsable")</f>
        <v>12. Producción y consumo responsable</v>
      </c>
      <c r="AG7" s="79">
        <f>IFERROR(__xludf.DUMMYFUNCTION("""COMPUTED_VALUE"""),1.0)</f>
        <v>1</v>
      </c>
      <c r="AH7" s="59" t="str">
        <f>IFERROR(__xludf.DUMMYFUNCTION("""COMPUTED_VALUE"""),"El proceso de comunicaciones diseñó y divulgó piezas de comunicación internas con base a la información allegada por las diferentes dependencias de la entidad")</f>
        <v>El proceso de comunicaciones diseñó y divulgó piezas de comunicación internas con base a la información allegada por las diferentes dependencias de la entidad</v>
      </c>
      <c r="AI7" s="80" t="str">
        <f>IFERROR(__xludf.DUMMYFUNCTION("""COMPUTED_VALUE"""),"https://drive.google.com/file/d/1-JV0g_iGRPsUrAF2GmmKpXDK3mJmL184/view?usp=sharing")</f>
        <v>https://drive.google.com/file/d/1-JV0g_iGRPsUrAF2GmmKpXDK3mJmL184/view?usp=sharing</v>
      </c>
      <c r="AJ7" s="60">
        <f>IFERROR(__xludf.DUMMYFUNCTION("""COMPUTED_VALUE"""),44396.0)</f>
        <v>44396</v>
      </c>
      <c r="AK7" s="61" t="str">
        <f>IFERROR(IF((AL7+1)&lt;2,Alertas!$B$2&amp;TEXT(AL7,"0%")&amp;Alertas!$D$2, IF((AL7+1)=2,Alertas!$B$3,IF((AL7+1)&gt;2,Alertas!$B$4&amp;TEXT(AL7,"0%")&amp;Alertas!$D$4,AL7+1))),"Sin meta para el segundo trimestre")</f>
        <v>La ejecución de la meta registrada se encuentra acorde a la meta programada en la formulación del plan de acción para el segundo trimestre</v>
      </c>
      <c r="AL7" s="62">
        <f t="shared" si="2"/>
        <v>1</v>
      </c>
      <c r="AM7" s="61" t="str">
        <f t="shared" si="3"/>
        <v>La ejecución de la meta registrada se encuentra acorde a la meta programada en la formulación del plan de acción para el segundo trimestre.</v>
      </c>
      <c r="AN7" s="63"/>
      <c r="AO7" s="64"/>
      <c r="AP7" s="65"/>
      <c r="AQ7" s="65"/>
      <c r="AR7" s="66"/>
      <c r="AS7" s="67"/>
      <c r="AT7" s="68"/>
      <c r="AU7" s="63"/>
      <c r="AV7" s="64"/>
      <c r="AW7" s="69"/>
      <c r="AX7" s="65"/>
      <c r="AY7" s="70"/>
      <c r="AZ7" s="71"/>
      <c r="BA7" s="72"/>
      <c r="BB7" s="73"/>
      <c r="BC7" s="64"/>
      <c r="BD7" s="69"/>
      <c r="BE7" s="65"/>
      <c r="BF7" s="66"/>
      <c r="BG7" s="71"/>
      <c r="BH7" s="72"/>
      <c r="BI7" s="74"/>
      <c r="BK7" s="5" t="str">
        <f t="shared" si="4"/>
        <v>0</v>
      </c>
      <c r="BM7" s="75" t="s">
        <v>90</v>
      </c>
      <c r="BN7" s="13">
        <f t="shared" si="5"/>
        <v>1</v>
      </c>
      <c r="BO7" s="11">
        <f t="shared" si="6"/>
        <v>1</v>
      </c>
      <c r="BP7" s="11">
        <f t="shared" si="7"/>
        <v>1</v>
      </c>
      <c r="BQ7" s="12">
        <f t="shared" si="8"/>
        <v>1.225</v>
      </c>
      <c r="BR7" s="11" t="str">
        <f t="shared" si="9"/>
        <v>Reporte con Sobre Ejecución</v>
      </c>
      <c r="BS7" s="76">
        <f t="shared" ref="BS7:BV7" si="13">COUNTIFS($D:$D,$BM7,$BK:$BK,BS$1)</f>
        <v>0</v>
      </c>
      <c r="BT7" s="76">
        <f t="shared" si="13"/>
        <v>0</v>
      </c>
      <c r="BU7" s="76">
        <f t="shared" si="13"/>
        <v>0</v>
      </c>
      <c r="BV7" s="76">
        <f t="shared" si="13"/>
        <v>1</v>
      </c>
    </row>
    <row r="8" ht="37.5" customHeight="1">
      <c r="A8" s="45"/>
      <c r="B8" s="46">
        <f>IFERROR(__xludf.DUMMYFUNCTION("""COMPUTED_VALUE"""),6.0)</f>
        <v>6</v>
      </c>
      <c r="C8" s="47" t="str">
        <f>IFERROR(__xludf.DUMMYFUNCTION("""COMPUTED_VALUE"""),"Comunicación estratégica")</f>
        <v>Comunicación estratégica</v>
      </c>
      <c r="D8" s="48" t="str">
        <f>IFERROR(__xludf.DUMMYFUNCTION("""COMPUTED_VALUE"""),"Comunicaciones")</f>
        <v>Comunicaciones</v>
      </c>
      <c r="E8" s="48" t="str">
        <f>IFERROR(__xludf.DUMMYFUNCTION("""COMPUTED_VALUE"""),"Fortalecimiento de la capacidad de gestión de la autoridad nacional de acuicultura y pesca - aunap nacional")</f>
        <v>Fortalecimiento de la capacidad de gestión de la autoridad nacional de acuicultura y pesca - aunap nacional</v>
      </c>
      <c r="F8" s="49">
        <f>IFERROR(__xludf.DUMMYFUNCTION("""COMPUTED_VALUE"""),2.018011000241E12)</f>
        <v>2018011000241</v>
      </c>
      <c r="G8" s="50" t="str">
        <f>IFERROR(__xludf.DUMMYFUNCTION("""COMPUTED_VALUE"""),"Fortalecimiento")</f>
        <v>Fortalecimiento</v>
      </c>
      <c r="H8" s="48" t="str">
        <f>IFERROR(__xludf.DUMMYFUNCTION("""COMPUTED_VALUE"""),"Fortalecer los sistemas de gestión de la Entidad")</f>
        <v>Fortalecer los sistemas de gestión de la Entidad</v>
      </c>
      <c r="I8" s="48" t="str">
        <f>IFERROR(__xludf.DUMMYFUNCTION("""COMPUTED_VALUE"""),"Servicio de Implementación Sistemas de Gestión")</f>
        <v>Servicio de Implementación Sistemas de Gestión</v>
      </c>
      <c r="J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8" s="51" t="str">
        <f>IFERROR(__xludf.DUMMYFUNCTION("""COMPUTED_VALUE"""),"Gestión del área")</f>
        <v>Gestión del área</v>
      </c>
      <c r="L8" s="51" t="str">
        <f>IFERROR(__xludf.DUMMYFUNCTION("""COMPUTED_VALUE"""),"eficacia")</f>
        <v>eficacia</v>
      </c>
      <c r="M8" s="51" t="str">
        <f>IFERROR(__xludf.DUMMYFUNCTION("""COMPUTED_VALUE"""),"Número")</f>
        <v>Número</v>
      </c>
      <c r="N8" s="52" t="str">
        <f>IFERROR(__xludf.DUMMYFUNCTION("""COMPUTED_VALUE"""),"Productos comunicativos (revistas, newletter, infografias, etc)")</f>
        <v>Productos comunicativos (revistas, newletter, infografias, etc)</v>
      </c>
      <c r="O8" s="53"/>
      <c r="P8" s="54">
        <f>IFERROR(__xludf.DUMMYFUNCTION("""COMPUTED_VALUE"""),20.0)</f>
        <v>20</v>
      </c>
      <c r="Q8" s="55" t="str">
        <f>IFERROR(__xludf.DUMMYFUNCTION("""COMPUTED_VALUE"""),"Crear y divulgar productos comunicativos internos y externos que permitan ampliar la difusión de la informacion institucional a través de los diferentes canales de comunicación.")</f>
        <v>Crear y divulgar productos comunicativos internos y externos que permitan ampliar la difusión de la informacion institucional a través de los diferentes canales de comunicación.</v>
      </c>
      <c r="R8" s="14" t="str">
        <f>IFERROR(__xludf.DUMMYFUNCTION("""COMPUTED_VALUE"""),"Mensual")</f>
        <v>Mensual</v>
      </c>
      <c r="S8" s="54">
        <f>IFERROR(__xludf.DUMMYFUNCTION("""COMPUTED_VALUE"""),3.0)</f>
        <v>3</v>
      </c>
      <c r="T8" s="54">
        <f>IFERROR(__xludf.DUMMYFUNCTION("""COMPUTED_VALUE"""),6.0)</f>
        <v>6</v>
      </c>
      <c r="U8" s="54">
        <f>IFERROR(__xludf.DUMMYFUNCTION("""COMPUTED_VALUE"""),6.0)</f>
        <v>6</v>
      </c>
      <c r="V8" s="54">
        <f>IFERROR(__xludf.DUMMYFUNCTION("""COMPUTED_VALUE"""),5.0)</f>
        <v>5</v>
      </c>
      <c r="W8" s="56" t="str">
        <f>IFERROR(__xludf.DUMMYFUNCTION("""COMPUTED_VALUE"""),"Comunicaciones")</f>
        <v>Comunicaciones</v>
      </c>
      <c r="X8" s="57" t="str">
        <f>IFERROR(__xludf.DUMMYFUNCTION("""COMPUTED_VALUE"""),"Leidy Hidalgo")</f>
        <v>Leidy Hidalgo</v>
      </c>
      <c r="Y8" s="47" t="str">
        <f>IFERROR(__xludf.DUMMYFUNCTION("""COMPUTED_VALUE"""),"Profesional Especializado")</f>
        <v>Profesional Especializado</v>
      </c>
      <c r="Z8" s="57" t="str">
        <f>IFERROR(__xludf.DUMMYFUNCTION("""COMPUTED_VALUE"""),"leidy.hidalgo@aunap.gov.co")</f>
        <v>leidy.hidalgo@aunap.gov.co</v>
      </c>
      <c r="AA8" s="47" t="str">
        <f>IFERROR(__xludf.DUMMYFUNCTION("""COMPUTED_VALUE"""),"Humanos, Físicos, Financieros, Tecnológicos")</f>
        <v>Humanos, Físicos, Financieros, Tecnológicos</v>
      </c>
      <c r="AB8" s="47" t="str">
        <f>IFERROR(__xludf.DUMMYFUNCTION("""COMPUTED_VALUE"""),"No asociado")</f>
        <v>No asociado</v>
      </c>
      <c r="AC8" s="47" t="str">
        <f>IFERROR(__xludf.DUMMYFUNCTION("""COMPUTED_VALUE"""),"Llegar con actividades de pesca y acuicultura a todas las regiones")</f>
        <v>Llegar con actividades de pesca y acuicultura a todas las regiones</v>
      </c>
      <c r="AD8" s="47" t="str">
        <f>IFERROR(__xludf.DUMMYFUNCTION("""COMPUTED_VALUE"""),"Información y comunicación")</f>
        <v>Información y comunicación</v>
      </c>
      <c r="AE8" s="47" t="str">
        <f>IFERROR(__xludf.DUMMYFUNCTION("""COMPUTED_VALUE"""),"Transparencia, acceso a la información pública y lucha contra la corrupción")</f>
        <v>Transparencia, acceso a la información pública y lucha contra la corrupción</v>
      </c>
      <c r="AF8" s="47" t="str">
        <f>IFERROR(__xludf.DUMMYFUNCTION("""COMPUTED_VALUE"""),"12. Producción y consumo responsable")</f>
        <v>12. Producción y consumo responsable</v>
      </c>
      <c r="AG8" s="58">
        <f>IFERROR(__xludf.DUMMYFUNCTION("""COMPUTED_VALUE"""),6.0)</f>
        <v>6</v>
      </c>
      <c r="AH8" s="59" t="str">
        <f>IFERROR(__xludf.DUMMYFUNCTION("""COMPUTED_VALUE"""),"El proceso de comunicaciones creó y divulgo productos comunicativos internos y externos que permitan ampliar la difusión de la informacion institucional ")</f>
        <v>El proceso de comunicaciones creó y divulgo productos comunicativos internos y externos que permitan ampliar la difusión de la informacion institucional </v>
      </c>
      <c r="AI8" s="81" t="str">
        <f>IFERROR(__xludf.DUMMYFUNCTION("""COMPUTED_VALUE"""),"https://drive.google.com/file/d/14eKpi2S-qEF3SXDXruXMUSiGF8CyriFZ/view?usp=sharing")</f>
        <v>https://drive.google.com/file/d/14eKpi2S-qEF3SXDXruXMUSiGF8CyriFZ/view?usp=sharing</v>
      </c>
      <c r="AJ8" s="60">
        <f>IFERROR(__xludf.DUMMYFUNCTION("""COMPUTED_VALUE"""),44396.0)</f>
        <v>44396</v>
      </c>
      <c r="AK8" s="61" t="str">
        <f>IFERROR(IF((AL8+1)&lt;2,Alertas!$B$2&amp;TEXT(AL8,"0%")&amp;Alertas!$D$2, IF((AL8+1)=2,Alertas!$B$3,IF((AL8+1)&gt;2,Alertas!$B$4&amp;TEXT(AL8,"0%")&amp;Alertas!$D$4,AL8+1))),"Sin meta para el segundo trimestre")</f>
        <v>La ejecución de la meta registrada se encuentra acorde a la meta programada en la formulación del plan de acción para el segundo trimestre</v>
      </c>
      <c r="AL8" s="62">
        <f t="shared" si="2"/>
        <v>1</v>
      </c>
      <c r="AM8" s="61" t="str">
        <f t="shared" si="3"/>
        <v>La ejecución de la meta registrada se encuentra acorde a la meta programada en la formulación del plan de acción para el segundo trimestre.</v>
      </c>
      <c r="AN8" s="63"/>
      <c r="AO8" s="64"/>
      <c r="AP8" s="65"/>
      <c r="AQ8" s="65"/>
      <c r="AR8" s="66"/>
      <c r="AS8" s="67"/>
      <c r="AT8" s="68"/>
      <c r="AU8" s="63"/>
      <c r="AV8" s="64"/>
      <c r="AW8" s="69"/>
      <c r="AX8" s="65"/>
      <c r="AY8" s="70"/>
      <c r="AZ8" s="71"/>
      <c r="BA8" s="72"/>
      <c r="BB8" s="73"/>
      <c r="BC8" s="64"/>
      <c r="BD8" s="69"/>
      <c r="BE8" s="65"/>
      <c r="BF8" s="66"/>
      <c r="BG8" s="71"/>
      <c r="BH8" s="72"/>
      <c r="BI8" s="74"/>
      <c r="BK8" s="5" t="str">
        <f t="shared" si="4"/>
        <v>0</v>
      </c>
      <c r="BM8" s="75" t="s">
        <v>91</v>
      </c>
      <c r="BN8" s="13">
        <f t="shared" si="5"/>
        <v>13</v>
      </c>
      <c r="BO8" s="11">
        <f t="shared" si="6"/>
        <v>5</v>
      </c>
      <c r="BP8" s="11">
        <f t="shared" si="7"/>
        <v>5</v>
      </c>
      <c r="BQ8" s="12">
        <f t="shared" si="8"/>
        <v>1.209371429</v>
      </c>
      <c r="BR8" s="11" t="str">
        <f t="shared" si="9"/>
        <v>Reporte con Sobre Ejecución</v>
      </c>
      <c r="BS8" s="76">
        <f t="shared" ref="BS8:BV8" si="14">COUNTIFS($D:$D,$BM8,$BK:$BK,BS$1)</f>
        <v>8</v>
      </c>
      <c r="BT8" s="76">
        <f t="shared" si="14"/>
        <v>0</v>
      </c>
      <c r="BU8" s="76">
        <f t="shared" si="14"/>
        <v>4</v>
      </c>
      <c r="BV8" s="76">
        <f t="shared" si="14"/>
        <v>1</v>
      </c>
    </row>
    <row r="9" ht="37.5" customHeight="1">
      <c r="A9" s="45"/>
      <c r="B9" s="46">
        <f>IFERROR(__xludf.DUMMYFUNCTION("""COMPUTED_VALUE"""),7.0)</f>
        <v>7</v>
      </c>
      <c r="C9" s="47" t="str">
        <f>IFERROR(__xludf.DUMMYFUNCTION("""COMPUTED_VALUE"""),"Comunicación estratégica")</f>
        <v>Comunicación estratégica</v>
      </c>
      <c r="D9" s="48" t="str">
        <f>IFERROR(__xludf.DUMMYFUNCTION("""COMPUTED_VALUE"""),"Comunicaciones")</f>
        <v>Comunicaciones</v>
      </c>
      <c r="E9" s="48" t="str">
        <f>IFERROR(__xludf.DUMMYFUNCTION("""COMPUTED_VALUE"""),"Fortalecimiento de la capacidad de gestión de la autoridad nacional de acuicultura y pesca - aunap nacional")</f>
        <v>Fortalecimiento de la capacidad de gestión de la autoridad nacional de acuicultura y pesca - aunap nacional</v>
      </c>
      <c r="F9" s="49">
        <f>IFERROR(__xludf.DUMMYFUNCTION("""COMPUTED_VALUE"""),2.018011000241E12)</f>
        <v>2018011000241</v>
      </c>
      <c r="G9" s="50" t="str">
        <f>IFERROR(__xludf.DUMMYFUNCTION("""COMPUTED_VALUE"""),"Fortalecimiento")</f>
        <v>Fortalecimiento</v>
      </c>
      <c r="H9" s="48" t="str">
        <f>IFERROR(__xludf.DUMMYFUNCTION("""COMPUTED_VALUE"""),"Fortalecer los sistemas de gestión de la Entidad")</f>
        <v>Fortalecer los sistemas de gestión de la Entidad</v>
      </c>
      <c r="I9" s="48" t="str">
        <f>IFERROR(__xludf.DUMMYFUNCTION("""COMPUTED_VALUE"""),"Servicio de Implementación Sistemas de Gestión")</f>
        <v>Servicio de Implementación Sistemas de Gestión</v>
      </c>
      <c r="J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9" s="51" t="str">
        <f>IFERROR(__xludf.DUMMYFUNCTION("""COMPUTED_VALUE"""),"Gestión del área")</f>
        <v>Gestión del área</v>
      </c>
      <c r="L9" s="51" t="str">
        <f>IFERROR(__xludf.DUMMYFUNCTION("""COMPUTED_VALUE"""),"Eficacia")</f>
        <v>Eficacia</v>
      </c>
      <c r="M9" s="51" t="str">
        <f>IFERROR(__xludf.DUMMYFUNCTION("""COMPUTED_VALUE"""),"Número")</f>
        <v>Número</v>
      </c>
      <c r="N9" s="52" t="str">
        <f>IFERROR(__xludf.DUMMYFUNCTION("""COMPUTED_VALUE"""),"Publicaciones en medios Free Press información de gestión institucional para los diferentes grupos de interés")</f>
        <v>Publicaciones en medios Free Press información de gestión institucional para los diferentes grupos de interés</v>
      </c>
      <c r="O9" s="53"/>
      <c r="P9" s="54">
        <f>IFERROR(__xludf.DUMMYFUNCTION("""COMPUTED_VALUE"""),70.0)</f>
        <v>70</v>
      </c>
      <c r="Q9" s="55" t="str">
        <f>IFERROR(__xludf.DUMMYFUNCTION("""COMPUTED_VALUE"""),"Publicar en medios Free Press información de gestión institucional para los diferentes grupos de interés")</f>
        <v>Publicar en medios Free Press información de gestión institucional para los diferentes grupos de interés</v>
      </c>
      <c r="R9" s="14" t="str">
        <f>IFERROR(__xludf.DUMMYFUNCTION("""COMPUTED_VALUE"""),"Trimestral")</f>
        <v>Trimestral</v>
      </c>
      <c r="S9" s="54">
        <f>IFERROR(__xludf.DUMMYFUNCTION("""COMPUTED_VALUE"""),0.0)</f>
        <v>0</v>
      </c>
      <c r="T9" s="54">
        <f>IFERROR(__xludf.DUMMYFUNCTION("""COMPUTED_VALUE"""),20.0)</f>
        <v>20</v>
      </c>
      <c r="U9" s="54">
        <f>IFERROR(__xludf.DUMMYFUNCTION("""COMPUTED_VALUE"""),30.0)</f>
        <v>30</v>
      </c>
      <c r="V9" s="54">
        <f>IFERROR(__xludf.DUMMYFUNCTION("""COMPUTED_VALUE"""),20.0)</f>
        <v>20</v>
      </c>
      <c r="W9" s="56" t="str">
        <f>IFERROR(__xludf.DUMMYFUNCTION("""COMPUTED_VALUE"""),"Comunicaciones")</f>
        <v>Comunicaciones</v>
      </c>
      <c r="X9" s="57" t="str">
        <f>IFERROR(__xludf.DUMMYFUNCTION("""COMPUTED_VALUE"""),"Leidy Hidalgo")</f>
        <v>Leidy Hidalgo</v>
      </c>
      <c r="Y9" s="47" t="str">
        <f>IFERROR(__xludf.DUMMYFUNCTION("""COMPUTED_VALUE"""),"Profesional Especializado")</f>
        <v>Profesional Especializado</v>
      </c>
      <c r="Z9" s="57" t="str">
        <f>IFERROR(__xludf.DUMMYFUNCTION("""COMPUTED_VALUE"""),"leidy.hidalgo@aunap.gov.co")</f>
        <v>leidy.hidalgo@aunap.gov.co</v>
      </c>
      <c r="AA9" s="47" t="str">
        <f>IFERROR(__xludf.DUMMYFUNCTION("""COMPUTED_VALUE"""),"Humanos, Físicos, Financieros, Tecnológicos")</f>
        <v>Humanos, Físicos, Financieros, Tecnológicos</v>
      </c>
      <c r="AB9" s="47" t="str">
        <f>IFERROR(__xludf.DUMMYFUNCTION("""COMPUTED_VALUE"""),"No asociado")</f>
        <v>No asociado</v>
      </c>
      <c r="AC9" s="47" t="str">
        <f>IFERROR(__xludf.DUMMYFUNCTION("""COMPUTED_VALUE"""),"Llegar con actividades de pesca y acuicultura a todas las regiones")</f>
        <v>Llegar con actividades de pesca y acuicultura a todas las regiones</v>
      </c>
      <c r="AD9" s="47" t="str">
        <f>IFERROR(__xludf.DUMMYFUNCTION("""COMPUTED_VALUE"""),"Información y comunicación")</f>
        <v>Información y comunicación</v>
      </c>
      <c r="AE9" s="47" t="str">
        <f>IFERROR(__xludf.DUMMYFUNCTION("""COMPUTED_VALUE"""),"Transparencia, acceso a la información pública y lucha contra la corrupción")</f>
        <v>Transparencia, acceso a la información pública y lucha contra la corrupción</v>
      </c>
      <c r="AF9" s="47" t="str">
        <f>IFERROR(__xludf.DUMMYFUNCTION("""COMPUTED_VALUE"""),"12. Producción y consumo responsable")</f>
        <v>12. Producción y consumo responsable</v>
      </c>
      <c r="AG9" s="58">
        <f>IFERROR(__xludf.DUMMYFUNCTION("""COMPUTED_VALUE"""),20.0)</f>
        <v>20</v>
      </c>
      <c r="AH9" s="59" t="str">
        <f>IFERROR(__xludf.DUMMYFUNCTION("""COMPUTED_VALUE"""),"El proceso de comunicaciones publicó en medios Free Press información de gestión institucional para los diferentes grupos de interés")</f>
        <v>El proceso de comunicaciones publicó en medios Free Press información de gestión institucional para los diferentes grupos de interés</v>
      </c>
      <c r="AI9" s="80" t="str">
        <f>IFERROR(__xludf.DUMMYFUNCTION("""COMPUTED_VALUE"""),"https://drive.google.com/file/d/1MFlY0Slmf4uK70bNeJhTyrduyaW1XCX6/view?usp=sharing")</f>
        <v>https://drive.google.com/file/d/1MFlY0Slmf4uK70bNeJhTyrduyaW1XCX6/view?usp=sharing</v>
      </c>
      <c r="AJ9" s="60">
        <f>IFERROR(__xludf.DUMMYFUNCTION("""COMPUTED_VALUE"""),44396.0)</f>
        <v>44396</v>
      </c>
      <c r="AK9" s="61" t="str">
        <f>IFERROR(IF((AL9+1)&lt;2,Alertas!$B$2&amp;TEXT(AL9,"0%")&amp;Alertas!$D$2, IF((AL9+1)=2,Alertas!$B$3,IF((AL9+1)&gt;2,Alertas!$B$4&amp;TEXT(AL9,"0%")&amp;Alertas!$D$4,AL9+1))),"Sin meta para el segundo trimestre")</f>
        <v>La ejecución de la meta registrada se encuentra acorde a la meta programada en la formulación del plan de acción para el segundo trimestre</v>
      </c>
      <c r="AL9" s="62">
        <f t="shared" si="2"/>
        <v>1</v>
      </c>
      <c r="AM9" s="61" t="str">
        <f t="shared" si="3"/>
        <v>La ejecución de la meta registrada se encuentra acorde a la meta programada en la formulación del plan de acción para el segundo trimestre.</v>
      </c>
      <c r="AN9" s="63"/>
      <c r="AO9" s="64"/>
      <c r="AP9" s="65"/>
      <c r="AQ9" s="65"/>
      <c r="AR9" s="66"/>
      <c r="AS9" s="67"/>
      <c r="AT9" s="68"/>
      <c r="AU9" s="63"/>
      <c r="AV9" s="64"/>
      <c r="AW9" s="69"/>
      <c r="AX9" s="65"/>
      <c r="AY9" s="70"/>
      <c r="AZ9" s="71"/>
      <c r="BA9" s="72"/>
      <c r="BB9" s="73"/>
      <c r="BC9" s="64"/>
      <c r="BD9" s="69"/>
      <c r="BE9" s="65"/>
      <c r="BF9" s="66"/>
      <c r="BG9" s="71"/>
      <c r="BH9" s="72"/>
      <c r="BI9" s="74"/>
      <c r="BK9" s="5" t="str">
        <f t="shared" si="4"/>
        <v>0</v>
      </c>
      <c r="BM9" s="75" t="s">
        <v>92</v>
      </c>
      <c r="BN9" s="13">
        <f t="shared" si="5"/>
        <v>3</v>
      </c>
      <c r="BO9" s="11">
        <f t="shared" si="6"/>
        <v>2</v>
      </c>
      <c r="BP9" s="11">
        <f t="shared" si="7"/>
        <v>2</v>
      </c>
      <c r="BQ9" s="12">
        <f t="shared" si="8"/>
        <v>0.6333333333</v>
      </c>
      <c r="BR9" s="11" t="str">
        <f t="shared" si="9"/>
        <v>Reporte con Baja Ejecución</v>
      </c>
      <c r="BS9" s="76">
        <f t="shared" ref="BS9:BV9" si="15">COUNTIFS($D:$D,$BM9,$BK:$BK,BS$1)</f>
        <v>1</v>
      </c>
      <c r="BT9" s="76">
        <f t="shared" si="15"/>
        <v>2</v>
      </c>
      <c r="BU9" s="76">
        <f t="shared" si="15"/>
        <v>0</v>
      </c>
      <c r="BV9" s="76">
        <f t="shared" si="15"/>
        <v>0</v>
      </c>
    </row>
    <row r="10" ht="37.5" customHeight="1">
      <c r="A10" s="45"/>
      <c r="B10" s="46">
        <f>IFERROR(__xludf.DUMMYFUNCTION("""COMPUTED_VALUE"""),8.0)</f>
        <v>8</v>
      </c>
      <c r="C10" s="47" t="str">
        <f>IFERROR(__xludf.DUMMYFUNCTION("""COMPUTED_VALUE"""),"Comunicación estratégica")</f>
        <v>Comunicación estratégica</v>
      </c>
      <c r="D10" s="48" t="str">
        <f>IFERROR(__xludf.DUMMYFUNCTION("""COMPUTED_VALUE"""),"Comunicaciones")</f>
        <v>Comunicaciones</v>
      </c>
      <c r="E10" s="48" t="str">
        <f>IFERROR(__xludf.DUMMYFUNCTION("""COMPUTED_VALUE"""),"Fortalecimiento de la capacidad de gestión de la autoridad nacional de acuicultura y pesca - aunap nacional")</f>
        <v>Fortalecimiento de la capacidad de gestión de la autoridad nacional de acuicultura y pesca - aunap nacional</v>
      </c>
      <c r="F10" s="49">
        <f>IFERROR(__xludf.DUMMYFUNCTION("""COMPUTED_VALUE"""),2.018011000241E12)</f>
        <v>2018011000241</v>
      </c>
      <c r="G10" s="50" t="str">
        <f>IFERROR(__xludf.DUMMYFUNCTION("""COMPUTED_VALUE"""),"Fortalecimiento")</f>
        <v>Fortalecimiento</v>
      </c>
      <c r="H10" s="48" t="str">
        <f>IFERROR(__xludf.DUMMYFUNCTION("""COMPUTED_VALUE"""),"Fortalecer los sistemas de gestión de la Entidad")</f>
        <v>Fortalecer los sistemas de gestión de la Entidad</v>
      </c>
      <c r="I10" s="48" t="str">
        <f>IFERROR(__xludf.DUMMYFUNCTION("""COMPUTED_VALUE"""),"Servicio de Implementación Sistemas de Gestión")</f>
        <v>Servicio de Implementación Sistemas de Gestión</v>
      </c>
      <c r="J1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0" s="51" t="str">
        <f>IFERROR(__xludf.DUMMYFUNCTION("""COMPUTED_VALUE"""),"Gestión del área")</f>
        <v>Gestión del área</v>
      </c>
      <c r="L10" s="51" t="str">
        <f>IFERROR(__xludf.DUMMYFUNCTION("""COMPUTED_VALUE"""),"Eficacia")</f>
        <v>Eficacia</v>
      </c>
      <c r="M10" s="51" t="str">
        <f>IFERROR(__xludf.DUMMYFUNCTION("""COMPUTED_VALUE"""),"Número")</f>
        <v>Número</v>
      </c>
      <c r="N10" s="52" t="str">
        <f>IFERROR(__xludf.DUMMYFUNCTION("""COMPUTED_VALUE"""),"Acciones de comunicaciones en alianza con cooperantes, aliados y entiades adscritas")</f>
        <v>Acciones de comunicaciones en alianza con cooperantes, aliados y entiades adscritas</v>
      </c>
      <c r="O10" s="53"/>
      <c r="P10" s="54">
        <f>IFERROR(__xludf.DUMMYFUNCTION("""COMPUTED_VALUE"""),15.0)</f>
        <v>15</v>
      </c>
      <c r="Q10" s="55" t="str">
        <f>IFERROR(__xludf.DUMMYFUNCTION("""COMPUTED_VALUE"""),"Desarrolar acciones de comunicacion en alianza con cooperantes, aliados, entidades del sector para dar un mayor alcance de la gestion institucional")</f>
        <v>Desarrolar acciones de comunicacion en alianza con cooperantes, aliados, entidades del sector para dar un mayor alcance de la gestion institucional</v>
      </c>
      <c r="R10" s="14" t="str">
        <f>IFERROR(__xludf.DUMMYFUNCTION("""COMPUTED_VALUE"""),"Semestral")</f>
        <v>Semestral</v>
      </c>
      <c r="S10" s="54">
        <f>IFERROR(__xludf.DUMMYFUNCTION("""COMPUTED_VALUE"""),0.0)</f>
        <v>0</v>
      </c>
      <c r="T10" s="54">
        <f>IFERROR(__xludf.DUMMYFUNCTION("""COMPUTED_VALUE"""),3.0)</f>
        <v>3</v>
      </c>
      <c r="U10" s="54">
        <f>IFERROR(__xludf.DUMMYFUNCTION("""COMPUTED_VALUE"""),6.0)</f>
        <v>6</v>
      </c>
      <c r="V10" s="54">
        <f>IFERROR(__xludf.DUMMYFUNCTION("""COMPUTED_VALUE"""),6.0)</f>
        <v>6</v>
      </c>
      <c r="W10" s="56" t="str">
        <f>IFERROR(__xludf.DUMMYFUNCTION("""COMPUTED_VALUE"""),"Comunicaciones")</f>
        <v>Comunicaciones</v>
      </c>
      <c r="X10" s="57" t="str">
        <f>IFERROR(__xludf.DUMMYFUNCTION("""COMPUTED_VALUE"""),"Leidy Hidalgo")</f>
        <v>Leidy Hidalgo</v>
      </c>
      <c r="Y10" s="47" t="str">
        <f>IFERROR(__xludf.DUMMYFUNCTION("""COMPUTED_VALUE"""),"Profesional Especializado")</f>
        <v>Profesional Especializado</v>
      </c>
      <c r="Z10" s="57" t="str">
        <f>IFERROR(__xludf.DUMMYFUNCTION("""COMPUTED_VALUE"""),"leidy.hidalgo@aunap.gov.co")</f>
        <v>leidy.hidalgo@aunap.gov.co</v>
      </c>
      <c r="AA10" s="47" t="str">
        <f>IFERROR(__xludf.DUMMYFUNCTION("""COMPUTED_VALUE"""),"Humanos, Físicos, Financieros, Tecnológicos")</f>
        <v>Humanos, Físicos, Financieros, Tecnológicos</v>
      </c>
      <c r="AB10" s="47" t="str">
        <f>IFERROR(__xludf.DUMMYFUNCTION("""COMPUTED_VALUE"""),"No asociado")</f>
        <v>No asociado</v>
      </c>
      <c r="AC10" s="47" t="str">
        <f>IFERROR(__xludf.DUMMYFUNCTION("""COMPUTED_VALUE"""),"Llegar con actividades de pesca y acuicultura a todas las regiones")</f>
        <v>Llegar con actividades de pesca y acuicultura a todas las regiones</v>
      </c>
      <c r="AD10" s="47" t="str">
        <f>IFERROR(__xludf.DUMMYFUNCTION("""COMPUTED_VALUE"""),"Información y comunicación")</f>
        <v>Información y comunicación</v>
      </c>
      <c r="AE10" s="47" t="str">
        <f>IFERROR(__xludf.DUMMYFUNCTION("""COMPUTED_VALUE"""),"Planeación Institucional")</f>
        <v>Planeación Institucional</v>
      </c>
      <c r="AF10" s="47" t="str">
        <f>IFERROR(__xludf.DUMMYFUNCTION("""COMPUTED_VALUE"""),"12. Producción y consumo responsable")</f>
        <v>12. Producción y consumo responsable</v>
      </c>
      <c r="AG10" s="58">
        <f>IFERROR(__xludf.DUMMYFUNCTION("""COMPUTED_VALUE"""),3.0)</f>
        <v>3</v>
      </c>
      <c r="AH10" s="59" t="str">
        <f>IFERROR(__xludf.DUMMYFUNCTION("""COMPUTED_VALUE"""),"El proceso de comunicaciones realizo acciones de comunicacion con aliados, cooperantes y demas actores de sector. ")</f>
        <v>El proceso de comunicaciones realizo acciones de comunicacion con aliados, cooperantes y demas actores de sector. </v>
      </c>
      <c r="AI10" s="81" t="str">
        <f>IFERROR(__xludf.DUMMYFUNCTION("""COMPUTED_VALUE"""),"https://drive.google.com/file/d/14vJcw2gkfns2wU9il00poRzbo7KE7XCF/view?usp=sharing")</f>
        <v>https://drive.google.com/file/d/14vJcw2gkfns2wU9il00poRzbo7KE7XCF/view?usp=sharing</v>
      </c>
      <c r="AJ10" s="60">
        <f>IFERROR(__xludf.DUMMYFUNCTION("""COMPUTED_VALUE"""),44396.0)</f>
        <v>44396</v>
      </c>
      <c r="AK10" s="61" t="str">
        <f>IFERROR(IF((AL10+1)&lt;2,Alertas!$B$2&amp;TEXT(AL10,"0%")&amp;Alertas!$D$2, IF((AL10+1)=2,Alertas!$B$3,IF((AL10+1)&gt;2,Alertas!$B$4&amp;TEXT(AL10,"0%")&amp;Alertas!$D$4,AL10+1))),"Sin meta para el segundo trimestre")</f>
        <v>La ejecución de la meta registrada se encuentra acorde a la meta programada en la formulación del plan de acción para el segundo trimestre</v>
      </c>
      <c r="AL10" s="62">
        <f t="shared" si="2"/>
        <v>1</v>
      </c>
      <c r="AM10" s="61" t="str">
        <f t="shared" si="3"/>
        <v>La ejecución de la meta registrada se encuentra acorde a la meta programada en la formulación del plan de acción para el segundo trimestre.</v>
      </c>
      <c r="AN10" s="63"/>
      <c r="AO10" s="64"/>
      <c r="AP10" s="65"/>
      <c r="AQ10" s="65"/>
      <c r="AR10" s="66"/>
      <c r="AS10" s="67"/>
      <c r="AT10" s="68"/>
      <c r="AU10" s="63"/>
      <c r="AV10" s="64"/>
      <c r="AW10" s="69"/>
      <c r="AX10" s="65"/>
      <c r="AY10" s="70"/>
      <c r="AZ10" s="71"/>
      <c r="BA10" s="72"/>
      <c r="BB10" s="73"/>
      <c r="BC10" s="64"/>
      <c r="BD10" s="69"/>
      <c r="BE10" s="65"/>
      <c r="BF10" s="66"/>
      <c r="BG10" s="71"/>
      <c r="BH10" s="72"/>
      <c r="BI10" s="74"/>
      <c r="BK10" s="5" t="str">
        <f t="shared" si="4"/>
        <v>0</v>
      </c>
      <c r="BM10" s="75" t="s">
        <v>93</v>
      </c>
      <c r="BN10" s="13">
        <f t="shared" si="5"/>
        <v>7</v>
      </c>
      <c r="BO10" s="11">
        <f t="shared" si="6"/>
        <v>5</v>
      </c>
      <c r="BP10" s="11">
        <f t="shared" si="7"/>
        <v>5</v>
      </c>
      <c r="BQ10" s="12">
        <f t="shared" si="8"/>
        <v>1.039622642</v>
      </c>
      <c r="BR10" s="11" t="str">
        <f t="shared" si="9"/>
        <v>Reporte Completo</v>
      </c>
      <c r="BS10" s="76">
        <f t="shared" ref="BS10:BV10" si="16">COUNTIFS($D:$D,$BM10,$BK:$BK,BS$1)</f>
        <v>2</v>
      </c>
      <c r="BT10" s="76">
        <f t="shared" si="16"/>
        <v>0</v>
      </c>
      <c r="BU10" s="76">
        <f t="shared" si="16"/>
        <v>4</v>
      </c>
      <c r="BV10" s="76">
        <f t="shared" si="16"/>
        <v>1</v>
      </c>
    </row>
    <row r="11" ht="37.5" customHeight="1">
      <c r="A11" s="45"/>
      <c r="B11" s="46">
        <f>IFERROR(__xludf.DUMMYFUNCTION("""COMPUTED_VALUE"""),9.0)</f>
        <v>9</v>
      </c>
      <c r="C11" s="47" t="str">
        <f>IFERROR(__xludf.DUMMYFUNCTION("""COMPUTED_VALUE"""),"Comunicación estratégica")</f>
        <v>Comunicación estratégica</v>
      </c>
      <c r="D11" s="48" t="str">
        <f>IFERROR(__xludf.DUMMYFUNCTION("""COMPUTED_VALUE"""),"Comunicaciones")</f>
        <v>Comunicaciones</v>
      </c>
      <c r="E11" s="48" t="str">
        <f>IFERROR(__xludf.DUMMYFUNCTION("""COMPUTED_VALUE"""),"Fortalecimiento de la capacidad de gestión de la autoridad nacional de acuicultura y pesca - aunap nacional")</f>
        <v>Fortalecimiento de la capacidad de gestión de la autoridad nacional de acuicultura y pesca - aunap nacional</v>
      </c>
      <c r="F11" s="49">
        <f>IFERROR(__xludf.DUMMYFUNCTION("""COMPUTED_VALUE"""),2.018011000241E12)</f>
        <v>2018011000241</v>
      </c>
      <c r="G11" s="50" t="str">
        <f>IFERROR(__xludf.DUMMYFUNCTION("""COMPUTED_VALUE"""),"Fortalecimiento")</f>
        <v>Fortalecimiento</v>
      </c>
      <c r="H11" s="48" t="str">
        <f>IFERROR(__xludf.DUMMYFUNCTION("""COMPUTED_VALUE"""),"Fortalecer los sistemas de gestión de la Entidad")</f>
        <v>Fortalecer los sistemas de gestión de la Entidad</v>
      </c>
      <c r="I11" s="48" t="str">
        <f>IFERROR(__xludf.DUMMYFUNCTION("""COMPUTED_VALUE"""),"Servicio de Implementación Sistemas de Gestión")</f>
        <v>Servicio de Implementación Sistemas de Gestión</v>
      </c>
      <c r="J11"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1" s="51" t="str">
        <f>IFERROR(__xludf.DUMMYFUNCTION("""COMPUTED_VALUE"""),"Gestión del área")</f>
        <v>Gestión del área</v>
      </c>
      <c r="L11" s="51" t="str">
        <f>IFERROR(__xludf.DUMMYFUNCTION("""COMPUTED_VALUE"""),"Eficacia")</f>
        <v>Eficacia</v>
      </c>
      <c r="M11" s="51" t="str">
        <f>IFERROR(__xludf.DUMMYFUNCTION("""COMPUTED_VALUE"""),"Número")</f>
        <v>Número</v>
      </c>
      <c r="N11" s="52" t="str">
        <f>IFERROR(__xludf.DUMMYFUNCTION("""COMPUTED_VALUE"""),"Espacios de comunicaciòn desarrollados")</f>
        <v>Espacios de comunicaciòn desarrollados</v>
      </c>
      <c r="O11" s="53"/>
      <c r="P11" s="77">
        <f>IFERROR(__xludf.DUMMYFUNCTION("""COMPUTED_VALUE"""),15.0)</f>
        <v>15</v>
      </c>
      <c r="Q11" s="78" t="str">
        <f>IFERROR(__xludf.DUMMYFUNCTION("""COMPUTED_VALUE"""),"Realizar espacios de comunicacion que faciliten la interlocucion de la entidad con los diferentes usuarios para mejorar la gestión pública")</f>
        <v>Realizar espacios de comunicacion que faciliten la interlocucion de la entidad con los diferentes usuarios para mejorar la gestión pública</v>
      </c>
      <c r="R11" s="78" t="str">
        <f>IFERROR(__xludf.DUMMYFUNCTION("""COMPUTED_VALUE"""),"Trimestral")</f>
        <v>Trimestral</v>
      </c>
      <c r="S11" s="77">
        <f>IFERROR(__xludf.DUMMYFUNCTION("""COMPUTED_VALUE"""),0.0)</f>
        <v>0</v>
      </c>
      <c r="T11" s="77">
        <f>IFERROR(__xludf.DUMMYFUNCTION("""COMPUTED_VALUE"""),4.0)</f>
        <v>4</v>
      </c>
      <c r="U11" s="77">
        <f>IFERROR(__xludf.DUMMYFUNCTION("""COMPUTED_VALUE"""),7.0)</f>
        <v>7</v>
      </c>
      <c r="V11" s="77">
        <f>IFERROR(__xludf.DUMMYFUNCTION("""COMPUTED_VALUE"""),4.0)</f>
        <v>4</v>
      </c>
      <c r="W11" s="56" t="str">
        <f>IFERROR(__xludf.DUMMYFUNCTION("""COMPUTED_VALUE"""),"Comunicaciones")</f>
        <v>Comunicaciones</v>
      </c>
      <c r="X11" s="57" t="str">
        <f>IFERROR(__xludf.DUMMYFUNCTION("""COMPUTED_VALUE"""),"Leidy Hidalgo")</f>
        <v>Leidy Hidalgo</v>
      </c>
      <c r="Y11" s="47" t="str">
        <f>IFERROR(__xludf.DUMMYFUNCTION("""COMPUTED_VALUE"""),"Profesional Especializado")</f>
        <v>Profesional Especializado</v>
      </c>
      <c r="Z11" s="57" t="str">
        <f>IFERROR(__xludf.DUMMYFUNCTION("""COMPUTED_VALUE"""),"leidy.hidalgo@aunap.gov.co")</f>
        <v>leidy.hidalgo@aunap.gov.co</v>
      </c>
      <c r="AA11" s="47" t="str">
        <f>IFERROR(__xludf.DUMMYFUNCTION("""COMPUTED_VALUE"""),"Humanos, Físicos, Financieros, Tecnológicos")</f>
        <v>Humanos, Físicos, Financieros, Tecnológicos</v>
      </c>
      <c r="AB11" s="47" t="str">
        <f>IFERROR(__xludf.DUMMYFUNCTION("""COMPUTED_VALUE"""),"No asociado")</f>
        <v>No asociado</v>
      </c>
      <c r="AC11" s="47" t="str">
        <f>IFERROR(__xludf.DUMMYFUNCTION("""COMPUTED_VALUE"""),"Llegar con actividades de pesca y acuicultura a todas las regiones")</f>
        <v>Llegar con actividades de pesca y acuicultura a todas las regiones</v>
      </c>
      <c r="AD11" s="47" t="str">
        <f>IFERROR(__xludf.DUMMYFUNCTION("""COMPUTED_VALUE"""),"Información y comunicación")</f>
        <v>Información y comunicación</v>
      </c>
      <c r="AE11" s="47" t="str">
        <f>IFERROR(__xludf.DUMMYFUNCTION("""COMPUTED_VALUE"""),"Transparencia, acceso a la información pública y lucha contra la corrupción")</f>
        <v>Transparencia, acceso a la información pública y lucha contra la corrupción</v>
      </c>
      <c r="AF11" s="47" t="str">
        <f>IFERROR(__xludf.DUMMYFUNCTION("""COMPUTED_VALUE"""),"12. Producción y consumo responsable")</f>
        <v>12. Producción y consumo responsable</v>
      </c>
      <c r="AG11" s="79">
        <f>IFERROR(__xludf.DUMMYFUNCTION("""COMPUTED_VALUE"""),4.0)</f>
        <v>4</v>
      </c>
      <c r="AH11" s="59" t="str">
        <f>IFERROR(__xludf.DUMMYFUNCTION("""COMPUTED_VALUE"""),"Durante el II trimestre el proceso de comunicacion para facilitar la interlocucion de la entidad con los diferentes usuarios para mejorar la gestión pública:
")</f>
        <v>Durante el II trimestre el proceso de comunicacion para facilitar la interlocucion de la entidad con los diferentes usuarios para mejorar la gestión pública:
</v>
      </c>
      <c r="AI11" s="59" t="str">
        <f>IFERROR(__xludf.DUMMYFUNCTION("""COMPUTED_VALUE"""),"https://www.youtube.com/watch?v=Mk9Jrq1s6pM
https://www.youtube.com/watch?v=tXrP-5eKor0&amp;t=21s
https://www.youtube.com/watch?v=ybrFKVYb_9I")</f>
        <v>https://www.youtube.com/watch?v=Mk9Jrq1s6pM
https://www.youtube.com/watch?v=tXrP-5eKor0&amp;t=21s
https://www.youtube.com/watch?v=ybrFKVYb_9I</v>
      </c>
      <c r="AJ11" s="60">
        <f>IFERROR(__xludf.DUMMYFUNCTION("""COMPUTED_VALUE"""),44396.0)</f>
        <v>44396</v>
      </c>
      <c r="AK11" s="61" t="str">
        <f>IFERROR(IF((AL11+1)&lt;2,Alertas!$B$2&amp;TEXT(AL11,"0%")&amp;Alertas!$D$2, IF((AL11+1)=2,Alertas!$B$3,IF((AL11+1)&gt;2,Alertas!$B$4&amp;TEXT(AL11,"0%")&amp;Alertas!$D$4,AL11+1))),"Sin meta para el segundo trimestre")</f>
        <v>La ejecución de la meta registrada se encuentra acorde a la meta programada en la formulación del plan de acción para el segundo trimestre</v>
      </c>
      <c r="AL11" s="62">
        <f t="shared" si="2"/>
        <v>1</v>
      </c>
      <c r="AM11" s="61" t="str">
        <f t="shared" si="3"/>
        <v>La ejecución de la meta registrada se encuentra acorde a la meta programada en la formulación del plan de acción para el segundo trimestre.</v>
      </c>
      <c r="AN11" s="63"/>
      <c r="AO11" s="64"/>
      <c r="AP11" s="65"/>
      <c r="AQ11" s="65"/>
      <c r="AR11" s="66"/>
      <c r="AS11" s="67"/>
      <c r="AT11" s="68"/>
      <c r="AU11" s="63"/>
      <c r="AV11" s="64"/>
      <c r="AW11" s="69"/>
      <c r="AX11" s="65"/>
      <c r="AY11" s="70"/>
      <c r="AZ11" s="71"/>
      <c r="BA11" s="72"/>
      <c r="BB11" s="73"/>
      <c r="BC11" s="64"/>
      <c r="BD11" s="69"/>
      <c r="BE11" s="65"/>
      <c r="BF11" s="66"/>
      <c r="BG11" s="71"/>
      <c r="BH11" s="72"/>
      <c r="BI11" s="74"/>
      <c r="BK11" s="5" t="str">
        <f t="shared" si="4"/>
        <v>0</v>
      </c>
      <c r="BM11" s="75" t="s">
        <v>94</v>
      </c>
      <c r="BN11" s="13">
        <f t="shared" si="5"/>
        <v>3</v>
      </c>
      <c r="BO11" s="11">
        <f t="shared" si="6"/>
        <v>3</v>
      </c>
      <c r="BP11" s="11">
        <f t="shared" si="7"/>
        <v>3</v>
      </c>
      <c r="BQ11" s="12">
        <f t="shared" si="8"/>
        <v>1</v>
      </c>
      <c r="BR11" s="11" t="str">
        <f t="shared" si="9"/>
        <v>Reporte Completo</v>
      </c>
      <c r="BS11" s="76">
        <f t="shared" ref="BS11:BV11" si="17">COUNTIFS($D:$D,$BM11,$BK:$BK,BS$1)</f>
        <v>0</v>
      </c>
      <c r="BT11" s="76">
        <f t="shared" si="17"/>
        <v>0</v>
      </c>
      <c r="BU11" s="76">
        <f t="shared" si="17"/>
        <v>3</v>
      </c>
      <c r="BV11" s="76">
        <f t="shared" si="17"/>
        <v>0</v>
      </c>
    </row>
    <row r="12" ht="37.5" customHeight="1">
      <c r="A12" s="45"/>
      <c r="B12" s="46">
        <f>IFERROR(__xludf.DUMMYFUNCTION("""COMPUTED_VALUE"""),10.0)</f>
        <v>10</v>
      </c>
      <c r="C12" s="47" t="str">
        <f>IFERROR(__xludf.DUMMYFUNCTION("""COMPUTED_VALUE"""),"Comunicación estratégica")</f>
        <v>Comunicación estratégica</v>
      </c>
      <c r="D12" s="48" t="str">
        <f>IFERROR(__xludf.DUMMYFUNCTION("""COMPUTED_VALUE"""),"Comunicaciones")</f>
        <v>Comunicaciones</v>
      </c>
      <c r="E12" s="48" t="str">
        <f>IFERROR(__xludf.DUMMYFUNCTION("""COMPUTED_VALUE"""),"Fortalecimiento de la capacidad de gestión de la autoridad nacional de acuicultura y pesca - aunap nacional")</f>
        <v>Fortalecimiento de la capacidad de gestión de la autoridad nacional de acuicultura y pesca - aunap nacional</v>
      </c>
      <c r="F12" s="49">
        <f>IFERROR(__xludf.DUMMYFUNCTION("""COMPUTED_VALUE"""),2.018011000241E12)</f>
        <v>2018011000241</v>
      </c>
      <c r="G12" s="50" t="str">
        <f>IFERROR(__xludf.DUMMYFUNCTION("""COMPUTED_VALUE"""),"Fortalecimiento")</f>
        <v>Fortalecimiento</v>
      </c>
      <c r="H12" s="48" t="str">
        <f>IFERROR(__xludf.DUMMYFUNCTION("""COMPUTED_VALUE"""),"Fortalecer los sistemas de gestión de la Entidad")</f>
        <v>Fortalecer los sistemas de gestión de la Entidad</v>
      </c>
      <c r="I12" s="48" t="str">
        <f>IFERROR(__xludf.DUMMYFUNCTION("""COMPUTED_VALUE"""),"Servicio de Implementación Sistemas de Gestión")</f>
        <v>Servicio de Implementación Sistemas de Gestión</v>
      </c>
      <c r="J12"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2" s="51" t="str">
        <f>IFERROR(__xludf.DUMMYFUNCTION("""COMPUTED_VALUE"""),"Gestión del área")</f>
        <v>Gestión del área</v>
      </c>
      <c r="L12" s="51" t="str">
        <f>IFERROR(__xludf.DUMMYFUNCTION("""COMPUTED_VALUE"""),"Eficacia")</f>
        <v>Eficacia</v>
      </c>
      <c r="M12" s="51" t="str">
        <f>IFERROR(__xludf.DUMMYFUNCTION("""COMPUTED_VALUE"""),"Número")</f>
        <v>Número</v>
      </c>
      <c r="N12" s="52" t="str">
        <f>IFERROR(__xludf.DUMMYFUNCTION("""COMPUTED_VALUE"""),"Documento con el componente de comunicaciones para la estrategia de rendición de cuentas.")</f>
        <v>Documento con el componente de comunicaciones para la estrategia de rendición de cuentas.</v>
      </c>
      <c r="O12" s="53"/>
      <c r="P12" s="54">
        <f>IFERROR(__xludf.DUMMYFUNCTION("""COMPUTED_VALUE"""),1.0)</f>
        <v>1</v>
      </c>
      <c r="Q12" s="55" t="str">
        <f>IFERROR(__xludf.DUMMYFUNCTION("""COMPUTED_VALUE"""),"Elaborar el componente de comunicaciones para la estrategia de rendición de cuentas adoptada por la entidad.")</f>
        <v>Elaborar el componente de comunicaciones para la estrategia de rendición de cuentas adoptada por la entidad.</v>
      </c>
      <c r="R12" s="14" t="str">
        <f>IFERROR(__xludf.DUMMYFUNCTION("""COMPUTED_VALUE"""),"Semestral")</f>
        <v>Semestral</v>
      </c>
      <c r="S12" s="54">
        <f>IFERROR(__xludf.DUMMYFUNCTION("""COMPUTED_VALUE"""),0.0)</f>
        <v>0</v>
      </c>
      <c r="T12" s="54">
        <f>IFERROR(__xludf.DUMMYFUNCTION("""COMPUTED_VALUE"""),1.0)</f>
        <v>1</v>
      </c>
      <c r="U12" s="54">
        <f>IFERROR(__xludf.DUMMYFUNCTION("""COMPUTED_VALUE"""),0.0)</f>
        <v>0</v>
      </c>
      <c r="V12" s="54">
        <f>IFERROR(__xludf.DUMMYFUNCTION("""COMPUTED_VALUE"""),0.0)</f>
        <v>0</v>
      </c>
      <c r="W12" s="56" t="str">
        <f>IFERROR(__xludf.DUMMYFUNCTION("""COMPUTED_VALUE"""),"Comunicaciones")</f>
        <v>Comunicaciones</v>
      </c>
      <c r="X12" s="57" t="str">
        <f>IFERROR(__xludf.DUMMYFUNCTION("""COMPUTED_VALUE"""),"Leidy Hidalgo")</f>
        <v>Leidy Hidalgo</v>
      </c>
      <c r="Y12" s="47" t="str">
        <f>IFERROR(__xludf.DUMMYFUNCTION("""COMPUTED_VALUE"""),"Profesional Especializado")</f>
        <v>Profesional Especializado</v>
      </c>
      <c r="Z12" s="57" t="str">
        <f>IFERROR(__xludf.DUMMYFUNCTION("""COMPUTED_VALUE"""),"leidy.hidalgo@aunap.gov.co")</f>
        <v>leidy.hidalgo@aunap.gov.co</v>
      </c>
      <c r="AA12" s="47" t="str">
        <f>IFERROR(__xludf.DUMMYFUNCTION("""COMPUTED_VALUE"""),"Humanos, Físicos, Financieros, Tecnológicos")</f>
        <v>Humanos, Físicos, Financieros, Tecnológicos</v>
      </c>
      <c r="AB12" s="47" t="str">
        <f>IFERROR(__xludf.DUMMYFUNCTION("""COMPUTED_VALUE"""),"Plan Anticorrupción y de Atención al Ciudadano - PAAC")</f>
        <v>Plan Anticorrupción y de Atención al Ciudadano - PAAC</v>
      </c>
      <c r="AC12" s="47" t="str">
        <f>IFERROR(__xludf.DUMMYFUNCTION("""COMPUTED_VALUE"""),"Llegar con actividades de pesca y acuicultura a todas las regiones")</f>
        <v>Llegar con actividades de pesca y acuicultura a todas las regiones</v>
      </c>
      <c r="AD12" s="47" t="str">
        <f>IFERROR(__xludf.DUMMYFUNCTION("""COMPUTED_VALUE"""),"Información y comunicación")</f>
        <v>Información y comunicación</v>
      </c>
      <c r="AE12" s="47" t="str">
        <f>IFERROR(__xludf.DUMMYFUNCTION("""COMPUTED_VALUE"""),"Transparencia, acceso a la información pública y lucha contra la corrupción")</f>
        <v>Transparencia, acceso a la información pública y lucha contra la corrupción</v>
      </c>
      <c r="AF12" s="47" t="str">
        <f>IFERROR(__xludf.DUMMYFUNCTION("""COMPUTED_VALUE"""),"12. Producción y consumo responsable")</f>
        <v>12. Producción y consumo responsable</v>
      </c>
      <c r="AG12" s="79">
        <f>IFERROR(__xludf.DUMMYFUNCTION("""COMPUTED_VALUE"""),1.0)</f>
        <v>1</v>
      </c>
      <c r="AH12" s="59" t="str">
        <f>IFERROR(__xludf.DUMMYFUNCTION("""COMPUTED_VALUE"""),"Durante el II trimestre el proceso de comunicaciones elaboro el componente de comunicaciones de la estrategia de Rendicion de Cuentas. 
")</f>
        <v>Durante el II trimestre el proceso de comunicaciones elaboro el componente de comunicaciones de la estrategia de Rendicion de Cuentas. 
</v>
      </c>
      <c r="AI12" s="59" t="str">
        <f>IFERROR(__xludf.DUMMYFUNCTION("""COMPUTED_VALUE"""),"Documento: https://drive.google.com/file/d/17m4PN97tb177OsQ6bXzGoUwXdET_CC8n/view
Publicación:
https://www.aunap.gov.co/index.php/atencion-al-ciudadano/rendicion-de-cuentas
")</f>
        <v>Documento: https://drive.google.com/file/d/17m4PN97tb177OsQ6bXzGoUwXdET_CC8n/view
Publicación:
https://www.aunap.gov.co/index.php/atencion-al-ciudadano/rendicion-de-cuentas
</v>
      </c>
      <c r="AJ12" s="60">
        <f>IFERROR(__xludf.DUMMYFUNCTION("""COMPUTED_VALUE"""),44396.0)</f>
        <v>44396</v>
      </c>
      <c r="AK12" s="61" t="str">
        <f>IFERROR(IF((AL12+1)&lt;2,Alertas!$B$2&amp;TEXT(AL12,"0%")&amp;Alertas!$D$2, IF((AL12+1)=2,Alertas!$B$3,IF((AL12+1)&gt;2,Alertas!$B$4&amp;TEXT(AL12,"0%")&amp;Alertas!$D$4,AL12+1))),"Sin meta para el segundo trimestre")</f>
        <v>La ejecución de la meta registrada se encuentra acorde a la meta programada en la formulación del plan de acción para el segundo trimestre</v>
      </c>
      <c r="AL12" s="62">
        <f t="shared" si="2"/>
        <v>1</v>
      </c>
      <c r="AM12" s="61" t="str">
        <f t="shared" si="3"/>
        <v>La ejecución de la meta registrada se encuentra acorde a la meta programada en la formulación del plan de acción para el segundo trimestre.</v>
      </c>
      <c r="AN12" s="63"/>
      <c r="AO12" s="64"/>
      <c r="AP12" s="65"/>
      <c r="AQ12" s="65"/>
      <c r="AR12" s="66"/>
      <c r="AS12" s="67"/>
      <c r="AT12" s="68"/>
      <c r="AU12" s="63"/>
      <c r="AV12" s="64"/>
      <c r="AW12" s="69"/>
      <c r="AX12" s="65"/>
      <c r="AY12" s="70"/>
      <c r="AZ12" s="71"/>
      <c r="BA12" s="72"/>
      <c r="BB12" s="73"/>
      <c r="BC12" s="64"/>
      <c r="BD12" s="69"/>
      <c r="BE12" s="65"/>
      <c r="BF12" s="66"/>
      <c r="BG12" s="71"/>
      <c r="BH12" s="72"/>
      <c r="BI12" s="74"/>
      <c r="BK12" s="5" t="str">
        <f t="shared" si="4"/>
        <v>0</v>
      </c>
      <c r="BM12" s="75" t="s">
        <v>95</v>
      </c>
      <c r="BN12" s="13">
        <f t="shared" si="5"/>
        <v>3</v>
      </c>
      <c r="BO12" s="11">
        <f t="shared" si="6"/>
        <v>3</v>
      </c>
      <c r="BP12" s="11">
        <f t="shared" si="7"/>
        <v>3</v>
      </c>
      <c r="BQ12" s="12">
        <f t="shared" si="8"/>
        <v>1</v>
      </c>
      <c r="BR12" s="11" t="str">
        <f t="shared" si="9"/>
        <v>Reporte Completo</v>
      </c>
      <c r="BS12" s="76">
        <f t="shared" ref="BS12:BV12" si="18">COUNTIFS($D:$D,$BM12,$BK:$BK,BS$1)</f>
        <v>0</v>
      </c>
      <c r="BT12" s="76">
        <f t="shared" si="18"/>
        <v>0</v>
      </c>
      <c r="BU12" s="76">
        <f t="shared" si="18"/>
        <v>3</v>
      </c>
      <c r="BV12" s="76">
        <f t="shared" si="18"/>
        <v>0</v>
      </c>
    </row>
    <row r="13" ht="37.5" customHeight="1">
      <c r="A13" s="45"/>
      <c r="B13" s="46">
        <f>IFERROR(__xludf.DUMMYFUNCTION("""COMPUTED_VALUE"""),11.0)</f>
        <v>11</v>
      </c>
      <c r="C13" s="47" t="str">
        <f>IFERROR(__xludf.DUMMYFUNCTION("""COMPUTED_VALUE"""),"Comunicación estratégica")</f>
        <v>Comunicación estratégica</v>
      </c>
      <c r="D13" s="48" t="str">
        <f>IFERROR(__xludf.DUMMYFUNCTION("""COMPUTED_VALUE"""),"Comunicaciones")</f>
        <v>Comunicaciones</v>
      </c>
      <c r="E13" s="48" t="str">
        <f>IFERROR(__xludf.DUMMYFUNCTION("""COMPUTED_VALUE"""),"Fortalecimiento de la capacidad de gestión de la autoridad nacional de acuicultura y pesca - aunap nacional")</f>
        <v>Fortalecimiento de la capacidad de gestión de la autoridad nacional de acuicultura y pesca - aunap nacional</v>
      </c>
      <c r="F13" s="49">
        <f>IFERROR(__xludf.DUMMYFUNCTION("""COMPUTED_VALUE"""),2.018011000241E12)</f>
        <v>2018011000241</v>
      </c>
      <c r="G13" s="50" t="str">
        <f>IFERROR(__xludf.DUMMYFUNCTION("""COMPUTED_VALUE"""),"Fortalecimiento")</f>
        <v>Fortalecimiento</v>
      </c>
      <c r="H13" s="48" t="str">
        <f>IFERROR(__xludf.DUMMYFUNCTION("""COMPUTED_VALUE"""),"Fortalecer los sistemas de gestión de la Entidad")</f>
        <v>Fortalecer los sistemas de gestión de la Entidad</v>
      </c>
      <c r="I13" s="48" t="str">
        <f>IFERROR(__xludf.DUMMYFUNCTION("""COMPUTED_VALUE"""),"Servicio de Implementación Sistemas de Gestión")</f>
        <v>Servicio de Implementación Sistemas de Gestión</v>
      </c>
      <c r="J13"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3" s="51" t="str">
        <f>IFERROR(__xludf.DUMMYFUNCTION("""COMPUTED_VALUE"""),"Gestión del área")</f>
        <v>Gestión del área</v>
      </c>
      <c r="L13" s="51" t="str">
        <f>IFERROR(__xludf.DUMMYFUNCTION("""COMPUTED_VALUE"""),"Eficacia")</f>
        <v>Eficacia</v>
      </c>
      <c r="M13" s="51" t="str">
        <f>IFERROR(__xludf.DUMMYFUNCTION("""COMPUTED_VALUE"""),"Porcentaje")</f>
        <v>Porcentaje</v>
      </c>
      <c r="N13" s="52" t="str">
        <f>IFERROR(__xludf.DUMMYFUNCTION("""COMPUTED_VALUE"""),"Porcentaje de ejecuciòn del Desarrollo de las activividades contempladas en el componente de comunicaciones para la estrategia de rendición de cuentas.")</f>
        <v>Porcentaje de ejecuciòn del Desarrollo de las activividades contempladas en el componente de comunicaciones para la estrategia de rendición de cuentas.</v>
      </c>
      <c r="O13" s="53"/>
      <c r="P13" s="77">
        <f>IFERROR(__xludf.DUMMYFUNCTION("""COMPUTED_VALUE"""),1.0)</f>
        <v>1</v>
      </c>
      <c r="Q13" s="78" t="str">
        <f>IFERROR(__xludf.DUMMYFUNCTION("""COMPUTED_VALUE"""),"Implementar el componente de comunicaciones para la estrategia de rendición de cuentas adoptada por la entidad.")</f>
        <v>Implementar el componente de comunicaciones para la estrategia de rendición de cuentas adoptada por la entidad.</v>
      </c>
      <c r="R13" s="78" t="str">
        <f>IFERROR(__xludf.DUMMYFUNCTION("""COMPUTED_VALUE"""),"Semestral")</f>
        <v>Semestral</v>
      </c>
      <c r="S13" s="77">
        <f>IFERROR(__xludf.DUMMYFUNCTION("""COMPUTED_VALUE"""),0.0)</f>
        <v>0</v>
      </c>
      <c r="T13" s="77">
        <f>IFERROR(__xludf.DUMMYFUNCTION("""COMPUTED_VALUE"""),0.0)</f>
        <v>0</v>
      </c>
      <c r="U13" s="77">
        <f>IFERROR(__xludf.DUMMYFUNCTION("""COMPUTED_VALUE"""),0.5)</f>
        <v>0.5</v>
      </c>
      <c r="V13" s="77">
        <f>IFERROR(__xludf.DUMMYFUNCTION("""COMPUTED_VALUE"""),0.5)</f>
        <v>0.5</v>
      </c>
      <c r="W13" s="56" t="str">
        <f>IFERROR(__xludf.DUMMYFUNCTION("""COMPUTED_VALUE"""),"Comunicaciones")</f>
        <v>Comunicaciones</v>
      </c>
      <c r="X13" s="57" t="str">
        <f>IFERROR(__xludf.DUMMYFUNCTION("""COMPUTED_VALUE"""),"Leidy Hidalgo")</f>
        <v>Leidy Hidalgo</v>
      </c>
      <c r="Y13" s="47" t="str">
        <f>IFERROR(__xludf.DUMMYFUNCTION("""COMPUTED_VALUE"""),"Profesional Especializado")</f>
        <v>Profesional Especializado</v>
      </c>
      <c r="Z13" s="57" t="str">
        <f>IFERROR(__xludf.DUMMYFUNCTION("""COMPUTED_VALUE"""),"leidy.hidalgo@aunap.gov.co")</f>
        <v>leidy.hidalgo@aunap.gov.co</v>
      </c>
      <c r="AA13" s="47" t="str">
        <f>IFERROR(__xludf.DUMMYFUNCTION("""COMPUTED_VALUE"""),"Humanos, Físicos, Financieros, Tecnológicos")</f>
        <v>Humanos, Físicos, Financieros, Tecnológicos</v>
      </c>
      <c r="AB13" s="47" t="str">
        <f>IFERROR(__xludf.DUMMYFUNCTION("""COMPUTED_VALUE"""),"Plan Anticorrupción y de Atención al Ciudadano - PAAC")</f>
        <v>Plan Anticorrupción y de Atención al Ciudadano - PAAC</v>
      </c>
      <c r="AC13" s="47" t="str">
        <f>IFERROR(__xludf.DUMMYFUNCTION("""COMPUTED_VALUE"""),"Llegar con actividades de pesca y acuicultura a todas las regiones")</f>
        <v>Llegar con actividades de pesca y acuicultura a todas las regiones</v>
      </c>
      <c r="AD13" s="47" t="str">
        <f>IFERROR(__xludf.DUMMYFUNCTION("""COMPUTED_VALUE"""),"Información y comunicación")</f>
        <v>Información y comunicación</v>
      </c>
      <c r="AE13" s="47" t="str">
        <f>IFERROR(__xludf.DUMMYFUNCTION("""COMPUTED_VALUE"""),"Transparencia, acceso a la información pública y lucha contra la corrupción")</f>
        <v>Transparencia, acceso a la información pública y lucha contra la corrupción</v>
      </c>
      <c r="AF13" s="47" t="str">
        <f>IFERROR(__xludf.DUMMYFUNCTION("""COMPUTED_VALUE"""),"12. Producción y consumo responsable")</f>
        <v>12. Producción y consumo responsable</v>
      </c>
      <c r="AG13" s="79">
        <f>IFERROR(__xludf.DUMMYFUNCTION("""COMPUTED_VALUE"""),0.0)</f>
        <v>0</v>
      </c>
      <c r="AH13" s="59" t="str">
        <f>IFERROR(__xludf.DUMMYFUNCTION("""COMPUTED_VALUE"""),"No aplica")</f>
        <v>No aplica</v>
      </c>
      <c r="AI13" s="59" t="str">
        <f>IFERROR(__xludf.DUMMYFUNCTION("""COMPUTED_VALUE"""),"No aplica")</f>
        <v>No aplica</v>
      </c>
      <c r="AJ13" s="60">
        <f>IFERROR(__xludf.DUMMYFUNCTION("""COMPUTED_VALUE"""),44396.0)</f>
        <v>44396</v>
      </c>
      <c r="AK13" s="61" t="str">
        <f>IFERROR(IF((AL13+1)&lt;2,Alertas!$B$2&amp;TEXT(AL13,"0%")&amp;Alertas!$D$2, IF((AL13+1)=2,Alertas!$B$3,IF((AL13+1)&gt;2,Alertas!$B$4&amp;TEXT(AL13,"0%")&amp;Alertas!$D$4,AL13+1))),"Sin meta para el segundo trimestre")</f>
        <v>Sin meta para el segundo trimestre</v>
      </c>
      <c r="AL13" s="62" t="str">
        <f t="shared" si="2"/>
        <v>-</v>
      </c>
      <c r="AM13" s="61" t="str">
        <f t="shared" si="3"/>
        <v>Sin meta para el segundo trimestre.</v>
      </c>
      <c r="AN13" s="63"/>
      <c r="AO13" s="64"/>
      <c r="AP13" s="65"/>
      <c r="AQ13" s="65"/>
      <c r="AR13" s="66"/>
      <c r="AS13" s="67"/>
      <c r="AT13" s="68"/>
      <c r="AU13" s="63"/>
      <c r="AV13" s="64"/>
      <c r="AW13" s="69"/>
      <c r="AX13" s="65"/>
      <c r="AY13" s="70"/>
      <c r="AZ13" s="71"/>
      <c r="BA13" s="72"/>
      <c r="BB13" s="73"/>
      <c r="BC13" s="64"/>
      <c r="BD13" s="69"/>
      <c r="BE13" s="65"/>
      <c r="BF13" s="66"/>
      <c r="BG13" s="71"/>
      <c r="BH13" s="72"/>
      <c r="BI13" s="74"/>
      <c r="BK13" s="5" t="str">
        <f t="shared" si="4"/>
        <v>-</v>
      </c>
      <c r="BM13" s="75" t="s">
        <v>96</v>
      </c>
      <c r="BN13" s="13">
        <f t="shared" si="5"/>
        <v>5</v>
      </c>
      <c r="BO13" s="11">
        <f t="shared" si="6"/>
        <v>5</v>
      </c>
      <c r="BP13" s="11">
        <f t="shared" si="7"/>
        <v>5</v>
      </c>
      <c r="BQ13" s="12">
        <f t="shared" si="8"/>
        <v>1</v>
      </c>
      <c r="BR13" s="11" t="str">
        <f t="shared" si="9"/>
        <v>Reporte Completo</v>
      </c>
      <c r="BS13" s="76">
        <f t="shared" ref="BS13:BV13" si="19">COUNTIFS($D:$D,$BM13,$BK:$BK,BS$1)</f>
        <v>0</v>
      </c>
      <c r="BT13" s="76">
        <f t="shared" si="19"/>
        <v>0</v>
      </c>
      <c r="BU13" s="76">
        <f t="shared" si="19"/>
        <v>5</v>
      </c>
      <c r="BV13" s="76">
        <f t="shared" si="19"/>
        <v>0</v>
      </c>
    </row>
    <row r="14" ht="37.5" customHeight="1">
      <c r="A14" s="45"/>
      <c r="B14" s="46">
        <f>IFERROR(__xludf.DUMMYFUNCTION("""COMPUTED_VALUE"""),12.0)</f>
        <v>12</v>
      </c>
      <c r="C14" s="47" t="str">
        <f>IFERROR(__xludf.DUMMYFUNCTION("""COMPUTED_VALUE"""),"Atención al ciudadano")</f>
        <v>Atención al ciudadano</v>
      </c>
      <c r="D14" s="48" t="str">
        <f>IFERROR(__xludf.DUMMYFUNCTION("""COMPUTED_VALUE"""),"Atención al ciudadano")</f>
        <v>Atención al ciudadano</v>
      </c>
      <c r="E14" s="48" t="str">
        <f>IFERROR(__xludf.DUMMYFUNCTION("""COMPUTED_VALUE"""),"Fortalecimiento de la capacidad de gestión de la autoridad nacional de acuicultura y pesca - aunap nacional")</f>
        <v>Fortalecimiento de la capacidad de gestión de la autoridad nacional de acuicultura y pesca - aunap nacional</v>
      </c>
      <c r="F14" s="49">
        <f>IFERROR(__xludf.DUMMYFUNCTION("""COMPUTED_VALUE"""),2.018011000241E12)</f>
        <v>2018011000241</v>
      </c>
      <c r="G14" s="50" t="str">
        <f>IFERROR(__xludf.DUMMYFUNCTION("""COMPUTED_VALUE"""),"Fortalecimiento")</f>
        <v>Fortalecimiento</v>
      </c>
      <c r="H14" s="48" t="str">
        <f>IFERROR(__xludf.DUMMYFUNCTION("""COMPUTED_VALUE"""),"Fortalecer los sistemas de gestión de la Entidad")</f>
        <v>Fortalecer los sistemas de gestión de la Entidad</v>
      </c>
      <c r="I14" s="48" t="str">
        <f>IFERROR(__xludf.DUMMYFUNCTION("""COMPUTED_VALUE"""),"Servicio de Implementación Sistemas de Gestión")</f>
        <v>Servicio de Implementación Sistemas de Gestión</v>
      </c>
      <c r="J14"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14" s="51" t="str">
        <f>IFERROR(__xludf.DUMMYFUNCTION("""COMPUTED_VALUE"""),"Gestión del área")</f>
        <v>Gestión del área</v>
      </c>
      <c r="L14" s="51" t="str">
        <f>IFERROR(__xludf.DUMMYFUNCTION("""COMPUTED_VALUE"""),"Eficacia")</f>
        <v>Eficacia</v>
      </c>
      <c r="M14" s="51" t="str">
        <f>IFERROR(__xludf.DUMMYFUNCTION("""COMPUTED_VALUE"""),"Porcentaje")</f>
        <v>Porcentaje</v>
      </c>
      <c r="N14" s="52" t="str">
        <f>IFERROR(__xludf.DUMMYFUNCTION("""COMPUTED_VALUE"""),"Número de actividades de la estrategia de Servicio al Ciudadano ejecutadas/Número de actividades de la estrategia de Servicio al Ciudadano * 100")</f>
        <v>Número de actividades de la estrategia de Servicio al Ciudadano ejecutadas/Número de actividades de la estrategia de Servicio al Ciudadano * 100</v>
      </c>
      <c r="O14" s="53"/>
      <c r="P14" s="77">
        <f>IFERROR(__xludf.DUMMYFUNCTION("""COMPUTED_VALUE"""),1.0)</f>
        <v>1</v>
      </c>
      <c r="Q14" s="78" t="str">
        <f>IFERROR(__xludf.DUMMYFUNCTION("""COMPUTED_VALUE"""),"Ejecutar las actividades de la estrategia de  Servicio al Ciudadano.")</f>
        <v>Ejecutar las actividades de la estrategia de  Servicio al Ciudadano.</v>
      </c>
      <c r="R14" s="78" t="str">
        <f>IFERROR(__xludf.DUMMYFUNCTION("""COMPUTED_VALUE"""),"Semestral")</f>
        <v>Semestral</v>
      </c>
      <c r="S14" s="77">
        <f>IFERROR(__xludf.DUMMYFUNCTION("""COMPUTED_VALUE"""),0.0)</f>
        <v>0</v>
      </c>
      <c r="T14" s="77">
        <f>IFERROR(__xludf.DUMMYFUNCTION("""COMPUTED_VALUE"""),1.0)</f>
        <v>1</v>
      </c>
      <c r="U14" s="77">
        <f>IFERROR(__xludf.DUMMYFUNCTION("""COMPUTED_VALUE"""),0.0)</f>
        <v>0</v>
      </c>
      <c r="V14" s="77">
        <f>IFERROR(__xludf.DUMMYFUNCTION("""COMPUTED_VALUE"""),1.0)</f>
        <v>1</v>
      </c>
      <c r="W14" s="56" t="str">
        <f>IFERROR(__xludf.DUMMYFUNCTION("""COMPUTED_VALUE"""),"Administrativa")</f>
        <v>Administrativa</v>
      </c>
      <c r="X14" s="57" t="str">
        <f>IFERROR(__xludf.DUMMYFUNCTION("""COMPUTED_VALUE"""),"Gustavo Polo")</f>
        <v>Gustavo Polo</v>
      </c>
      <c r="Y14" s="47" t="str">
        <f>IFERROR(__xludf.DUMMYFUNCTION("""COMPUTED_VALUE"""),"Coordinador Administrativo")</f>
        <v>Coordinador Administrativo</v>
      </c>
      <c r="Z14" s="57" t="str">
        <f>IFERROR(__xludf.DUMMYFUNCTION("""COMPUTED_VALUE"""),"gustavo.polo@aunap.gov.co")</f>
        <v>gustavo.polo@aunap.gov.co</v>
      </c>
      <c r="AA14" s="47" t="str">
        <f>IFERROR(__xludf.DUMMYFUNCTION("""COMPUTED_VALUE"""),"Humanos, Físicos, Financieros, Tecnológicos")</f>
        <v>Humanos, Físicos, Financieros, Tecnológicos</v>
      </c>
      <c r="AB14" s="47" t="str">
        <f>IFERROR(__xludf.DUMMYFUNCTION("""COMPUTED_VALUE"""),"Plan Anticorrupción y de Atención al Ciudadano - PAAC")</f>
        <v>Plan Anticorrupción y de Atención al Ciudadano - PAAC</v>
      </c>
      <c r="AC14" s="47" t="str">
        <f>IFERROR(__xludf.DUMMYFUNCTION("""COMPUTED_VALUE"""),"Llegar con actividades de pesca y acuicultura a todas las regiones")</f>
        <v>Llegar con actividades de pesca y acuicultura a todas las regiones</v>
      </c>
      <c r="AD14" s="47" t="str">
        <f>IFERROR(__xludf.DUMMYFUNCTION("""COMPUTED_VALUE"""),"Gestión con valores para resultados")</f>
        <v>Gestión con valores para resultados</v>
      </c>
      <c r="AE14" s="47" t="str">
        <f>IFERROR(__xludf.DUMMYFUNCTION("""COMPUTED_VALUE"""),"Servicio al Ciudadano")</f>
        <v>Servicio al Ciudadano</v>
      </c>
      <c r="AF14" s="47" t="str">
        <f>IFERROR(__xludf.DUMMYFUNCTION("""COMPUTED_VALUE"""),"16. Paz, justicia e instituciones sólidas")</f>
        <v>16. Paz, justicia e instituciones sólidas</v>
      </c>
      <c r="AG14" s="79">
        <f>IFERROR(__xludf.DUMMYFUNCTION("""COMPUTED_VALUE"""),1.0)</f>
        <v>1</v>
      </c>
      <c r="AH14" s="59" t="str">
        <f>IFERROR(__xludf.DUMMYFUNCTION("""COMPUTED_VALUE"""),"Se ejecuto a caballidad las actvividades")</f>
        <v>Se ejecuto a caballidad las actvividades</v>
      </c>
      <c r="AI14" s="80" t="str">
        <f>IFERROR(__xludf.DUMMYFUNCTION("""COMPUTED_VALUE"""),"https://drive.google.com/drive/u/0/folders/1ueDHg43A1arq0Yd7PUg_Yhmh0C1BhZwL")</f>
        <v>https://drive.google.com/drive/u/0/folders/1ueDHg43A1arq0Yd7PUg_Yhmh0C1BhZwL</v>
      </c>
      <c r="AJ14" s="60">
        <f>IFERROR(__xludf.DUMMYFUNCTION("""COMPUTED_VALUE"""),44396.0)</f>
        <v>44396</v>
      </c>
      <c r="AK14" s="61" t="str">
        <f>IFERROR(IF((AL14+1)&lt;2,Alertas!$B$2&amp;TEXT(AL14,"0%")&amp;Alertas!$D$2, IF((AL14+1)=2,Alertas!$B$3,IF((AL14+1)&gt;2,Alertas!$B$4&amp;TEXT(AL14,"0%")&amp;Alertas!$D$4,AL14+1))),"Sin meta para el segundo trimestre")</f>
        <v>La ejecución de la meta registrada se encuentra acorde a la meta programada en la formulación del plan de acción para el segundo trimestre</v>
      </c>
      <c r="AL14" s="62">
        <f t="shared" si="2"/>
        <v>1</v>
      </c>
      <c r="AM14" s="61" t="str">
        <f t="shared" si="3"/>
        <v>La ejecución de la meta registrada se encuentra acorde a la meta programada en la formulación del plan de acción para el segundo trimestre.</v>
      </c>
      <c r="AN14" s="63"/>
      <c r="AO14" s="64"/>
      <c r="AP14" s="65"/>
      <c r="AQ14" s="65"/>
      <c r="AR14" s="66"/>
      <c r="AS14" s="67"/>
      <c r="AT14" s="68"/>
      <c r="AU14" s="63"/>
      <c r="AV14" s="64"/>
      <c r="AW14" s="69"/>
      <c r="AX14" s="65"/>
      <c r="AY14" s="70"/>
      <c r="AZ14" s="71"/>
      <c r="BA14" s="72"/>
      <c r="BB14" s="73"/>
      <c r="BC14" s="64"/>
      <c r="BD14" s="69"/>
      <c r="BE14" s="65"/>
      <c r="BF14" s="66"/>
      <c r="BG14" s="71"/>
      <c r="BH14" s="72"/>
      <c r="BI14" s="74"/>
      <c r="BK14" s="5" t="str">
        <f t="shared" si="4"/>
        <v>0</v>
      </c>
      <c r="BM14" s="75" t="s">
        <v>97</v>
      </c>
      <c r="BN14" s="13">
        <f t="shared" si="5"/>
        <v>12</v>
      </c>
      <c r="BO14" s="11">
        <f t="shared" si="6"/>
        <v>4</v>
      </c>
      <c r="BP14" s="11">
        <f t="shared" si="7"/>
        <v>4</v>
      </c>
      <c r="BQ14" s="12">
        <f t="shared" si="8"/>
        <v>1</v>
      </c>
      <c r="BR14" s="11" t="str">
        <f t="shared" si="9"/>
        <v>Reporte Completo</v>
      </c>
      <c r="BS14" s="76">
        <f t="shared" ref="BS14:BV14" si="20">COUNTIFS($D:$D,$BM14,$BK:$BK,BS$1)</f>
        <v>8</v>
      </c>
      <c r="BT14" s="76">
        <f t="shared" si="20"/>
        <v>0</v>
      </c>
      <c r="BU14" s="76">
        <f t="shared" si="20"/>
        <v>4</v>
      </c>
      <c r="BV14" s="76">
        <f t="shared" si="20"/>
        <v>0</v>
      </c>
    </row>
    <row r="15" ht="37.5" customHeight="1">
      <c r="A15" s="45"/>
      <c r="B15" s="46">
        <f>IFERROR(__xludf.DUMMYFUNCTION("""COMPUTED_VALUE"""),13.0)</f>
        <v>13</v>
      </c>
      <c r="C15" s="47" t="str">
        <f>IFERROR(__xludf.DUMMYFUNCTION("""COMPUTED_VALUE"""),"Atención al ciudadano")</f>
        <v>Atención al ciudadano</v>
      </c>
      <c r="D15" s="48" t="str">
        <f>IFERROR(__xludf.DUMMYFUNCTION("""COMPUTED_VALUE"""),"Atención al ciudadano")</f>
        <v>Atención al ciudadano</v>
      </c>
      <c r="E15" s="48" t="str">
        <f>IFERROR(__xludf.DUMMYFUNCTION("""COMPUTED_VALUE"""),"Fortalecimiento de la capacidad de gestión de la autoridad nacional de acuicultura y pesca - aunap nacional")</f>
        <v>Fortalecimiento de la capacidad de gestión de la autoridad nacional de acuicultura y pesca - aunap nacional</v>
      </c>
      <c r="F15" s="49">
        <f>IFERROR(__xludf.DUMMYFUNCTION("""COMPUTED_VALUE"""),2.018011000241E12)</f>
        <v>2018011000241</v>
      </c>
      <c r="G15" s="50" t="str">
        <f>IFERROR(__xludf.DUMMYFUNCTION("""COMPUTED_VALUE"""),"Fortalecimiento")</f>
        <v>Fortalecimiento</v>
      </c>
      <c r="H15" s="48" t="str">
        <f>IFERROR(__xludf.DUMMYFUNCTION("""COMPUTED_VALUE"""),"Fortalecer los sistemas de gestión de la Entidad")</f>
        <v>Fortalecer los sistemas de gestión de la Entidad</v>
      </c>
      <c r="I15" s="48" t="str">
        <f>IFERROR(__xludf.DUMMYFUNCTION("""COMPUTED_VALUE"""),"Servicio de Implementación Sistemas de Gestión")</f>
        <v>Servicio de Implementación Sistemas de Gestión</v>
      </c>
      <c r="J15"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15" s="51" t="str">
        <f>IFERROR(__xludf.DUMMYFUNCTION("""COMPUTED_VALUE"""),"Gestión del área")</f>
        <v>Gestión del área</v>
      </c>
      <c r="L15" s="51" t="str">
        <f>IFERROR(__xludf.DUMMYFUNCTION("""COMPUTED_VALUE"""),"Eficacia")</f>
        <v>Eficacia</v>
      </c>
      <c r="M15" s="51" t="str">
        <f>IFERROR(__xludf.DUMMYFUNCTION("""COMPUTED_VALUE"""),"Porcentaje")</f>
        <v>Porcentaje</v>
      </c>
      <c r="N15" s="52" t="str">
        <f>IFERROR(__xludf.DUMMYFUNCTION("""COMPUTED_VALUE"""),"Cantidad de PQRD´s con seguimiento atendidas en los terminos establecidos/cantidad total de PQRDs recibidas")</f>
        <v>Cantidad de PQRD´s con seguimiento atendidas en los terminos establecidos/cantidad total de PQRDs recibidas</v>
      </c>
      <c r="O15" s="53"/>
      <c r="P15" s="54">
        <f>IFERROR(__xludf.DUMMYFUNCTION("""COMPUTED_VALUE"""),1.0)</f>
        <v>1</v>
      </c>
      <c r="Q15" s="55" t="str">
        <f>IFERROR(__xludf.DUMMYFUNCTION("""COMPUTED_VALUE"""),"Hacer Seguimiento a las diferentes areas de la entidad con el fin de dar respuesta oportuna a las PQRD’s")</f>
        <v>Hacer Seguimiento a las diferentes areas de la entidad con el fin de dar respuesta oportuna a las PQRD’s</v>
      </c>
      <c r="R15" s="14" t="str">
        <f>IFERROR(__xludf.DUMMYFUNCTION("""COMPUTED_VALUE"""),"Semestral")</f>
        <v>Semestral</v>
      </c>
      <c r="S15" s="54">
        <f>IFERROR(__xludf.DUMMYFUNCTION("""COMPUTED_VALUE"""),0.0)</f>
        <v>0</v>
      </c>
      <c r="T15" s="54">
        <f>IFERROR(__xludf.DUMMYFUNCTION("""COMPUTED_VALUE"""),1.0)</f>
        <v>1</v>
      </c>
      <c r="U15" s="54">
        <f>IFERROR(__xludf.DUMMYFUNCTION("""COMPUTED_VALUE"""),0.0)</f>
        <v>0</v>
      </c>
      <c r="V15" s="54">
        <f>IFERROR(__xludf.DUMMYFUNCTION("""COMPUTED_VALUE"""),1.0)</f>
        <v>1</v>
      </c>
      <c r="W15" s="56" t="str">
        <f>IFERROR(__xludf.DUMMYFUNCTION("""COMPUTED_VALUE"""),"Administrativa")</f>
        <v>Administrativa</v>
      </c>
      <c r="X15" s="57" t="str">
        <f>IFERROR(__xludf.DUMMYFUNCTION("""COMPUTED_VALUE"""),"Gustavo Polo")</f>
        <v>Gustavo Polo</v>
      </c>
      <c r="Y15" s="47" t="str">
        <f>IFERROR(__xludf.DUMMYFUNCTION("""COMPUTED_VALUE"""),"Coordinador Administrativo")</f>
        <v>Coordinador Administrativo</v>
      </c>
      <c r="Z15" s="57" t="str">
        <f>IFERROR(__xludf.DUMMYFUNCTION("""COMPUTED_VALUE"""),"gustavo.polo@aunap.gov.co")</f>
        <v>gustavo.polo@aunap.gov.co</v>
      </c>
      <c r="AA15" s="47" t="str">
        <f>IFERROR(__xludf.DUMMYFUNCTION("""COMPUTED_VALUE"""),"Humanos, Físicos, Financieros, Tecnológicos")</f>
        <v>Humanos, Físicos, Financieros, Tecnológicos</v>
      </c>
      <c r="AB15" s="47" t="str">
        <f>IFERROR(__xludf.DUMMYFUNCTION("""COMPUTED_VALUE"""),"Plan Anticorrupción y de Atención al Ciudadano - PAAC")</f>
        <v>Plan Anticorrupción y de Atención al Ciudadano - PAAC</v>
      </c>
      <c r="AC15" s="47" t="str">
        <f>IFERROR(__xludf.DUMMYFUNCTION("""COMPUTED_VALUE"""),"Llegar con actividades de pesca y acuicultura a todas las regiones")</f>
        <v>Llegar con actividades de pesca y acuicultura a todas las regiones</v>
      </c>
      <c r="AD15" s="47" t="str">
        <f>IFERROR(__xludf.DUMMYFUNCTION("""COMPUTED_VALUE"""),"Gestión con valores para resultados")</f>
        <v>Gestión con valores para resultados</v>
      </c>
      <c r="AE15" s="47" t="str">
        <f>IFERROR(__xludf.DUMMYFUNCTION("""COMPUTED_VALUE"""),"Servicio al Ciudadano")</f>
        <v>Servicio al Ciudadano</v>
      </c>
      <c r="AF15" s="47" t="str">
        <f>IFERROR(__xludf.DUMMYFUNCTION("""COMPUTED_VALUE"""),"16. Paz, justicia e instituciones sólidas")</f>
        <v>16. Paz, justicia e instituciones sólidas</v>
      </c>
      <c r="AG15" s="58">
        <f>IFERROR(__xludf.DUMMYFUNCTION("""COMPUTED_VALUE"""),1.0)</f>
        <v>1</v>
      </c>
      <c r="AH15" s="59" t="str">
        <f>IFERROR(__xludf.DUMMYFUNCTION("""COMPUTED_VALUE"""),"Se realizo el monitoreo pertinente")</f>
        <v>Se realizo el monitoreo pertinente</v>
      </c>
      <c r="AI15" s="81" t="str">
        <f>IFERROR(__xludf.DUMMYFUNCTION("""COMPUTED_VALUE"""),"https://drive.google.com/drive/u/0/folders/1ueDHg43A1arq0Yd7PUg_Yhmh0C1BhZwL")</f>
        <v>https://drive.google.com/drive/u/0/folders/1ueDHg43A1arq0Yd7PUg_Yhmh0C1BhZwL</v>
      </c>
      <c r="AJ15" s="60">
        <f>IFERROR(__xludf.DUMMYFUNCTION("""COMPUTED_VALUE"""),44396.0)</f>
        <v>44396</v>
      </c>
      <c r="AK15" s="61" t="str">
        <f>IFERROR(IF((AL15+1)&lt;2,Alertas!$B$2&amp;TEXT(AL15,"0%")&amp;Alertas!$D$2, IF((AL15+1)=2,Alertas!$B$3,IF((AL15+1)&gt;2,Alertas!$B$4&amp;TEXT(AL15,"0%")&amp;Alertas!$D$4,AL15+1))),"Sin meta para el segundo trimestre")</f>
        <v>La ejecución de la meta registrada se encuentra acorde a la meta programada en la formulación del plan de acción para el segundo trimestre</v>
      </c>
      <c r="AL15" s="62">
        <f t="shared" si="2"/>
        <v>1</v>
      </c>
      <c r="AM15" s="61" t="str">
        <f t="shared" si="3"/>
        <v>La ejecución de la meta registrada se encuentra acorde a la meta programada en la formulación del plan de acción para el segundo trimestre.</v>
      </c>
      <c r="AN15" s="63"/>
      <c r="AO15" s="64"/>
      <c r="AP15" s="65"/>
      <c r="AQ15" s="65"/>
      <c r="AR15" s="66"/>
      <c r="AS15" s="67"/>
      <c r="AT15" s="68"/>
      <c r="AU15" s="63"/>
      <c r="AV15" s="64"/>
      <c r="AW15" s="69"/>
      <c r="AX15" s="65"/>
      <c r="AY15" s="70"/>
      <c r="AZ15" s="71"/>
      <c r="BA15" s="72"/>
      <c r="BB15" s="73"/>
      <c r="BC15" s="64"/>
      <c r="BD15" s="69"/>
      <c r="BE15" s="65"/>
      <c r="BF15" s="66"/>
      <c r="BG15" s="71"/>
      <c r="BH15" s="72"/>
      <c r="BI15" s="74"/>
      <c r="BK15" s="5" t="str">
        <f t="shared" si="4"/>
        <v>0</v>
      </c>
      <c r="BM15" s="75" t="s">
        <v>98</v>
      </c>
      <c r="BN15" s="13">
        <f t="shared" si="5"/>
        <v>8</v>
      </c>
      <c r="BO15" s="11">
        <f t="shared" si="6"/>
        <v>1</v>
      </c>
      <c r="BP15" s="11">
        <f t="shared" si="7"/>
        <v>1</v>
      </c>
      <c r="BQ15" s="12">
        <f t="shared" si="8"/>
        <v>1</v>
      </c>
      <c r="BR15" s="11" t="str">
        <f t="shared" si="9"/>
        <v>Reporte Completo</v>
      </c>
      <c r="BS15" s="76">
        <f t="shared" ref="BS15:BV15" si="21">COUNTIFS($D:$D,$BM15,$BK:$BK,BS$1)</f>
        <v>7</v>
      </c>
      <c r="BT15" s="76">
        <f t="shared" si="21"/>
        <v>0</v>
      </c>
      <c r="BU15" s="76">
        <f t="shared" si="21"/>
        <v>1</v>
      </c>
      <c r="BV15" s="76">
        <f t="shared" si="21"/>
        <v>0</v>
      </c>
    </row>
    <row r="16" ht="37.5" customHeight="1">
      <c r="A16" s="45"/>
      <c r="B16" s="46">
        <f>IFERROR(__xludf.DUMMYFUNCTION("""COMPUTED_VALUE"""),14.0)</f>
        <v>14</v>
      </c>
      <c r="C16" s="47" t="str">
        <f>IFERROR(__xludf.DUMMYFUNCTION("""COMPUTED_VALUE"""),"Atención al ciudadano")</f>
        <v>Atención al ciudadano</v>
      </c>
      <c r="D16" s="48" t="str">
        <f>IFERROR(__xludf.DUMMYFUNCTION("""COMPUTED_VALUE"""),"Atención al ciudadano")</f>
        <v>Atención al ciudadano</v>
      </c>
      <c r="E16" s="48" t="str">
        <f>IFERROR(__xludf.DUMMYFUNCTION("""COMPUTED_VALUE"""),"Fortalecimiento de la capacidad de gestión de la autoridad nacional de acuicultura y pesca - aunap nacional")</f>
        <v>Fortalecimiento de la capacidad de gestión de la autoridad nacional de acuicultura y pesca - aunap nacional</v>
      </c>
      <c r="F16" s="49">
        <f>IFERROR(__xludf.DUMMYFUNCTION("""COMPUTED_VALUE"""),2.018011000241E12)</f>
        <v>2018011000241</v>
      </c>
      <c r="G16" s="50" t="str">
        <f>IFERROR(__xludf.DUMMYFUNCTION("""COMPUTED_VALUE"""),"Fortalecimiento")</f>
        <v>Fortalecimiento</v>
      </c>
      <c r="H16" s="48" t="str">
        <f>IFERROR(__xludf.DUMMYFUNCTION("""COMPUTED_VALUE"""),"Fortalecer los sistemas de gestión de la Entidad")</f>
        <v>Fortalecer los sistemas de gestión de la Entidad</v>
      </c>
      <c r="I16" s="48" t="str">
        <f>IFERROR(__xludf.DUMMYFUNCTION("""COMPUTED_VALUE"""),"Servicio de Implementación Sistemas de Gestión")</f>
        <v>Servicio de Implementación Sistemas de Gestión</v>
      </c>
      <c r="J16"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16" s="51" t="str">
        <f>IFERROR(__xludf.DUMMYFUNCTION("""COMPUTED_VALUE"""),"Gestión del área")</f>
        <v>Gestión del área</v>
      </c>
      <c r="L16" s="51" t="str">
        <f>IFERROR(__xludf.DUMMYFUNCTION("""COMPUTED_VALUE"""),"Eficacia")</f>
        <v>Eficacia</v>
      </c>
      <c r="M16" s="51" t="str">
        <f>IFERROR(__xludf.DUMMYFUNCTION("""COMPUTED_VALUE"""),"Número")</f>
        <v>Número</v>
      </c>
      <c r="N16" s="52" t="str">
        <f>IFERROR(__xludf.DUMMYFUNCTION("""COMPUTED_VALUE"""),"Numero de actividades que realice la entidad donde se interactue con los ciudadanos apoyadas")</f>
        <v>Numero de actividades que realice la entidad donde se interactue con los ciudadanos apoyadas</v>
      </c>
      <c r="O16" s="53"/>
      <c r="P16" s="77">
        <f>IFERROR(__xludf.DUMMYFUNCTION("""COMPUTED_VALUE"""),2.0)</f>
        <v>2</v>
      </c>
      <c r="Q16" s="78" t="str">
        <f>IFERROR(__xludf.DUMMYFUNCTION("""COMPUTED_VALUE"""),"Apoyar en las diferentes actividades que haga la entidad donde se interactue conforme al plan de Participacion ciudadana")</f>
        <v>Apoyar en las diferentes actividades que haga la entidad donde se interactue conforme al plan de Participacion ciudadana</v>
      </c>
      <c r="R16" s="78" t="str">
        <f>IFERROR(__xludf.DUMMYFUNCTION("""COMPUTED_VALUE"""),"Trimestral")</f>
        <v>Trimestral</v>
      </c>
      <c r="S16" s="77">
        <f>IFERROR(__xludf.DUMMYFUNCTION("""COMPUTED_VALUE"""),0.0)</f>
        <v>0</v>
      </c>
      <c r="T16" s="77">
        <f>IFERROR(__xludf.DUMMYFUNCTION("""COMPUTED_VALUE"""),0.0)</f>
        <v>0</v>
      </c>
      <c r="U16" s="77">
        <f>IFERROR(__xludf.DUMMYFUNCTION("""COMPUTED_VALUE"""),1.0)</f>
        <v>1</v>
      </c>
      <c r="V16" s="77">
        <f>IFERROR(__xludf.DUMMYFUNCTION("""COMPUTED_VALUE"""),1.0)</f>
        <v>1</v>
      </c>
      <c r="W16" s="56" t="str">
        <f>IFERROR(__xludf.DUMMYFUNCTION("""COMPUTED_VALUE"""),"Administrativa")</f>
        <v>Administrativa</v>
      </c>
      <c r="X16" s="57" t="str">
        <f>IFERROR(__xludf.DUMMYFUNCTION("""COMPUTED_VALUE"""),"Gustavo Polo")</f>
        <v>Gustavo Polo</v>
      </c>
      <c r="Y16" s="47" t="str">
        <f>IFERROR(__xludf.DUMMYFUNCTION("""COMPUTED_VALUE"""),"Coordinador Administrativo")</f>
        <v>Coordinador Administrativo</v>
      </c>
      <c r="Z16" s="57" t="str">
        <f>IFERROR(__xludf.DUMMYFUNCTION("""COMPUTED_VALUE"""),"gustavo.polo@aunap.gov.co")</f>
        <v>gustavo.polo@aunap.gov.co</v>
      </c>
      <c r="AA16" s="47" t="str">
        <f>IFERROR(__xludf.DUMMYFUNCTION("""COMPUTED_VALUE"""),"Humanos, Físicos, Financieros, Tecnológicos")</f>
        <v>Humanos, Físicos, Financieros, Tecnológicos</v>
      </c>
      <c r="AB16" s="47" t="str">
        <f>IFERROR(__xludf.DUMMYFUNCTION("""COMPUTED_VALUE"""),"Plan de Participación Ciudadana")</f>
        <v>Plan de Participación Ciudadana</v>
      </c>
      <c r="AC16" s="47" t="str">
        <f>IFERROR(__xludf.DUMMYFUNCTION("""COMPUTED_VALUE"""),"Llegar con actividades de pesca y acuicultura a todas las regiones")</f>
        <v>Llegar con actividades de pesca y acuicultura a todas las regiones</v>
      </c>
      <c r="AD16" s="47" t="str">
        <f>IFERROR(__xludf.DUMMYFUNCTION("""COMPUTED_VALUE"""),"Gestión con valores para resultados")</f>
        <v>Gestión con valores para resultados</v>
      </c>
      <c r="AE16" s="47" t="str">
        <f>IFERROR(__xludf.DUMMYFUNCTION("""COMPUTED_VALUE"""),"Servicio al Ciudadano")</f>
        <v>Servicio al Ciudadano</v>
      </c>
      <c r="AF16" s="47" t="str">
        <f>IFERROR(__xludf.DUMMYFUNCTION("""COMPUTED_VALUE"""),"16. Paz, justicia e instituciones sólidas")</f>
        <v>16. Paz, justicia e instituciones sólidas</v>
      </c>
      <c r="AG16" s="79"/>
      <c r="AH16" s="59" t="str">
        <f>IFERROR(__xludf.DUMMYFUNCTION("""COMPUTED_VALUE"""),"Segun la modificación su cumplimiento son para el 3 y 4 trimestres")</f>
        <v>Segun la modificación su cumplimiento son para el 3 y 4 trimestres</v>
      </c>
      <c r="AI16" s="59"/>
      <c r="AJ16" s="60">
        <f>IFERROR(__xludf.DUMMYFUNCTION("""COMPUTED_VALUE"""),44396.0)</f>
        <v>44396</v>
      </c>
      <c r="AK16" s="61" t="str">
        <f>IFERROR(IF((AL16+1)&lt;2,Alertas!$B$2&amp;TEXT(AL16,"0%")&amp;Alertas!$D$2, IF((AL16+1)=2,Alertas!$B$3,IF((AL16+1)&gt;2,Alertas!$B$4&amp;TEXT(AL16,"0%")&amp;Alertas!$D$4,AL16+1))),"Sin meta para el segundo trimestre")</f>
        <v>Sin meta para el segundo trimestre</v>
      </c>
      <c r="AL16" s="62" t="str">
        <f t="shared" si="2"/>
        <v>-</v>
      </c>
      <c r="AM16" s="61" t="str">
        <f t="shared" si="3"/>
        <v>Sin meta para el segundo trimestre.</v>
      </c>
      <c r="AN16" s="63"/>
      <c r="AO16" s="64"/>
      <c r="AP16" s="65"/>
      <c r="AQ16" s="65"/>
      <c r="AR16" s="66"/>
      <c r="AS16" s="67"/>
      <c r="AT16" s="68"/>
      <c r="AU16" s="63"/>
      <c r="AV16" s="64"/>
      <c r="AW16" s="69"/>
      <c r="AX16" s="65"/>
      <c r="AY16" s="70"/>
      <c r="AZ16" s="71"/>
      <c r="BA16" s="72"/>
      <c r="BB16" s="73"/>
      <c r="BC16" s="64"/>
      <c r="BD16" s="69"/>
      <c r="BE16" s="65"/>
      <c r="BF16" s="66"/>
      <c r="BG16" s="71"/>
      <c r="BH16" s="72"/>
      <c r="BI16" s="74"/>
      <c r="BM16" s="75" t="s">
        <v>99</v>
      </c>
      <c r="BN16" s="13">
        <f t="shared" si="5"/>
        <v>5</v>
      </c>
      <c r="BO16" s="11">
        <f t="shared" si="6"/>
        <v>1</v>
      </c>
      <c r="BP16" s="11">
        <f t="shared" si="7"/>
        <v>1</v>
      </c>
      <c r="BQ16" s="12">
        <f t="shared" si="8"/>
        <v>1</v>
      </c>
      <c r="BR16" s="11" t="str">
        <f t="shared" si="9"/>
        <v>Reporte Completo</v>
      </c>
      <c r="BS16" s="76"/>
      <c r="BT16" s="76"/>
      <c r="BU16" s="76"/>
      <c r="BV16" s="76"/>
    </row>
    <row r="17" ht="37.5" customHeight="1">
      <c r="A17" s="45"/>
      <c r="B17" s="46">
        <f>IFERROR(__xludf.DUMMYFUNCTION("""COMPUTED_VALUE"""),15.0)</f>
        <v>15</v>
      </c>
      <c r="C17" s="47" t="str">
        <f>IFERROR(__xludf.DUMMYFUNCTION("""COMPUTED_VALUE"""),"Gestión de contratación")</f>
        <v>Gestión de contratación</v>
      </c>
      <c r="D17" s="48" t="str">
        <f>IFERROR(__xludf.DUMMYFUNCTION("""COMPUTED_VALUE"""),"Contratos")</f>
        <v>Contratos</v>
      </c>
      <c r="E17" s="48" t="str">
        <f>IFERROR(__xludf.DUMMYFUNCTION("""COMPUTED_VALUE"""),"Fortalecimiento de la capacidad de gestión de la autoridad nacional de acuicultura y pesca - aunap nacional")</f>
        <v>Fortalecimiento de la capacidad de gestión de la autoridad nacional de acuicultura y pesca - aunap nacional</v>
      </c>
      <c r="F17" s="49">
        <f>IFERROR(__xludf.DUMMYFUNCTION("""COMPUTED_VALUE"""),2.018011000241E12)</f>
        <v>2018011000241</v>
      </c>
      <c r="G17" s="50" t="str">
        <f>IFERROR(__xludf.DUMMYFUNCTION("""COMPUTED_VALUE"""),"Fortalecimiento")</f>
        <v>Fortalecimiento</v>
      </c>
      <c r="H17" s="48" t="str">
        <f>IFERROR(__xludf.DUMMYFUNCTION("""COMPUTED_VALUE"""),"Fortalecer los sistemas de gestión de la Entidad")</f>
        <v>Fortalecer los sistemas de gestión de la Entidad</v>
      </c>
      <c r="I17" s="48" t="str">
        <f>IFERROR(__xludf.DUMMYFUNCTION("""COMPUTED_VALUE"""),"Servicio de Implementación Sistemas de Gestión")</f>
        <v>Servicio de Implementación Sistemas de Gestión</v>
      </c>
      <c r="J17"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7" s="51" t="str">
        <f>IFERROR(__xludf.DUMMYFUNCTION("""COMPUTED_VALUE"""),"Gestión del área")</f>
        <v>Gestión del área</v>
      </c>
      <c r="L17" s="51" t="str">
        <f>IFERROR(__xludf.DUMMYFUNCTION("""COMPUTED_VALUE"""),"Eficiencia")</f>
        <v>Eficiencia</v>
      </c>
      <c r="M17" s="51" t="str">
        <f>IFERROR(__xludf.DUMMYFUNCTION("""COMPUTED_VALUE"""),"Porcentaje")</f>
        <v>Porcentaje</v>
      </c>
      <c r="N17" s="52" t="str">
        <f>IFERROR(__xludf.DUMMYFUNCTION("""COMPUTED_VALUE"""),"N° documentos revisados/N° documentos recibidos que cumplan con la totalidad los requisitos")</f>
        <v>N° documentos revisados/N° documentos recibidos que cumplan con la totalidad los requisitos</v>
      </c>
      <c r="O17" s="53"/>
      <c r="P17" s="77">
        <f>IFERROR(__xludf.DUMMYFUNCTION("""COMPUTED_VALUE"""),1.0)</f>
        <v>1</v>
      </c>
      <c r="Q17" s="78" t="str">
        <f>IFERROR(__xludf.DUMMYFUNCTION("""COMPUTED_VALUE"""),"Revisar los estudios y documentos previos que elaboran las áreas ejecutoras, de tal forma que se ajusten a la normativa vigente")</f>
        <v>Revisar los estudios y documentos previos que elaboran las áreas ejecutoras, de tal forma que se ajusten a la normativa vigente</v>
      </c>
      <c r="R17" s="78" t="str">
        <f>IFERROR(__xludf.DUMMYFUNCTION("""COMPUTED_VALUE"""),"Trimestral")</f>
        <v>Trimestral</v>
      </c>
      <c r="S17" s="77">
        <f>IFERROR(__xludf.DUMMYFUNCTION("""COMPUTED_VALUE"""),1.0)</f>
        <v>1</v>
      </c>
      <c r="T17" s="77">
        <f>IFERROR(__xludf.DUMMYFUNCTION("""COMPUTED_VALUE"""),1.0)</f>
        <v>1</v>
      </c>
      <c r="U17" s="77">
        <f>IFERROR(__xludf.DUMMYFUNCTION("""COMPUTED_VALUE"""),1.0)</f>
        <v>1</v>
      </c>
      <c r="V17" s="77">
        <f>IFERROR(__xludf.DUMMYFUNCTION("""COMPUTED_VALUE"""),1.0)</f>
        <v>1</v>
      </c>
      <c r="W17" s="56" t="str">
        <f>IFERROR(__xludf.DUMMYFUNCTION("""COMPUTED_VALUE"""),"Contratos")</f>
        <v>Contratos</v>
      </c>
      <c r="X17" s="57" t="str">
        <f>IFERROR(__xludf.DUMMYFUNCTION("""COMPUTED_VALUE"""),"Milton Cuervo")</f>
        <v>Milton Cuervo</v>
      </c>
      <c r="Y17" s="47" t="str">
        <f>IFERROR(__xludf.DUMMYFUNCTION("""COMPUTED_VALUE"""),"Asesor")</f>
        <v>Asesor</v>
      </c>
      <c r="Z17" s="57" t="str">
        <f>IFERROR(__xludf.DUMMYFUNCTION("""COMPUTED_VALUE"""),"milton.cuervo@aunap.gov.co")</f>
        <v>milton.cuervo@aunap.gov.co</v>
      </c>
      <c r="AA17" s="47" t="str">
        <f>IFERROR(__xludf.DUMMYFUNCTION("""COMPUTED_VALUE"""),"Humanos, Físicos, Financieros, Tecnológicos")</f>
        <v>Humanos, Físicos, Financieros, Tecnológicos</v>
      </c>
      <c r="AB17" s="47" t="str">
        <f>IFERROR(__xludf.DUMMYFUNCTION("""COMPUTED_VALUE"""),"No asociado")</f>
        <v>No asociado</v>
      </c>
      <c r="AC17" s="47" t="str">
        <f>IFERROR(__xludf.DUMMYFUNCTION("""COMPUTED_VALUE"""),"Llegar con actividades de pesca y acuicultura a todas las regiones")</f>
        <v>Llegar con actividades de pesca y acuicultura a todas las regiones</v>
      </c>
      <c r="AD17" s="47" t="str">
        <f>IFERROR(__xludf.DUMMYFUNCTION("""COMPUTED_VALUE"""),"Talento Humano")</f>
        <v>Talento Humano</v>
      </c>
      <c r="AE17" s="47" t="str">
        <f>IFERROR(__xludf.DUMMYFUNCTION("""COMPUTED_VALUE"""),"Talento Humano")</f>
        <v>Talento Humano</v>
      </c>
      <c r="AF17" s="47" t="str">
        <f>IFERROR(__xludf.DUMMYFUNCTION("""COMPUTED_VALUE"""),"16. Paz, justicia e instituciones sólidas")</f>
        <v>16. Paz, justicia e instituciones sólidas</v>
      </c>
      <c r="AG17" s="79">
        <f>IFERROR(__xludf.DUMMYFUNCTION("""COMPUTED_VALUE"""),1.0)</f>
        <v>1</v>
      </c>
      <c r="AH17" s="59" t="str">
        <f>IFERROR(__xludf.DUMMYFUNCTION("""COMPUTED_VALUE"""),"De 60 documentos de estudios previos radicados y revisados, 60documentos cumplían con la totalidad de requisitos para iniciar el trámite.")</f>
        <v>De 60 documentos de estudios previos radicados y revisados, 60documentos cumplían con la totalidad de requisitos para iniciar el trámite.</v>
      </c>
      <c r="AI17" s="59" t="str">
        <f>IFERROR(__xludf.DUMMYFUNCTION("""COMPUTED_VALUE"""),"Hoja ""INDICADOR 1 ESTUDIOS PREVIOS"" https://drive.google.com/file/d/1XoV4CWd9GUqA7LvuxlBXKcT4sGHpoohj/view?usp=sharing")</f>
        <v>Hoja "INDICADOR 1 ESTUDIOS PREVIOS" https://drive.google.com/file/d/1XoV4CWd9GUqA7LvuxlBXKcT4sGHpoohj/view?usp=sharing</v>
      </c>
      <c r="AJ17" s="60">
        <f>IFERROR(__xludf.DUMMYFUNCTION("""COMPUTED_VALUE"""),44396.0)</f>
        <v>44396</v>
      </c>
      <c r="AK17" s="61" t="str">
        <f>IFERROR(IF((AL17+1)&lt;2,Alertas!$B$2&amp;TEXT(AL17,"0%")&amp;Alertas!$D$2, IF((AL17+1)=2,Alertas!$B$3,IF((AL17+1)&gt;2,Alertas!$B$4&amp;TEXT(AL17,"0%")&amp;Alertas!$D$4,AL17+1))),"Sin meta para el segundo trimestre")</f>
        <v>La ejecución de la meta registrada se encuentra acorde a la meta programada en la formulación del plan de acción para el segundo trimestre</v>
      </c>
      <c r="AL17" s="62">
        <f t="shared" si="2"/>
        <v>1</v>
      </c>
      <c r="AM17" s="61" t="str">
        <f t="shared" si="3"/>
        <v>La ejecución de la meta registrada se encuentra acorde a la meta programada en la formulación del plan de acción para el segundo trimestre.</v>
      </c>
      <c r="AN17" s="63"/>
      <c r="AO17" s="64"/>
      <c r="AP17" s="65"/>
      <c r="AQ17" s="65"/>
      <c r="AR17" s="66"/>
      <c r="AS17" s="67"/>
      <c r="AT17" s="68"/>
      <c r="AU17" s="63"/>
      <c r="AV17" s="64"/>
      <c r="AW17" s="69"/>
      <c r="AX17" s="65"/>
      <c r="AY17" s="70"/>
      <c r="AZ17" s="71"/>
      <c r="BA17" s="72"/>
      <c r="BB17" s="73"/>
      <c r="BC17" s="64"/>
      <c r="BD17" s="69"/>
      <c r="BE17" s="65"/>
      <c r="BF17" s="66"/>
      <c r="BG17" s="71"/>
      <c r="BH17" s="72"/>
      <c r="BI17" s="74"/>
      <c r="BM17" s="75" t="s">
        <v>100</v>
      </c>
      <c r="BN17" s="13">
        <f t="shared" si="5"/>
        <v>4</v>
      </c>
      <c r="BO17" s="11">
        <f t="shared" si="6"/>
        <v>2</v>
      </c>
      <c r="BP17" s="11">
        <f t="shared" si="7"/>
        <v>2</v>
      </c>
      <c r="BQ17" s="12">
        <f t="shared" si="8"/>
        <v>2.5</v>
      </c>
      <c r="BR17" s="11" t="str">
        <f t="shared" si="9"/>
        <v>Reporte con Sobre Ejecución</v>
      </c>
      <c r="BS17" s="76"/>
      <c r="BT17" s="76"/>
      <c r="BU17" s="76"/>
      <c r="BV17" s="76"/>
    </row>
    <row r="18" ht="37.5" customHeight="1">
      <c r="A18" s="45"/>
      <c r="B18" s="46">
        <f>IFERROR(__xludf.DUMMYFUNCTION("""COMPUTED_VALUE"""),16.0)</f>
        <v>16</v>
      </c>
      <c r="C18" s="47" t="str">
        <f>IFERROR(__xludf.DUMMYFUNCTION("""COMPUTED_VALUE"""),"Gestión de contratación")</f>
        <v>Gestión de contratación</v>
      </c>
      <c r="D18" s="48" t="str">
        <f>IFERROR(__xludf.DUMMYFUNCTION("""COMPUTED_VALUE"""),"Contratos")</f>
        <v>Contratos</v>
      </c>
      <c r="E18" s="48" t="str">
        <f>IFERROR(__xludf.DUMMYFUNCTION("""COMPUTED_VALUE"""),"Fortalecimiento de la capacidad de gestión de la autoridad nacional de acuicultura y pesca - aunap nacional")</f>
        <v>Fortalecimiento de la capacidad de gestión de la autoridad nacional de acuicultura y pesca - aunap nacional</v>
      </c>
      <c r="F18" s="49">
        <f>IFERROR(__xludf.DUMMYFUNCTION("""COMPUTED_VALUE"""),2.018011000241E12)</f>
        <v>2018011000241</v>
      </c>
      <c r="G18" s="50" t="str">
        <f>IFERROR(__xludf.DUMMYFUNCTION("""COMPUTED_VALUE"""),"Fortalecimiento")</f>
        <v>Fortalecimiento</v>
      </c>
      <c r="H18" s="48" t="str">
        <f>IFERROR(__xludf.DUMMYFUNCTION("""COMPUTED_VALUE"""),"Fortalecer los sistemas de gestión de la Entidad")</f>
        <v>Fortalecer los sistemas de gestión de la Entidad</v>
      </c>
      <c r="I18" s="48" t="str">
        <f>IFERROR(__xludf.DUMMYFUNCTION("""COMPUTED_VALUE"""),"Servicio de Implementación Sistemas de Gestión")</f>
        <v>Servicio de Implementación Sistemas de Gestión</v>
      </c>
      <c r="J1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8" s="51" t="str">
        <f>IFERROR(__xludf.DUMMYFUNCTION("""COMPUTED_VALUE"""),"Gestión del área")</f>
        <v>Gestión del área</v>
      </c>
      <c r="L18" s="51" t="str">
        <f>IFERROR(__xludf.DUMMYFUNCTION("""COMPUTED_VALUE"""),"Eficiencia")</f>
        <v>Eficiencia</v>
      </c>
      <c r="M18" s="51" t="str">
        <f>IFERROR(__xludf.DUMMYFUNCTION("""COMPUTED_VALUE"""),"Porcentaje")</f>
        <v>Porcentaje</v>
      </c>
      <c r="N18" s="52" t="str">
        <f>IFERROR(__xludf.DUMMYFUNCTION("""COMPUTED_VALUE"""),"N° de procesos publicados / N° de procesos radicados que cumplan con la totalidad los requisitos.")</f>
        <v>N° de procesos publicados / N° de procesos radicados que cumplan con la totalidad los requisitos.</v>
      </c>
      <c r="O18" s="53"/>
      <c r="P18" s="77">
        <f>IFERROR(__xludf.DUMMYFUNCTION("""COMPUTED_VALUE"""),1.0)</f>
        <v>1</v>
      </c>
      <c r="Q18" s="78" t="str">
        <f>IFERROR(__xludf.DUMMYFUNCTION("""COMPUTED_VALUE"""),"Desarrollar los procesos públicos de selección de acuerdo con las modalidades de selección establecidas en la ley.")</f>
        <v>Desarrollar los procesos públicos de selección de acuerdo con las modalidades de selección establecidas en la ley.</v>
      </c>
      <c r="R18" s="78" t="str">
        <f>IFERROR(__xludf.DUMMYFUNCTION("""COMPUTED_VALUE"""),"Trimestral")</f>
        <v>Trimestral</v>
      </c>
      <c r="S18" s="77">
        <f>IFERROR(__xludf.DUMMYFUNCTION("""COMPUTED_VALUE"""),1.0)</f>
        <v>1</v>
      </c>
      <c r="T18" s="77">
        <f>IFERROR(__xludf.DUMMYFUNCTION("""COMPUTED_VALUE"""),1.0)</f>
        <v>1</v>
      </c>
      <c r="U18" s="77">
        <f>IFERROR(__xludf.DUMMYFUNCTION("""COMPUTED_VALUE"""),1.0)</f>
        <v>1</v>
      </c>
      <c r="V18" s="77">
        <f>IFERROR(__xludf.DUMMYFUNCTION("""COMPUTED_VALUE"""),1.0)</f>
        <v>1</v>
      </c>
      <c r="W18" s="56" t="str">
        <f>IFERROR(__xludf.DUMMYFUNCTION("""COMPUTED_VALUE"""),"Contratos")</f>
        <v>Contratos</v>
      </c>
      <c r="X18" s="57" t="str">
        <f>IFERROR(__xludf.DUMMYFUNCTION("""COMPUTED_VALUE"""),"Milton Cuervo")</f>
        <v>Milton Cuervo</v>
      </c>
      <c r="Y18" s="47" t="str">
        <f>IFERROR(__xludf.DUMMYFUNCTION("""COMPUTED_VALUE"""),"Asesor")</f>
        <v>Asesor</v>
      </c>
      <c r="Z18" s="57" t="str">
        <f>IFERROR(__xludf.DUMMYFUNCTION("""COMPUTED_VALUE"""),"milton.cuervo@aunap.gov.co")</f>
        <v>milton.cuervo@aunap.gov.co</v>
      </c>
      <c r="AA18" s="47" t="str">
        <f>IFERROR(__xludf.DUMMYFUNCTION("""COMPUTED_VALUE"""),"Humanos, Físicos, Financieros, Tecnológicos")</f>
        <v>Humanos, Físicos, Financieros, Tecnológicos</v>
      </c>
      <c r="AB18" s="47" t="str">
        <f>IFERROR(__xludf.DUMMYFUNCTION("""COMPUTED_VALUE"""),"No asociado")</f>
        <v>No asociado</v>
      </c>
      <c r="AC18" s="47" t="str">
        <f>IFERROR(__xludf.DUMMYFUNCTION("""COMPUTED_VALUE"""),"Llegar con actividades de pesca y acuicultura a todas las regiones")</f>
        <v>Llegar con actividades de pesca y acuicultura a todas las regiones</v>
      </c>
      <c r="AD18" s="47" t="str">
        <f>IFERROR(__xludf.DUMMYFUNCTION("""COMPUTED_VALUE"""),"Talento Humano")</f>
        <v>Talento Humano</v>
      </c>
      <c r="AE18" s="47" t="str">
        <f>IFERROR(__xludf.DUMMYFUNCTION("""COMPUTED_VALUE"""),"Talento Humano")</f>
        <v>Talento Humano</v>
      </c>
      <c r="AF18" s="47" t="str">
        <f>IFERROR(__xludf.DUMMYFUNCTION("""COMPUTED_VALUE"""),"16. Paz, justicia e instituciones sólidas")</f>
        <v>16. Paz, justicia e instituciones sólidas</v>
      </c>
      <c r="AG18" s="79">
        <f>IFERROR(__xludf.DUMMYFUNCTION("""COMPUTED_VALUE"""),1.0)</f>
        <v>1</v>
      </c>
      <c r="AH18" s="59" t="str">
        <f>IFERROR(__xludf.DUMMYFUNCTION("""COMPUTED_VALUE"""),"De 10 solicitudes de procesos públicos de selección radicadas que cumplían con la totalidad de requisitos, se desarrollaron 10 procesos públicos de selección en SECOP.")</f>
        <v>De 10 solicitudes de procesos públicos de selección radicadas que cumplían con la totalidad de requisitos, se desarrollaron 10 procesos públicos de selección en SECOP.</v>
      </c>
      <c r="AI18" s="59" t="str">
        <f>IFERROR(__xludf.DUMMYFUNCTION("""COMPUTED_VALUE"""),"Hoja ""INDICADOR 2 PROCESOS PÚBLICOS"" https://drive.google.com/file/d/1XoV4CWd9GUqA7LvuxlBXKcT4sGHpoohj/view?usp=sharing")</f>
        <v>Hoja "INDICADOR 2 PROCESOS PÚBLICOS" https://drive.google.com/file/d/1XoV4CWd9GUqA7LvuxlBXKcT4sGHpoohj/view?usp=sharing</v>
      </c>
      <c r="AJ18" s="60">
        <f>IFERROR(__xludf.DUMMYFUNCTION("""COMPUTED_VALUE"""),44396.0)</f>
        <v>44396</v>
      </c>
      <c r="AK18" s="61" t="str">
        <f>IFERROR(IF((AL18+1)&lt;2,Alertas!$B$2&amp;TEXT(AL18,"0%")&amp;Alertas!$D$2, IF((AL18+1)=2,Alertas!$B$3,IF((AL18+1)&gt;2,Alertas!$B$4&amp;TEXT(AL18,"0%")&amp;Alertas!$D$4,AL18+1))),"Sin meta para el segundo trimestre")</f>
        <v>La ejecución de la meta registrada se encuentra acorde a la meta programada en la formulación del plan de acción para el segundo trimestre</v>
      </c>
      <c r="AL18" s="62">
        <f t="shared" si="2"/>
        <v>1</v>
      </c>
      <c r="AM18" s="61" t="str">
        <f t="shared" si="3"/>
        <v>La ejecución de la meta registrada se encuentra acorde a la meta programada en la formulación del plan de acción para el segundo trimestre.</v>
      </c>
      <c r="AN18" s="63"/>
      <c r="AO18" s="64"/>
      <c r="AP18" s="65"/>
      <c r="AQ18" s="65"/>
      <c r="AR18" s="66"/>
      <c r="AS18" s="67"/>
      <c r="AT18" s="68"/>
      <c r="AU18" s="63"/>
      <c r="AV18" s="64"/>
      <c r="AW18" s="69"/>
      <c r="AX18" s="65"/>
      <c r="AY18" s="70"/>
      <c r="AZ18" s="71"/>
      <c r="BA18" s="72"/>
      <c r="BB18" s="73"/>
      <c r="BC18" s="64"/>
      <c r="BD18" s="69"/>
      <c r="BE18" s="65"/>
      <c r="BF18" s="66"/>
      <c r="BG18" s="71"/>
      <c r="BH18" s="72"/>
      <c r="BI18" s="74"/>
      <c r="BK18" s="5" t="str">
        <f t="shared" ref="BK18:BK158" si="23">IFERROR(IF((AL18+1)&lt;2,"-1", IF((AL18+1)=2,"0",IF((AL18+1)&gt;2,"1",AL18+1))),"-")</f>
        <v>0</v>
      </c>
      <c r="BM18" s="75" t="s">
        <v>101</v>
      </c>
      <c r="BN18" s="13">
        <f t="shared" si="5"/>
        <v>8</v>
      </c>
      <c r="BO18" s="11">
        <f t="shared" si="6"/>
        <v>7</v>
      </c>
      <c r="BP18" s="11">
        <f t="shared" si="7"/>
        <v>7</v>
      </c>
      <c r="BQ18" s="12">
        <f t="shared" si="8"/>
        <v>1.25512189</v>
      </c>
      <c r="BR18" s="11" t="str">
        <f t="shared" si="9"/>
        <v>Reporte con Sobre Ejecución</v>
      </c>
      <c r="BS18" s="76">
        <f t="shared" ref="BS18:BV18" si="22">COUNTIFS($D:$D,$BM18,$BK:$BK,BS$1)</f>
        <v>1</v>
      </c>
      <c r="BT18" s="76">
        <f t="shared" si="22"/>
        <v>0</v>
      </c>
      <c r="BU18" s="76">
        <f t="shared" si="22"/>
        <v>2</v>
      </c>
      <c r="BV18" s="76">
        <f t="shared" si="22"/>
        <v>5</v>
      </c>
    </row>
    <row r="19" ht="37.5" customHeight="1">
      <c r="A19" s="45"/>
      <c r="B19" s="46">
        <f>IFERROR(__xludf.DUMMYFUNCTION("""COMPUTED_VALUE"""),17.0)</f>
        <v>17</v>
      </c>
      <c r="C19" s="47" t="str">
        <f>IFERROR(__xludf.DUMMYFUNCTION("""COMPUTED_VALUE"""),"Gestión de contratación")</f>
        <v>Gestión de contratación</v>
      </c>
      <c r="D19" s="48" t="str">
        <f>IFERROR(__xludf.DUMMYFUNCTION("""COMPUTED_VALUE"""),"Contratos")</f>
        <v>Contratos</v>
      </c>
      <c r="E19" s="48" t="str">
        <f>IFERROR(__xludf.DUMMYFUNCTION("""COMPUTED_VALUE"""),"Fortalecimiento de la capacidad de gestión de la autoridad nacional de acuicultura y pesca - aunap nacional")</f>
        <v>Fortalecimiento de la capacidad de gestión de la autoridad nacional de acuicultura y pesca - aunap nacional</v>
      </c>
      <c r="F19" s="49">
        <f>IFERROR(__xludf.DUMMYFUNCTION("""COMPUTED_VALUE"""),2.018011000241E12)</f>
        <v>2018011000241</v>
      </c>
      <c r="G19" s="50" t="str">
        <f>IFERROR(__xludf.DUMMYFUNCTION("""COMPUTED_VALUE"""),"Fortalecimiento")</f>
        <v>Fortalecimiento</v>
      </c>
      <c r="H19" s="48" t="str">
        <f>IFERROR(__xludf.DUMMYFUNCTION("""COMPUTED_VALUE"""),"Fortalecer los sistemas de gestión de la Entidad")</f>
        <v>Fortalecer los sistemas de gestión de la Entidad</v>
      </c>
      <c r="I19" s="48" t="str">
        <f>IFERROR(__xludf.DUMMYFUNCTION("""COMPUTED_VALUE"""),"Servicio de Implementación Sistemas de Gestión")</f>
        <v>Servicio de Implementación Sistemas de Gestión</v>
      </c>
      <c r="J1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9" s="51" t="str">
        <f>IFERROR(__xludf.DUMMYFUNCTION("""COMPUTED_VALUE"""),"Gestión del área")</f>
        <v>Gestión del área</v>
      </c>
      <c r="L19" s="51" t="str">
        <f>IFERROR(__xludf.DUMMYFUNCTION("""COMPUTED_VALUE"""),"Eficiencia")</f>
        <v>Eficiencia</v>
      </c>
      <c r="M19" s="51" t="str">
        <f>IFERROR(__xludf.DUMMYFUNCTION("""COMPUTED_VALUE"""),"Porcentaje")</f>
        <v>Porcentaje</v>
      </c>
      <c r="N19" s="52" t="str">
        <f>IFERROR(__xludf.DUMMYFUNCTION("""COMPUTED_VALUE"""),"N° contratos suscritos/N° contratos adjudicados.")</f>
        <v>N° contratos suscritos/N° contratos adjudicados.</v>
      </c>
      <c r="O19" s="53"/>
      <c r="P19" s="77">
        <f>IFERROR(__xludf.DUMMYFUNCTION("""COMPUTED_VALUE"""),1.0)</f>
        <v>1</v>
      </c>
      <c r="Q19" s="78" t="str">
        <f>IFERROR(__xludf.DUMMYFUNCTION("""COMPUTED_VALUE"""),"Elaborar y/o estructurar los contratos con todas las condiciones para su formalización")</f>
        <v>Elaborar y/o estructurar los contratos con todas las condiciones para su formalización</v>
      </c>
      <c r="R19" s="78" t="str">
        <f>IFERROR(__xludf.DUMMYFUNCTION("""COMPUTED_VALUE"""),"Trimestral")</f>
        <v>Trimestral</v>
      </c>
      <c r="S19" s="77">
        <f>IFERROR(__xludf.DUMMYFUNCTION("""COMPUTED_VALUE"""),1.0)</f>
        <v>1</v>
      </c>
      <c r="T19" s="77">
        <f>IFERROR(__xludf.DUMMYFUNCTION("""COMPUTED_VALUE"""),1.0)</f>
        <v>1</v>
      </c>
      <c r="U19" s="77">
        <f>IFERROR(__xludf.DUMMYFUNCTION("""COMPUTED_VALUE"""),1.0)</f>
        <v>1</v>
      </c>
      <c r="V19" s="77">
        <f>IFERROR(__xludf.DUMMYFUNCTION("""COMPUTED_VALUE"""),1.0)</f>
        <v>1</v>
      </c>
      <c r="W19" s="56" t="str">
        <f>IFERROR(__xludf.DUMMYFUNCTION("""COMPUTED_VALUE"""),"Contratos")</f>
        <v>Contratos</v>
      </c>
      <c r="X19" s="57" t="str">
        <f>IFERROR(__xludf.DUMMYFUNCTION("""COMPUTED_VALUE"""),"Milton Cuervo")</f>
        <v>Milton Cuervo</v>
      </c>
      <c r="Y19" s="47" t="str">
        <f>IFERROR(__xludf.DUMMYFUNCTION("""COMPUTED_VALUE"""),"Asesor")</f>
        <v>Asesor</v>
      </c>
      <c r="Z19" s="57" t="str">
        <f>IFERROR(__xludf.DUMMYFUNCTION("""COMPUTED_VALUE"""),"milton.cuervo@aunap.gov.co")</f>
        <v>milton.cuervo@aunap.gov.co</v>
      </c>
      <c r="AA19" s="47" t="str">
        <f>IFERROR(__xludf.DUMMYFUNCTION("""COMPUTED_VALUE"""),"Humanos, Físicos, Financieros, Tecnológicos")</f>
        <v>Humanos, Físicos, Financieros, Tecnológicos</v>
      </c>
      <c r="AB19" s="47" t="str">
        <f>IFERROR(__xludf.DUMMYFUNCTION("""COMPUTED_VALUE"""),"No asociado")</f>
        <v>No asociado</v>
      </c>
      <c r="AC19" s="47" t="str">
        <f>IFERROR(__xludf.DUMMYFUNCTION("""COMPUTED_VALUE"""),"Llegar con actividades de pesca y acuicultura a todas las regiones")</f>
        <v>Llegar con actividades de pesca y acuicultura a todas las regiones</v>
      </c>
      <c r="AD19" s="47" t="str">
        <f>IFERROR(__xludf.DUMMYFUNCTION("""COMPUTED_VALUE"""),"Talento Humano")</f>
        <v>Talento Humano</v>
      </c>
      <c r="AE19" s="47" t="str">
        <f>IFERROR(__xludf.DUMMYFUNCTION("""COMPUTED_VALUE"""),"Talento Humano")</f>
        <v>Talento Humano</v>
      </c>
      <c r="AF19" s="47" t="str">
        <f>IFERROR(__xludf.DUMMYFUNCTION("""COMPUTED_VALUE"""),"16. Paz, justicia e instituciones sólidas")</f>
        <v>16. Paz, justicia e instituciones sólidas</v>
      </c>
      <c r="AG19" s="79">
        <f>IFERROR(__xludf.DUMMYFUNCTION("""COMPUTED_VALUE"""),1.0)</f>
        <v>1</v>
      </c>
      <c r="AH19" s="59" t="str">
        <f>IFERROR(__xludf.DUMMYFUNCTION("""COMPUTED_VALUE"""),"se suscribieron y estructuraron 60 contratos de 60 que cumplían con todas las condiciones para su formalización.")</f>
        <v>se suscribieron y estructuraron 60 contratos de 60 que cumplían con todas las condiciones para su formalización.</v>
      </c>
      <c r="AI19" s="59" t="str">
        <f>IFERROR(__xludf.DUMMYFUNCTION("""COMPUTED_VALUE"""),"Hoja ""INDICADOR 3 CONTRATOS SUSCRITOS"" https://drive.google.com/file/d/1XoV4CWd9GUqA7LvuxlBXKcT4sGHpoohj/view?usp=sharing")</f>
        <v>Hoja "INDICADOR 3 CONTRATOS SUSCRITOS" https://drive.google.com/file/d/1XoV4CWd9GUqA7LvuxlBXKcT4sGHpoohj/view?usp=sharing</v>
      </c>
      <c r="AJ19" s="60">
        <f>IFERROR(__xludf.DUMMYFUNCTION("""COMPUTED_VALUE"""),44396.0)</f>
        <v>44396</v>
      </c>
      <c r="AK19" s="61" t="str">
        <f>IFERROR(IF((AL19+1)&lt;2,Alertas!$B$2&amp;TEXT(AL19,"0%")&amp;Alertas!$D$2, IF((AL19+1)=2,Alertas!$B$3,IF((AL19+1)&gt;2,Alertas!$B$4&amp;TEXT(AL19,"0%")&amp;Alertas!$D$4,AL19+1))),"Sin meta para el segundo trimestre")</f>
        <v>La ejecución de la meta registrada se encuentra acorde a la meta programada en la formulación del plan de acción para el segundo trimestre</v>
      </c>
      <c r="AL19" s="62">
        <f t="shared" si="2"/>
        <v>1</v>
      </c>
      <c r="AM19" s="61" t="str">
        <f t="shared" si="3"/>
        <v>La ejecución de la meta registrada se encuentra acorde a la meta programada en la formulación del plan de acción para el segundo trimestre.</v>
      </c>
      <c r="AN19" s="63"/>
      <c r="AO19" s="64"/>
      <c r="AP19" s="65"/>
      <c r="AQ19" s="65"/>
      <c r="AR19" s="66"/>
      <c r="AS19" s="67"/>
      <c r="AT19" s="68"/>
      <c r="AU19" s="63"/>
      <c r="AV19" s="64"/>
      <c r="AW19" s="69"/>
      <c r="AX19" s="65"/>
      <c r="AY19" s="70"/>
      <c r="AZ19" s="71"/>
      <c r="BA19" s="72"/>
      <c r="BB19" s="73"/>
      <c r="BC19" s="64"/>
      <c r="BD19" s="69"/>
      <c r="BE19" s="65"/>
      <c r="BF19" s="66"/>
      <c r="BG19" s="71"/>
      <c r="BH19" s="72"/>
      <c r="BI19" s="74"/>
      <c r="BK19" s="5" t="str">
        <f t="shared" si="23"/>
        <v>0</v>
      </c>
      <c r="BM19" s="75" t="s">
        <v>102</v>
      </c>
      <c r="BN19" s="13">
        <f t="shared" si="5"/>
        <v>17</v>
      </c>
      <c r="BO19" s="11">
        <f t="shared" si="6"/>
        <v>12</v>
      </c>
      <c r="BP19" s="11">
        <f t="shared" si="7"/>
        <v>12</v>
      </c>
      <c r="BQ19" s="12">
        <f t="shared" si="8"/>
        <v>1.621944349</v>
      </c>
      <c r="BR19" s="11" t="str">
        <f t="shared" si="9"/>
        <v>Reporte con Sobre Ejecución</v>
      </c>
      <c r="BS19" s="76">
        <f t="shared" ref="BS19:BV19" si="24">COUNTIFS($D:$D,$BM19,$BK:$BK,BS$1)</f>
        <v>5</v>
      </c>
      <c r="BT19" s="76">
        <f t="shared" si="24"/>
        <v>0</v>
      </c>
      <c r="BU19" s="76">
        <f t="shared" si="24"/>
        <v>3</v>
      </c>
      <c r="BV19" s="76">
        <f t="shared" si="24"/>
        <v>9</v>
      </c>
    </row>
    <row r="20" ht="37.5" customHeight="1">
      <c r="A20" s="45"/>
      <c r="B20" s="46">
        <f>IFERROR(__xludf.DUMMYFUNCTION("""COMPUTED_VALUE"""),18.0)</f>
        <v>18</v>
      </c>
      <c r="C20" s="47" t="str">
        <f>IFERROR(__xludf.DUMMYFUNCTION("""COMPUTED_VALUE"""),"Gestión de contratación")</f>
        <v>Gestión de contratación</v>
      </c>
      <c r="D20" s="48" t="str">
        <f>IFERROR(__xludf.DUMMYFUNCTION("""COMPUTED_VALUE"""),"Contratos")</f>
        <v>Contratos</v>
      </c>
      <c r="E20" s="48" t="str">
        <f>IFERROR(__xludf.DUMMYFUNCTION("""COMPUTED_VALUE"""),"Fortalecimiento de la capacidad de gestión de la autoridad nacional de acuicultura y pesca - aunap nacional")</f>
        <v>Fortalecimiento de la capacidad de gestión de la autoridad nacional de acuicultura y pesca - aunap nacional</v>
      </c>
      <c r="F20" s="49">
        <f>IFERROR(__xludf.DUMMYFUNCTION("""COMPUTED_VALUE"""),2.018011000241E12)</f>
        <v>2018011000241</v>
      </c>
      <c r="G20" s="50" t="str">
        <f>IFERROR(__xludf.DUMMYFUNCTION("""COMPUTED_VALUE"""),"Fortalecimiento")</f>
        <v>Fortalecimiento</v>
      </c>
      <c r="H20" s="48" t="str">
        <f>IFERROR(__xludf.DUMMYFUNCTION("""COMPUTED_VALUE"""),"Fortalecer los sistemas de gestión de la Entidad")</f>
        <v>Fortalecer los sistemas de gestión de la Entidad</v>
      </c>
      <c r="I20" s="48" t="str">
        <f>IFERROR(__xludf.DUMMYFUNCTION("""COMPUTED_VALUE"""),"Servicio de Implementación Sistemas de Gestión")</f>
        <v>Servicio de Implementación Sistemas de Gestión</v>
      </c>
      <c r="J2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0" s="51" t="str">
        <f>IFERROR(__xludf.DUMMYFUNCTION("""COMPUTED_VALUE"""),"Gestión del área")</f>
        <v>Gestión del área</v>
      </c>
      <c r="L20" s="51" t="str">
        <f>IFERROR(__xludf.DUMMYFUNCTION("""COMPUTED_VALUE"""),"Eficiencia")</f>
        <v>Eficiencia</v>
      </c>
      <c r="M20" s="51" t="str">
        <f>IFERROR(__xludf.DUMMYFUNCTION("""COMPUTED_VALUE"""),"Porcentaje")</f>
        <v>Porcentaje</v>
      </c>
      <c r="N20" s="52" t="str">
        <f>IFERROR(__xludf.DUMMYFUNCTION("""COMPUTED_VALUE"""),"N° de contratos y/o convenios liquidados/N°contratos y/o convenios con solicitud de liquidación con la totalidad los requisitos..")</f>
        <v>N° de contratos y/o convenios liquidados/N°contratos y/o convenios con solicitud de liquidación con la totalidad los requisitos..</v>
      </c>
      <c r="O20" s="53"/>
      <c r="P20" s="77">
        <f>IFERROR(__xludf.DUMMYFUNCTION("""COMPUTED_VALUE"""),1.0)</f>
        <v>1</v>
      </c>
      <c r="Q20" s="78" t="str">
        <f>IFERROR(__xludf.DUMMYFUNCTION("""COMPUTED_VALUE"""),"Revisar y aprobar actas de liquidación de contratos y convenios")</f>
        <v>Revisar y aprobar actas de liquidación de contratos y convenios</v>
      </c>
      <c r="R20" s="78" t="str">
        <f>IFERROR(__xludf.DUMMYFUNCTION("""COMPUTED_VALUE"""),"Trimestral")</f>
        <v>Trimestral</v>
      </c>
      <c r="S20" s="77">
        <f>IFERROR(__xludf.DUMMYFUNCTION("""COMPUTED_VALUE"""),1.0)</f>
        <v>1</v>
      </c>
      <c r="T20" s="77">
        <f>IFERROR(__xludf.DUMMYFUNCTION("""COMPUTED_VALUE"""),1.0)</f>
        <v>1</v>
      </c>
      <c r="U20" s="77">
        <f>IFERROR(__xludf.DUMMYFUNCTION("""COMPUTED_VALUE"""),1.0)</f>
        <v>1</v>
      </c>
      <c r="V20" s="77">
        <f>IFERROR(__xludf.DUMMYFUNCTION("""COMPUTED_VALUE"""),1.0)</f>
        <v>1</v>
      </c>
      <c r="W20" s="56" t="str">
        <f>IFERROR(__xludf.DUMMYFUNCTION("""COMPUTED_VALUE"""),"Contratos")</f>
        <v>Contratos</v>
      </c>
      <c r="X20" s="57" t="str">
        <f>IFERROR(__xludf.DUMMYFUNCTION("""COMPUTED_VALUE"""),"Milton Cuervo")</f>
        <v>Milton Cuervo</v>
      </c>
      <c r="Y20" s="47" t="str">
        <f>IFERROR(__xludf.DUMMYFUNCTION("""COMPUTED_VALUE"""),"Asesor")</f>
        <v>Asesor</v>
      </c>
      <c r="Z20" s="57" t="str">
        <f>IFERROR(__xludf.DUMMYFUNCTION("""COMPUTED_VALUE"""),"milton.cuervo@aunap.gov.co")</f>
        <v>milton.cuervo@aunap.gov.co</v>
      </c>
      <c r="AA20" s="47" t="str">
        <f>IFERROR(__xludf.DUMMYFUNCTION("""COMPUTED_VALUE"""),"Humanos, Físicos, Financieros, Tecnológicos")</f>
        <v>Humanos, Físicos, Financieros, Tecnológicos</v>
      </c>
      <c r="AB20" s="47" t="str">
        <f>IFERROR(__xludf.DUMMYFUNCTION("""COMPUTED_VALUE"""),"No asociado")</f>
        <v>No asociado</v>
      </c>
      <c r="AC20" s="47" t="str">
        <f>IFERROR(__xludf.DUMMYFUNCTION("""COMPUTED_VALUE"""),"Llegar con actividades de pesca y acuicultura a todas las regiones")</f>
        <v>Llegar con actividades de pesca y acuicultura a todas las regiones</v>
      </c>
      <c r="AD20" s="47" t="str">
        <f>IFERROR(__xludf.DUMMYFUNCTION("""COMPUTED_VALUE"""),"Talento Humano")</f>
        <v>Talento Humano</v>
      </c>
      <c r="AE20" s="47" t="str">
        <f>IFERROR(__xludf.DUMMYFUNCTION("""COMPUTED_VALUE"""),"Talento Humano")</f>
        <v>Talento Humano</v>
      </c>
      <c r="AF20" s="47" t="str">
        <f>IFERROR(__xludf.DUMMYFUNCTION("""COMPUTED_VALUE"""),"16. Paz, justicia e instituciones sólidas")</f>
        <v>16. Paz, justicia e instituciones sólidas</v>
      </c>
      <c r="AG20" s="79">
        <f>IFERROR(__xludf.DUMMYFUNCTION("""COMPUTED_VALUE"""),1.0)</f>
        <v>1</v>
      </c>
      <c r="AH20" s="59" t="str">
        <f>IFERROR(__xludf.DUMMYFUNCTION("""COMPUTED_VALUE"""),"En el segundo trimestre 2021,se liquidaron 14 contratos y convenios, de los 14 solicitudes radicadas que cumplían con la totalidad de requisitos.")</f>
        <v>En el segundo trimestre 2021,se liquidaron 14 contratos y convenios, de los 14 solicitudes radicadas que cumplían con la totalidad de requisitos.</v>
      </c>
      <c r="AI20" s="59" t="str">
        <f>IFERROR(__xludf.DUMMYFUNCTION("""COMPUTED_VALUE"""),"Hoja ""INDICADOR 4 CTO LIQUIDADOS https://drive.google.com/file/d/1XoV4CWd9GUqA7LvuxlBXKcT4sGHpoohj/view?usp=sharing")</f>
        <v>Hoja "INDICADOR 4 CTO LIQUIDADOS https://drive.google.com/file/d/1XoV4CWd9GUqA7LvuxlBXKcT4sGHpoohj/view?usp=sharing</v>
      </c>
      <c r="AJ20" s="60">
        <f>IFERROR(__xludf.DUMMYFUNCTION("""COMPUTED_VALUE"""),44396.0)</f>
        <v>44396</v>
      </c>
      <c r="AK20" s="61" t="str">
        <f>IFERROR(IF((AL20+1)&lt;2,Alertas!$B$2&amp;TEXT(AL20,"0%")&amp;Alertas!$D$2, IF((AL20+1)=2,Alertas!$B$3,IF((AL20+1)&gt;2,Alertas!$B$4&amp;TEXT(AL20,"0%")&amp;Alertas!$D$4,AL20+1))),"Sin meta para el segundo trimestre")</f>
        <v>La ejecución de la meta registrada se encuentra acorde a la meta programada en la formulación del plan de acción para el segundo trimestre</v>
      </c>
      <c r="AL20" s="62">
        <f t="shared" si="2"/>
        <v>1</v>
      </c>
      <c r="AM20" s="61" t="str">
        <f t="shared" si="3"/>
        <v>La ejecución de la meta registrada se encuentra acorde a la meta programada en la formulación del plan de acción para el segundo trimestre.</v>
      </c>
      <c r="AN20" s="63"/>
      <c r="AO20" s="64"/>
      <c r="AP20" s="65"/>
      <c r="AQ20" s="65"/>
      <c r="AR20" s="66"/>
      <c r="AS20" s="67"/>
      <c r="AT20" s="68"/>
      <c r="AU20" s="63"/>
      <c r="AV20" s="64"/>
      <c r="AW20" s="69"/>
      <c r="AX20" s="65"/>
      <c r="AY20" s="70"/>
      <c r="AZ20" s="71"/>
      <c r="BA20" s="72"/>
      <c r="BB20" s="73"/>
      <c r="BC20" s="64"/>
      <c r="BD20" s="69"/>
      <c r="BE20" s="65"/>
      <c r="BF20" s="66"/>
      <c r="BG20" s="71"/>
      <c r="BH20" s="72"/>
      <c r="BI20" s="74"/>
      <c r="BK20" s="5" t="str">
        <f t="shared" si="23"/>
        <v>0</v>
      </c>
      <c r="BM20" s="75" t="s">
        <v>103</v>
      </c>
      <c r="BN20" s="13">
        <f t="shared" si="5"/>
        <v>10</v>
      </c>
      <c r="BO20" s="11">
        <f t="shared" si="6"/>
        <v>9</v>
      </c>
      <c r="BP20" s="11">
        <f t="shared" si="7"/>
        <v>9</v>
      </c>
      <c r="BQ20" s="12">
        <f t="shared" si="8"/>
        <v>1.158280847</v>
      </c>
      <c r="BR20" s="11" t="str">
        <f t="shared" si="9"/>
        <v>Reporte con Sobre Ejecución</v>
      </c>
      <c r="BS20" s="76">
        <f t="shared" ref="BS20:BV20" si="25">COUNTIFS($D:$D,$BM20,$BK:$BK,BS$1)</f>
        <v>1</v>
      </c>
      <c r="BT20" s="76">
        <f t="shared" si="25"/>
        <v>5</v>
      </c>
      <c r="BU20" s="76">
        <f t="shared" si="25"/>
        <v>1</v>
      </c>
      <c r="BV20" s="76">
        <f t="shared" si="25"/>
        <v>3</v>
      </c>
    </row>
    <row r="21" ht="37.5" customHeight="1">
      <c r="A21" s="45"/>
      <c r="B21" s="46">
        <f>IFERROR(__xludf.DUMMYFUNCTION("""COMPUTED_VALUE"""),19.0)</f>
        <v>19</v>
      </c>
      <c r="C21" s="47" t="str">
        <f>IFERROR(__xludf.DUMMYFUNCTION("""COMPUTED_VALUE"""),"Gestión de contratación")</f>
        <v>Gestión de contratación</v>
      </c>
      <c r="D21" s="48" t="str">
        <f>IFERROR(__xludf.DUMMYFUNCTION("""COMPUTED_VALUE"""),"Contratos")</f>
        <v>Contratos</v>
      </c>
      <c r="E21" s="48" t="str">
        <f>IFERROR(__xludf.DUMMYFUNCTION("""COMPUTED_VALUE"""),"Fortalecimiento de la capacidad de gestión de la autoridad nacional de acuicultura y pesca - aunap nacional")</f>
        <v>Fortalecimiento de la capacidad de gestión de la autoridad nacional de acuicultura y pesca - aunap nacional</v>
      </c>
      <c r="F21" s="49">
        <f>IFERROR(__xludf.DUMMYFUNCTION("""COMPUTED_VALUE"""),2.018011000241E12)</f>
        <v>2018011000241</v>
      </c>
      <c r="G21" s="50" t="str">
        <f>IFERROR(__xludf.DUMMYFUNCTION("""COMPUTED_VALUE"""),"Fortalecimiento")</f>
        <v>Fortalecimiento</v>
      </c>
      <c r="H21" s="48" t="str">
        <f>IFERROR(__xludf.DUMMYFUNCTION("""COMPUTED_VALUE"""),"Fortalecer los sistemas de gestión de la Entidad")</f>
        <v>Fortalecer los sistemas de gestión de la Entidad</v>
      </c>
      <c r="I21" s="48" t="str">
        <f>IFERROR(__xludf.DUMMYFUNCTION("""COMPUTED_VALUE"""),"Servicio de Implementación Sistemas de Gestión")</f>
        <v>Servicio de Implementación Sistemas de Gestión</v>
      </c>
      <c r="J21"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1" s="51" t="str">
        <f>IFERROR(__xludf.DUMMYFUNCTION("""COMPUTED_VALUE"""),"Gestión del área")</f>
        <v>Gestión del área</v>
      </c>
      <c r="L21" s="51" t="str">
        <f>IFERROR(__xludf.DUMMYFUNCTION("""COMPUTED_VALUE"""),"Eficiencia")</f>
        <v>Eficiencia</v>
      </c>
      <c r="M21" s="51" t="str">
        <f>IFERROR(__xludf.DUMMYFUNCTION("""COMPUTED_VALUE"""),"Porcentaje")</f>
        <v>Porcentaje</v>
      </c>
      <c r="N21" s="52" t="str">
        <f>IFERROR(__xludf.DUMMYFUNCTION("""COMPUTED_VALUE"""),"N° de procesos publicados / N° de procesos desarrollados")</f>
        <v>N° de procesos publicados / N° de procesos desarrollados</v>
      </c>
      <c r="O21" s="53"/>
      <c r="P21" s="77">
        <f>IFERROR(__xludf.DUMMYFUNCTION("""COMPUTED_VALUE"""),1.0)</f>
        <v>1</v>
      </c>
      <c r="Q21" s="78" t="str">
        <f>IFERROR(__xludf.DUMMYFUNCTION("""COMPUTED_VALUE"""),"Publicar los procesos de contratación con la documentación derivada del mismo en el sistema electrónico de contratación pública")</f>
        <v>Publicar los procesos de contratación con la documentación derivada del mismo en el sistema electrónico de contratación pública</v>
      </c>
      <c r="R21" s="78" t="str">
        <f>IFERROR(__xludf.DUMMYFUNCTION("""COMPUTED_VALUE"""),"Trimestral")</f>
        <v>Trimestral</v>
      </c>
      <c r="S21" s="77">
        <f>IFERROR(__xludf.DUMMYFUNCTION("""COMPUTED_VALUE"""),1.0)</f>
        <v>1</v>
      </c>
      <c r="T21" s="77">
        <f>IFERROR(__xludf.DUMMYFUNCTION("""COMPUTED_VALUE"""),1.0)</f>
        <v>1</v>
      </c>
      <c r="U21" s="77">
        <f>IFERROR(__xludf.DUMMYFUNCTION("""COMPUTED_VALUE"""),1.0)</f>
        <v>1</v>
      </c>
      <c r="V21" s="77">
        <f>IFERROR(__xludf.DUMMYFUNCTION("""COMPUTED_VALUE"""),1.0)</f>
        <v>1</v>
      </c>
      <c r="W21" s="56" t="str">
        <f>IFERROR(__xludf.DUMMYFUNCTION("""COMPUTED_VALUE"""),"Contratos")</f>
        <v>Contratos</v>
      </c>
      <c r="X21" s="57" t="str">
        <f>IFERROR(__xludf.DUMMYFUNCTION("""COMPUTED_VALUE"""),"Milton Cuervo")</f>
        <v>Milton Cuervo</v>
      </c>
      <c r="Y21" s="47" t="str">
        <f>IFERROR(__xludf.DUMMYFUNCTION("""COMPUTED_VALUE"""),"Asesor")</f>
        <v>Asesor</v>
      </c>
      <c r="Z21" s="57" t="str">
        <f>IFERROR(__xludf.DUMMYFUNCTION("""COMPUTED_VALUE"""),"milton.cuervo@aunap.gov.co")</f>
        <v>milton.cuervo@aunap.gov.co</v>
      </c>
      <c r="AA21" s="47" t="str">
        <f>IFERROR(__xludf.DUMMYFUNCTION("""COMPUTED_VALUE"""),"Humanos, Físicos, Financieros, Tecnológicos")</f>
        <v>Humanos, Físicos, Financieros, Tecnológicos</v>
      </c>
      <c r="AB21" s="47" t="str">
        <f>IFERROR(__xludf.DUMMYFUNCTION("""COMPUTED_VALUE"""),"No asociado")</f>
        <v>No asociado</v>
      </c>
      <c r="AC21" s="47" t="str">
        <f>IFERROR(__xludf.DUMMYFUNCTION("""COMPUTED_VALUE"""),"Llegar con actividades de pesca y acuicultura a todas las regiones")</f>
        <v>Llegar con actividades de pesca y acuicultura a todas las regiones</v>
      </c>
      <c r="AD21" s="47" t="str">
        <f>IFERROR(__xludf.DUMMYFUNCTION("""COMPUTED_VALUE"""),"Talento Humano")</f>
        <v>Talento Humano</v>
      </c>
      <c r="AE21" s="47" t="str">
        <f>IFERROR(__xludf.DUMMYFUNCTION("""COMPUTED_VALUE"""),"Talento Humano")</f>
        <v>Talento Humano</v>
      </c>
      <c r="AF21" s="47" t="str">
        <f>IFERROR(__xludf.DUMMYFUNCTION("""COMPUTED_VALUE"""),"16. Paz, justicia e instituciones sólidas")</f>
        <v>16. Paz, justicia e instituciones sólidas</v>
      </c>
      <c r="AG21" s="79">
        <f>IFERROR(__xludf.DUMMYFUNCTION("""COMPUTED_VALUE"""),1.0)</f>
        <v>1</v>
      </c>
      <c r="AH21" s="59" t="str">
        <f>IFERROR(__xludf.DUMMYFUNCTION("""COMPUTED_VALUE"""),"En el segundo trimestre 2021, se publicaron 60 procesos junto con la documentación derivada del mismo, de los 60 procesos que se estaban desarrollando, esto incluyendo los procesos públicos de selección y los de contratación directa.")</f>
        <v>En el segundo trimestre 2021, se publicaron 60 procesos junto con la documentación derivada del mismo, de los 60 procesos que se estaban desarrollando, esto incluyendo los procesos públicos de selección y los de contratación directa.</v>
      </c>
      <c r="AI21" s="59" t="str">
        <f>IFERROR(__xludf.DUMMYFUNCTION("""COMPUTED_VALUE"""),"Hoja ""INDICADOR 5 PROCESOS https://drive.google.com/file/d/1XoV4CWd9GUqA7LvuxlBXKcT4sGHpoohj/view?usp=sharing")</f>
        <v>Hoja "INDICADOR 5 PROCESOS https://drive.google.com/file/d/1XoV4CWd9GUqA7LvuxlBXKcT4sGHpoohj/view?usp=sharing</v>
      </c>
      <c r="AJ21" s="60">
        <f>IFERROR(__xludf.DUMMYFUNCTION("""COMPUTED_VALUE"""),44396.0)</f>
        <v>44396</v>
      </c>
      <c r="AK21" s="61" t="str">
        <f>IFERROR(IF((AL21+1)&lt;2,Alertas!$B$2&amp;TEXT(AL21,"0%")&amp;Alertas!$D$2, IF((AL21+1)=2,Alertas!$B$3,IF((AL21+1)&gt;2,Alertas!$B$4&amp;TEXT(AL21,"0%")&amp;Alertas!$D$4,AL21+1))),"Sin meta para el segundo trimestre")</f>
        <v>La ejecución de la meta registrada se encuentra acorde a la meta programada en la formulación del plan de acción para el segundo trimestre</v>
      </c>
      <c r="AL21" s="62">
        <f t="shared" si="2"/>
        <v>1</v>
      </c>
      <c r="AM21" s="61" t="str">
        <f t="shared" si="3"/>
        <v>La ejecución de la meta registrada se encuentra acorde a la meta programada en la formulación del plan de acción para el segundo trimestre.</v>
      </c>
      <c r="AN21" s="63"/>
      <c r="AO21" s="64"/>
      <c r="AP21" s="65"/>
      <c r="AQ21" s="65"/>
      <c r="AR21" s="66"/>
      <c r="AS21" s="67"/>
      <c r="AT21" s="68"/>
      <c r="AU21" s="63"/>
      <c r="AV21" s="64"/>
      <c r="AW21" s="69"/>
      <c r="AX21" s="65"/>
      <c r="AY21" s="70"/>
      <c r="AZ21" s="71"/>
      <c r="BA21" s="72"/>
      <c r="BB21" s="73"/>
      <c r="BC21" s="64"/>
      <c r="BD21" s="69"/>
      <c r="BE21" s="65"/>
      <c r="BF21" s="66"/>
      <c r="BG21" s="71"/>
      <c r="BH21" s="72"/>
      <c r="BI21" s="74"/>
      <c r="BK21" s="5" t="str">
        <f t="shared" si="23"/>
        <v>0</v>
      </c>
      <c r="BM21" s="75" t="s">
        <v>104</v>
      </c>
      <c r="BN21" s="13">
        <f t="shared" si="5"/>
        <v>12</v>
      </c>
      <c r="BO21" s="11">
        <f t="shared" si="6"/>
        <v>11</v>
      </c>
      <c r="BP21" s="11">
        <f t="shared" si="7"/>
        <v>11</v>
      </c>
      <c r="BQ21" s="12">
        <f t="shared" si="8"/>
        <v>1.766149733</v>
      </c>
      <c r="BR21" s="11" t="str">
        <f t="shared" si="9"/>
        <v>Reporte con Sobre Ejecución</v>
      </c>
      <c r="BS21" s="76">
        <f t="shared" ref="BS21:BV21" si="26">COUNTIFS($D:$D,$BM21,$BK:$BK,BS$1)</f>
        <v>1</v>
      </c>
      <c r="BT21" s="76">
        <f t="shared" si="26"/>
        <v>0</v>
      </c>
      <c r="BU21" s="76">
        <f t="shared" si="26"/>
        <v>7</v>
      </c>
      <c r="BV21" s="76">
        <f t="shared" si="26"/>
        <v>4</v>
      </c>
    </row>
    <row r="22" ht="37.5" customHeight="1">
      <c r="A22" s="45"/>
      <c r="B22" s="46">
        <f>IFERROR(__xludf.DUMMYFUNCTION("""COMPUTED_VALUE"""),20.0)</f>
        <v>20</v>
      </c>
      <c r="C22" s="47" t="str">
        <f>IFERROR(__xludf.DUMMYFUNCTION("""COMPUTED_VALUE"""),"Gestión de contratación")</f>
        <v>Gestión de contratación</v>
      </c>
      <c r="D22" s="48" t="str">
        <f>IFERROR(__xludf.DUMMYFUNCTION("""COMPUTED_VALUE"""),"Contratos")</f>
        <v>Contratos</v>
      </c>
      <c r="E22" s="48" t="str">
        <f>IFERROR(__xludf.DUMMYFUNCTION("""COMPUTED_VALUE"""),"Fortalecimiento de la capacidad de gestión de la autoridad nacional de acuicultura y pesca - aunap nacional")</f>
        <v>Fortalecimiento de la capacidad de gestión de la autoridad nacional de acuicultura y pesca - aunap nacional</v>
      </c>
      <c r="F22" s="49">
        <f>IFERROR(__xludf.DUMMYFUNCTION("""COMPUTED_VALUE"""),2.018011000241E12)</f>
        <v>2018011000241</v>
      </c>
      <c r="G22" s="50" t="str">
        <f>IFERROR(__xludf.DUMMYFUNCTION("""COMPUTED_VALUE"""),"Fortalecimiento")</f>
        <v>Fortalecimiento</v>
      </c>
      <c r="H22" s="48" t="str">
        <f>IFERROR(__xludf.DUMMYFUNCTION("""COMPUTED_VALUE"""),"Fortalecer los sistemas de gestión de la Entidad")</f>
        <v>Fortalecer los sistemas de gestión de la Entidad</v>
      </c>
      <c r="I22" s="48" t="str">
        <f>IFERROR(__xludf.DUMMYFUNCTION("""COMPUTED_VALUE"""),"Servicio de Implementación Sistemas de Gestión")</f>
        <v>Servicio de Implementación Sistemas de Gestión</v>
      </c>
      <c r="J22"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2" s="51" t="str">
        <f>IFERROR(__xludf.DUMMYFUNCTION("""COMPUTED_VALUE"""),"Gestión del área")</f>
        <v>Gestión del área</v>
      </c>
      <c r="L22" s="51" t="str">
        <f>IFERROR(__xludf.DUMMYFUNCTION("""COMPUTED_VALUE"""),"Eficiencia")</f>
        <v>Eficiencia</v>
      </c>
      <c r="M22" s="51" t="str">
        <f>IFERROR(__xludf.DUMMYFUNCTION("""COMPUTED_VALUE"""),"Porcentaje")</f>
        <v>Porcentaje</v>
      </c>
      <c r="N22" s="52" t="str">
        <f>IFERROR(__xludf.DUMMYFUNCTION("""COMPUTED_VALUE"""),"N° de trámites adelantados /N° de solicitudes de incumplimiento")</f>
        <v>N° de trámites adelantados /N° de solicitudes de incumplimiento</v>
      </c>
      <c r="O22" s="53"/>
      <c r="P22" s="77">
        <f>IFERROR(__xludf.DUMMYFUNCTION("""COMPUTED_VALUE"""),1.0)</f>
        <v>1</v>
      </c>
      <c r="Q22" s="78" t="str">
        <f>IFERROR(__xludf.DUMMYFUNCTION("""COMPUTED_VALUE"""),"Adelantar los trámites de incumplimientos de acuerdo con la normatividad vigente")</f>
        <v>Adelantar los trámites de incumplimientos de acuerdo con la normatividad vigente</v>
      </c>
      <c r="R22" s="78" t="str">
        <f>IFERROR(__xludf.DUMMYFUNCTION("""COMPUTED_VALUE"""),"Trimestral")</f>
        <v>Trimestral</v>
      </c>
      <c r="S22" s="77">
        <f>IFERROR(__xludf.DUMMYFUNCTION("""COMPUTED_VALUE"""),1.0)</f>
        <v>1</v>
      </c>
      <c r="T22" s="77">
        <f>IFERROR(__xludf.DUMMYFUNCTION("""COMPUTED_VALUE"""),1.0)</f>
        <v>1</v>
      </c>
      <c r="U22" s="77">
        <f>IFERROR(__xludf.DUMMYFUNCTION("""COMPUTED_VALUE"""),1.0)</f>
        <v>1</v>
      </c>
      <c r="V22" s="77">
        <f>IFERROR(__xludf.DUMMYFUNCTION("""COMPUTED_VALUE"""),1.0)</f>
        <v>1</v>
      </c>
      <c r="W22" s="56" t="str">
        <f>IFERROR(__xludf.DUMMYFUNCTION("""COMPUTED_VALUE"""),"Contratos")</f>
        <v>Contratos</v>
      </c>
      <c r="X22" s="57" t="str">
        <f>IFERROR(__xludf.DUMMYFUNCTION("""COMPUTED_VALUE"""),"Milton Cuervo")</f>
        <v>Milton Cuervo</v>
      </c>
      <c r="Y22" s="47" t="str">
        <f>IFERROR(__xludf.DUMMYFUNCTION("""COMPUTED_VALUE"""),"Asesor")</f>
        <v>Asesor</v>
      </c>
      <c r="Z22" s="57" t="str">
        <f>IFERROR(__xludf.DUMMYFUNCTION("""COMPUTED_VALUE"""),"milton.cuervo@aunap.gov.co")</f>
        <v>milton.cuervo@aunap.gov.co</v>
      </c>
      <c r="AA22" s="47" t="str">
        <f>IFERROR(__xludf.DUMMYFUNCTION("""COMPUTED_VALUE"""),"Humanos, Físicos, Financieros, Tecnológicos")</f>
        <v>Humanos, Físicos, Financieros, Tecnológicos</v>
      </c>
      <c r="AB22" s="47" t="str">
        <f>IFERROR(__xludf.DUMMYFUNCTION("""COMPUTED_VALUE"""),"No asociado")</f>
        <v>No asociado</v>
      </c>
      <c r="AC22" s="47" t="str">
        <f>IFERROR(__xludf.DUMMYFUNCTION("""COMPUTED_VALUE"""),"Llegar con actividades de pesca y acuicultura a todas las regiones")</f>
        <v>Llegar con actividades de pesca y acuicultura a todas las regiones</v>
      </c>
      <c r="AD22" s="47" t="str">
        <f>IFERROR(__xludf.DUMMYFUNCTION("""COMPUTED_VALUE"""),"Talento Humano")</f>
        <v>Talento Humano</v>
      </c>
      <c r="AE22" s="47" t="str">
        <f>IFERROR(__xludf.DUMMYFUNCTION("""COMPUTED_VALUE"""),"Talento Humano")</f>
        <v>Talento Humano</v>
      </c>
      <c r="AF22" s="47" t="str">
        <f>IFERROR(__xludf.DUMMYFUNCTION("""COMPUTED_VALUE"""),"16. Paz, justicia e instituciones sólidas")</f>
        <v>16. Paz, justicia e instituciones sólidas</v>
      </c>
      <c r="AG22" s="79">
        <f>IFERROR(__xludf.DUMMYFUNCTION("""COMPUTED_VALUE"""),1.0)</f>
        <v>1</v>
      </c>
      <c r="AH22" s="59" t="str">
        <f>IFERROR(__xludf.DUMMYFUNCTION("""COMPUTED_VALUE"""),"No se recibieron solicitudes de incumplimiento. Por ello no se ha tramitado ninguno")</f>
        <v>No se recibieron solicitudes de incumplimiento. Por ello no se ha tramitado ninguno</v>
      </c>
      <c r="AI22" s="59" t="str">
        <f>IFERROR(__xludf.DUMMYFUNCTION("""COMPUTED_VALUE"""),"No se reporta evidencia por lo expuesto en la justificación del avance.")</f>
        <v>No se reporta evidencia por lo expuesto en la justificación del avance.</v>
      </c>
      <c r="AJ22" s="60">
        <f>IFERROR(__xludf.DUMMYFUNCTION("""COMPUTED_VALUE"""),44396.0)</f>
        <v>44396</v>
      </c>
      <c r="AK22" s="61" t="str">
        <f>IFERROR(IF((AL22+1)&lt;2,Alertas!$B$2&amp;TEXT(AL22,"0%")&amp;Alertas!$D$2, IF((AL22+1)=2,Alertas!$B$3,IF((AL22+1)&gt;2,Alertas!$B$4&amp;TEXT(AL22,"0%")&amp;Alertas!$D$4,AL22+1))),"Sin meta para el segundo trimestre")</f>
        <v>La ejecución de la meta registrada se encuentra acorde a la meta programada en la formulación del plan de acción para el segundo trimestre</v>
      </c>
      <c r="AL22" s="62">
        <f t="shared" si="2"/>
        <v>1</v>
      </c>
      <c r="AM22" s="61" t="str">
        <f t="shared" si="3"/>
        <v>La ejecución de la meta registrada se encuentra acorde a la meta programada en la formulación del plan de acción para el segundo trimestre.</v>
      </c>
      <c r="AN22" s="63"/>
      <c r="AO22" s="64"/>
      <c r="AP22" s="65"/>
      <c r="AQ22" s="65"/>
      <c r="AR22" s="66"/>
      <c r="AS22" s="67"/>
      <c r="AT22" s="68"/>
      <c r="AU22" s="63"/>
      <c r="AV22" s="64"/>
      <c r="AW22" s="69"/>
      <c r="AX22" s="65"/>
      <c r="AY22" s="70"/>
      <c r="AZ22" s="71"/>
      <c r="BA22" s="72"/>
      <c r="BB22" s="73"/>
      <c r="BC22" s="64"/>
      <c r="BD22" s="69"/>
      <c r="BE22" s="65"/>
      <c r="BF22" s="66"/>
      <c r="BG22" s="71"/>
      <c r="BH22" s="72"/>
      <c r="BI22" s="74"/>
      <c r="BK22" s="5" t="str">
        <f t="shared" si="23"/>
        <v>0</v>
      </c>
      <c r="BM22" s="75" t="s">
        <v>105</v>
      </c>
      <c r="BN22" s="13">
        <f t="shared" si="5"/>
        <v>6</v>
      </c>
      <c r="BO22" s="11">
        <f t="shared" si="6"/>
        <v>6</v>
      </c>
      <c r="BP22" s="11">
        <f t="shared" si="7"/>
        <v>6</v>
      </c>
      <c r="BQ22" s="12">
        <f t="shared" si="8"/>
        <v>1.180327381</v>
      </c>
      <c r="BR22" s="11" t="str">
        <f t="shared" si="9"/>
        <v>Reporte con Sobre Ejecución</v>
      </c>
      <c r="BS22" s="76">
        <f t="shared" ref="BS22:BV22" si="27">COUNTIFS($D:$D,$BM22,$BK:$BK,BS$1)</f>
        <v>0</v>
      </c>
      <c r="BT22" s="76">
        <f t="shared" si="27"/>
        <v>1</v>
      </c>
      <c r="BU22" s="76">
        <f t="shared" si="27"/>
        <v>0</v>
      </c>
      <c r="BV22" s="76">
        <f t="shared" si="27"/>
        <v>5</v>
      </c>
    </row>
    <row r="23" ht="37.5" customHeight="1">
      <c r="A23" s="45"/>
      <c r="B23" s="46">
        <f>IFERROR(__xludf.DUMMYFUNCTION("""COMPUTED_VALUE"""),21.0)</f>
        <v>21</v>
      </c>
      <c r="C23" s="47" t="str">
        <f>IFERROR(__xludf.DUMMYFUNCTION("""COMPUTED_VALUE"""),"Gestión de contratación")</f>
        <v>Gestión de contratación</v>
      </c>
      <c r="D23" s="48" t="str">
        <f>IFERROR(__xludf.DUMMYFUNCTION("""COMPUTED_VALUE"""),"Contratos")</f>
        <v>Contratos</v>
      </c>
      <c r="E23" s="48" t="str">
        <f>IFERROR(__xludf.DUMMYFUNCTION("""COMPUTED_VALUE"""),"Fortalecimiento de la capacidad de gestión de la autoridad nacional de acuicultura y pesca - aunap nacional")</f>
        <v>Fortalecimiento de la capacidad de gestión de la autoridad nacional de acuicultura y pesca - aunap nacional</v>
      </c>
      <c r="F23" s="49">
        <f>IFERROR(__xludf.DUMMYFUNCTION("""COMPUTED_VALUE"""),2.018011000241E12)</f>
        <v>2018011000241</v>
      </c>
      <c r="G23" s="50" t="str">
        <f>IFERROR(__xludf.DUMMYFUNCTION("""COMPUTED_VALUE"""),"Fortalecimiento")</f>
        <v>Fortalecimiento</v>
      </c>
      <c r="H23" s="48" t="str">
        <f>IFERROR(__xludf.DUMMYFUNCTION("""COMPUTED_VALUE"""),"Fortalecer los sistemas de gestión de la Entidad")</f>
        <v>Fortalecer los sistemas de gestión de la Entidad</v>
      </c>
      <c r="I23" s="48" t="str">
        <f>IFERROR(__xludf.DUMMYFUNCTION("""COMPUTED_VALUE"""),"Servicio de Implementación Sistemas de Gestión")</f>
        <v>Servicio de Implementación Sistemas de Gestión</v>
      </c>
      <c r="J23"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3" s="51" t="str">
        <f>IFERROR(__xludf.DUMMYFUNCTION("""COMPUTED_VALUE"""),"Gestión del área")</f>
        <v>Gestión del área</v>
      </c>
      <c r="L23" s="51" t="str">
        <f>IFERROR(__xludf.DUMMYFUNCTION("""COMPUTED_VALUE"""),"Eficiencia")</f>
        <v>Eficiencia</v>
      </c>
      <c r="M23" s="51" t="str">
        <f>IFERROR(__xludf.DUMMYFUNCTION("""COMPUTED_VALUE"""),"Porcentaje")</f>
        <v>Porcentaje</v>
      </c>
      <c r="N23" s="52" t="str">
        <f>IFERROR(__xludf.DUMMYFUNCTION("""COMPUTED_VALUE"""),"N° de certificaciones expedidas / N° de certificaciones solicitadas")</f>
        <v>N° de certificaciones expedidas / N° de certificaciones solicitadas</v>
      </c>
      <c r="O23" s="53"/>
      <c r="P23" s="77">
        <f>IFERROR(__xludf.DUMMYFUNCTION("""COMPUTED_VALUE"""),1.0)</f>
        <v>1</v>
      </c>
      <c r="Q23" s="78" t="str">
        <f>IFERROR(__xludf.DUMMYFUNCTION("""COMPUTED_VALUE"""),"Expedir certificaciones de los contratos")</f>
        <v>Expedir certificaciones de los contratos</v>
      </c>
      <c r="R23" s="78" t="str">
        <f>IFERROR(__xludf.DUMMYFUNCTION("""COMPUTED_VALUE"""),"Trimestral")</f>
        <v>Trimestral</v>
      </c>
      <c r="S23" s="77">
        <f>IFERROR(__xludf.DUMMYFUNCTION("""COMPUTED_VALUE"""),1.0)</f>
        <v>1</v>
      </c>
      <c r="T23" s="77">
        <f>IFERROR(__xludf.DUMMYFUNCTION("""COMPUTED_VALUE"""),1.0)</f>
        <v>1</v>
      </c>
      <c r="U23" s="77">
        <f>IFERROR(__xludf.DUMMYFUNCTION("""COMPUTED_VALUE"""),1.0)</f>
        <v>1</v>
      </c>
      <c r="V23" s="77">
        <f>IFERROR(__xludf.DUMMYFUNCTION("""COMPUTED_VALUE"""),1.0)</f>
        <v>1</v>
      </c>
      <c r="W23" s="56" t="str">
        <f>IFERROR(__xludf.DUMMYFUNCTION("""COMPUTED_VALUE"""),"Contratos")</f>
        <v>Contratos</v>
      </c>
      <c r="X23" s="57" t="str">
        <f>IFERROR(__xludf.DUMMYFUNCTION("""COMPUTED_VALUE"""),"Milton Cuervo")</f>
        <v>Milton Cuervo</v>
      </c>
      <c r="Y23" s="47" t="str">
        <f>IFERROR(__xludf.DUMMYFUNCTION("""COMPUTED_VALUE"""),"Asesor")</f>
        <v>Asesor</v>
      </c>
      <c r="Z23" s="57" t="str">
        <f>IFERROR(__xludf.DUMMYFUNCTION("""COMPUTED_VALUE"""),"milton.cuervo@aunap.gov.co")</f>
        <v>milton.cuervo@aunap.gov.co</v>
      </c>
      <c r="AA23" s="47" t="str">
        <f>IFERROR(__xludf.DUMMYFUNCTION("""COMPUTED_VALUE"""),"Humanos, Físicos, Financieros, Tecnológicos")</f>
        <v>Humanos, Físicos, Financieros, Tecnológicos</v>
      </c>
      <c r="AB23" s="47" t="str">
        <f>IFERROR(__xludf.DUMMYFUNCTION("""COMPUTED_VALUE"""),"No asociado")</f>
        <v>No asociado</v>
      </c>
      <c r="AC23" s="47" t="str">
        <f>IFERROR(__xludf.DUMMYFUNCTION("""COMPUTED_VALUE"""),"Llegar con actividades de pesca y acuicultura a todas las regiones")</f>
        <v>Llegar con actividades de pesca y acuicultura a todas las regiones</v>
      </c>
      <c r="AD23" s="47" t="str">
        <f>IFERROR(__xludf.DUMMYFUNCTION("""COMPUTED_VALUE"""),"Talento Humano")</f>
        <v>Talento Humano</v>
      </c>
      <c r="AE23" s="47" t="str">
        <f>IFERROR(__xludf.DUMMYFUNCTION("""COMPUTED_VALUE"""),"Talento Humano")</f>
        <v>Talento Humano</v>
      </c>
      <c r="AF23" s="47" t="str">
        <f>IFERROR(__xludf.DUMMYFUNCTION("""COMPUTED_VALUE"""),"16. Paz, justicia e instituciones sólidas")</f>
        <v>16. Paz, justicia e instituciones sólidas</v>
      </c>
      <c r="AG23" s="79">
        <f>IFERROR(__xludf.DUMMYFUNCTION("""COMPUTED_VALUE"""),0.923)</f>
        <v>0.923</v>
      </c>
      <c r="AH23" s="59" t="str">
        <f>IFERROR(__xludf.DUMMYFUNCTION("""COMPUTED_VALUE"""),"
De 57 solicitudes recibidas al grupo de gestión contractual en el segundo trimestre ( donde se requerían la expedición de 78 certificados contractuales) se dio respuesta a 54 solicitudes en las que se certificaban 72 contratos. 
Nota 1: Hay peticiones do"&amp;"nde a veces piden la certificación de más de 1 contrato. 
Nota 2: Las otras solicitudes restantes, donde requirieron la certificación de 6 contratos, se les dio respuesta conforme a los términos que exige la ley, sin embargo esta respuesta se dio excedien"&amp;"do el segundo trimestre, esto es, en julio de 2021. ")</f>
        <v>
De 57 solicitudes recibidas al grupo de gestión contractual en el segundo trimestre ( donde se requerían la expedición de 78 certificados contractuales) se dio respuesta a 54 solicitudes en las que se certificaban 72 contratos. 
Nota 1: Hay peticiones donde a veces piden la certificación de más de 1 contrato. 
Nota 2: Las otras solicitudes restantes, donde requirieron la certificación de 6 contratos, se les dio respuesta conforme a los términos que exige la ley, sin embargo esta respuesta se dio excediendo el segundo trimestre, esto es, en julio de 2021. </v>
      </c>
      <c r="AI23" s="59" t="str">
        <f>IFERROR(__xludf.DUMMYFUNCTION("""COMPUTED_VALUE"""),"Hoja ""INDICADOR 7 CERTIFICADOS"" https://drive.google.com/file/d/1XoV4CWd9GUqA7LvuxlBXKcT4sGHpoohj/view?usp=sharing")</f>
        <v>Hoja "INDICADOR 7 CERTIFICADOS" https://drive.google.com/file/d/1XoV4CWd9GUqA7LvuxlBXKcT4sGHpoohj/view?usp=sharing</v>
      </c>
      <c r="AJ23" s="60">
        <f>IFERROR(__xludf.DUMMYFUNCTION("""COMPUTED_VALUE"""),44396.0)</f>
        <v>44396</v>
      </c>
      <c r="AK23" s="61" t="str">
        <f>IFERROR(IF((AL23+1)&lt;2,Alertas!$B$2&amp;TEXT(AL23,"0%")&amp;Alertas!$D$2, IF((AL23+1)=2,Alertas!$B$3,IF((AL23+1)&gt;2,Alertas!$B$4&amp;TEXT(AL23,"0%")&amp;Alertas!$D$4,AL23+1))),"Sin meta para el segundo trimestre")</f>
        <v>La ejecución de la meta registrada se encuentra por debajo de la meta programada en la formulación del plan de acción para el segundo trimestre, su porcentaje de cumplimiento es 92%, lo cual indica un incumplimiento que puede ser entendido por los entes de control como falencias en el proceso de planeación y gestión de la dependencia. se recomienda realizar acciones para garantizar el cumplimiento de la meta durante lo que resta de vigencia</v>
      </c>
      <c r="AL23" s="62">
        <f t="shared" si="2"/>
        <v>0.923</v>
      </c>
      <c r="AM23" s="61" t="str">
        <f t="shared" si="3"/>
        <v>La ejecución de la meta registrada se encuentra por debajo de la meta programada en la formulación del plan de acción para el segundo trimestre, su porcentaje de cumplimiento es 92%, lo cual indica un incumplimiento que puede ser entendido por los entes de control como falencias en el proceso de planeación y gestión de la dependencia. se recomienda realizar acciones para garantizar el cumplimiento de la meta durante lo que resta de vigencia.</v>
      </c>
      <c r="AN23" s="63"/>
      <c r="AO23" s="64"/>
      <c r="AP23" s="65"/>
      <c r="AQ23" s="65"/>
      <c r="AR23" s="66"/>
      <c r="AS23" s="67"/>
      <c r="AT23" s="68"/>
      <c r="AU23" s="63"/>
      <c r="AV23" s="64"/>
      <c r="AW23" s="69"/>
      <c r="AX23" s="65"/>
      <c r="AY23" s="70"/>
      <c r="AZ23" s="71"/>
      <c r="BA23" s="72"/>
      <c r="BB23" s="73"/>
      <c r="BC23" s="64"/>
      <c r="BD23" s="69"/>
      <c r="BE23" s="65"/>
      <c r="BF23" s="66"/>
      <c r="BG23" s="71"/>
      <c r="BH23" s="72"/>
      <c r="BI23" s="74"/>
      <c r="BK23" s="5" t="str">
        <f t="shared" si="23"/>
        <v>-1</v>
      </c>
      <c r="BM23" s="75" t="s">
        <v>106</v>
      </c>
      <c r="BN23" s="13">
        <f t="shared" si="5"/>
        <v>10</v>
      </c>
      <c r="BO23" s="11">
        <f t="shared" si="6"/>
        <v>10</v>
      </c>
      <c r="BP23" s="11">
        <f t="shared" si="7"/>
        <v>10</v>
      </c>
      <c r="BQ23" s="12">
        <f t="shared" si="8"/>
        <v>1.286895928</v>
      </c>
      <c r="BR23" s="11" t="str">
        <f t="shared" si="9"/>
        <v>Reporte con Sobre Ejecución</v>
      </c>
      <c r="BS23" s="76">
        <f t="shared" ref="BS23:BV23" si="28">COUNTIFS($D:$D,$BM23,$BK:$BK,BS$1)</f>
        <v>0</v>
      </c>
      <c r="BT23" s="76">
        <f t="shared" si="28"/>
        <v>0</v>
      </c>
      <c r="BU23" s="76">
        <f t="shared" si="28"/>
        <v>3</v>
      </c>
      <c r="BV23" s="76">
        <f t="shared" si="28"/>
        <v>7</v>
      </c>
    </row>
    <row r="24" ht="37.5" customHeight="1">
      <c r="A24" s="45"/>
      <c r="B24" s="46">
        <f>IFERROR(__xludf.DUMMYFUNCTION("""COMPUTED_VALUE"""),22.0)</f>
        <v>22</v>
      </c>
      <c r="C24" s="47" t="str">
        <f>IFERROR(__xludf.DUMMYFUNCTION("""COMPUTED_VALUE"""),"Evaluación Seguimiento y Control")</f>
        <v>Evaluación Seguimiento y Control</v>
      </c>
      <c r="D24" s="48" t="str">
        <f>IFERROR(__xludf.DUMMYFUNCTION("""COMPUTED_VALUE"""),"Control Interno")</f>
        <v>Control Interno</v>
      </c>
      <c r="E24" s="48" t="str">
        <f>IFERROR(__xludf.DUMMYFUNCTION("""COMPUTED_VALUE"""),"Fortalecimiento de la capacidad de gestión de la autoridad nacional de acuicultura y pesca - aunap nacional")</f>
        <v>Fortalecimiento de la capacidad de gestión de la autoridad nacional de acuicultura y pesca - aunap nacional</v>
      </c>
      <c r="F24" s="49">
        <f>IFERROR(__xludf.DUMMYFUNCTION("""COMPUTED_VALUE"""),2.018011000241E12)</f>
        <v>2018011000241</v>
      </c>
      <c r="G24" s="50" t="str">
        <f>IFERROR(__xludf.DUMMYFUNCTION("""COMPUTED_VALUE"""),"Fortalecimiento")</f>
        <v>Fortalecimiento</v>
      </c>
      <c r="H24" s="48" t="str">
        <f>IFERROR(__xludf.DUMMYFUNCTION("""COMPUTED_VALUE"""),"Fortalecer los sistemas de gestión de la Entidad")</f>
        <v>Fortalecer los sistemas de gestión de la Entidad</v>
      </c>
      <c r="I24" s="48" t="str">
        <f>IFERROR(__xludf.DUMMYFUNCTION("""COMPUTED_VALUE"""),"Servicio de Implementación Sistemas de Gestión")</f>
        <v>Servicio de Implementación Sistemas de Gestión</v>
      </c>
      <c r="J24" s="48" t="str">
        <f>IFERROR(__xludf.DUMMYFUNCTION("""COMPUTED_VALUE"""),"Implementar y mantener el Sistema de Gestión de la Calidad (SGC) y Modelo Estándar de Control Interno (MECI)")</f>
        <v>Implementar y mantener el Sistema de Gestión de la Calidad (SGC) y Modelo Estándar de Control Interno (MECI)</v>
      </c>
      <c r="K24" s="51" t="str">
        <f>IFERROR(__xludf.DUMMYFUNCTION("""COMPUTED_VALUE"""),"Gestión del área")</f>
        <v>Gestión del área</v>
      </c>
      <c r="L24" s="51" t="str">
        <f>IFERROR(__xludf.DUMMYFUNCTION("""COMPUTED_VALUE"""),"Eficiente")</f>
        <v>Eficiente</v>
      </c>
      <c r="M24" s="51" t="str">
        <f>IFERROR(__xludf.DUMMYFUNCTION("""COMPUTED_VALUE"""),"Porcentaje")</f>
        <v>Porcentaje</v>
      </c>
      <c r="N24" s="52" t="str">
        <f>IFERROR(__xludf.DUMMYFUNCTION("""COMPUTED_VALUE"""),"Número de Acciones del plan anual de auditorias ejecutadas/Número de Acciones del plan anual de auditorias programadas")</f>
        <v>Número de Acciones del plan anual de auditorias ejecutadas/Número de Acciones del plan anual de auditorias programadas</v>
      </c>
      <c r="O24" s="53"/>
      <c r="P24" s="77">
        <f>IFERROR(__xludf.DUMMYFUNCTION("""COMPUTED_VALUE"""),1.0)</f>
        <v>1</v>
      </c>
      <c r="Q24" s="78" t="str">
        <f>IFERROR(__xludf.DUMMYFUNCTION("""COMPUTED_VALUE"""),"Ejecución del plan Anual de Auditorias")</f>
        <v>Ejecución del plan Anual de Auditorias</v>
      </c>
      <c r="R24" s="78" t="str">
        <f>IFERROR(__xludf.DUMMYFUNCTION("""COMPUTED_VALUE"""),"Semestral")</f>
        <v>Semestral</v>
      </c>
      <c r="S24" s="77">
        <f>IFERROR(__xludf.DUMMYFUNCTION("""COMPUTED_VALUE"""),0.0)</f>
        <v>0</v>
      </c>
      <c r="T24" s="77">
        <f>IFERROR(__xludf.DUMMYFUNCTION("""COMPUTED_VALUE"""),0.4)</f>
        <v>0.4</v>
      </c>
      <c r="U24" s="77">
        <f>IFERROR(__xludf.DUMMYFUNCTION("""COMPUTED_VALUE"""),0.0)</f>
        <v>0</v>
      </c>
      <c r="V24" s="77">
        <f>IFERROR(__xludf.DUMMYFUNCTION("""COMPUTED_VALUE"""),0.6)</f>
        <v>0.6</v>
      </c>
      <c r="W24" s="56" t="str">
        <f>IFERROR(__xludf.DUMMYFUNCTION("""COMPUTED_VALUE"""),"Control interno")</f>
        <v>Control interno</v>
      </c>
      <c r="X24" s="57" t="str">
        <f>IFERROR(__xludf.DUMMYFUNCTION("""COMPUTED_VALUE"""),"Euripides Gonzalez")</f>
        <v>Euripides Gonzalez</v>
      </c>
      <c r="Y24" s="47" t="str">
        <f>IFERROR(__xludf.DUMMYFUNCTION("""COMPUTED_VALUE"""),"Asesor de control interno")</f>
        <v>Asesor de control interno</v>
      </c>
      <c r="Z24" s="57" t="str">
        <f>IFERROR(__xludf.DUMMYFUNCTION("""COMPUTED_VALUE"""),"Euripides.gonzalez@aunap.gov.co")</f>
        <v>Euripides.gonzalez@aunap.gov.co</v>
      </c>
      <c r="AA24" s="47" t="str">
        <f>IFERROR(__xludf.DUMMYFUNCTION("""COMPUTED_VALUE"""),"humanos, Físicos, Financieros, Tecnológicos")</f>
        <v>humanos, Físicos, Financieros, Tecnológicos</v>
      </c>
      <c r="AB24" s="47" t="str">
        <f>IFERROR(__xludf.DUMMYFUNCTION("""COMPUTED_VALUE"""),"Plan Anticorrupción y de Atención al Ciudadano - PAAC")</f>
        <v>Plan Anticorrupción y de Atención al Ciudadano - PAAC</v>
      </c>
      <c r="AC24" s="47" t="str">
        <f>IFERROR(__xludf.DUMMYFUNCTION("""COMPUTED_VALUE"""),"Llegar con actividades de pesca y acuicultura a todas las regiones")</f>
        <v>Llegar con actividades de pesca y acuicultura a todas las regiones</v>
      </c>
      <c r="AD24" s="47" t="str">
        <f>IFERROR(__xludf.DUMMYFUNCTION("""COMPUTED_VALUE"""),"Control Interno")</f>
        <v>Control Interno</v>
      </c>
      <c r="AE24" s="47" t="str">
        <f>IFERROR(__xludf.DUMMYFUNCTION("""COMPUTED_VALUE"""),"Control Interno")</f>
        <v>Control Interno</v>
      </c>
      <c r="AF24" s="47" t="str">
        <f>IFERROR(__xludf.DUMMYFUNCTION("""COMPUTED_VALUE"""),"16. Paz, justicia e instituciones sólidas")</f>
        <v>16. Paz, justicia e instituciones sólidas</v>
      </c>
      <c r="AG24" s="79">
        <f>IFERROR(__xludf.DUMMYFUNCTION("""COMPUTED_VALUE"""),0.49)</f>
        <v>0.49</v>
      </c>
      <c r="AH24" s="59" t="str">
        <f>IFERROR(__xludf.DUMMYFUNCTION("""COMPUTED_VALUE"""),"A 30 de junio se contempla una ejecución del 49% del Plan Anual de Auditoria")</f>
        <v>A 30 de junio se contempla una ejecución del 49% del Plan Anual de Auditoria</v>
      </c>
      <c r="AI24" s="80" t="str">
        <f>IFERROR(__xludf.DUMMYFUNCTION("""COMPUTED_VALUE"""),"https://drive.google.com/file/d/1kKL_0oJISDN0vqo3-1jRyZSbnd8NyImx/view?usp=sharing")</f>
        <v>https://drive.google.com/file/d/1kKL_0oJISDN0vqo3-1jRyZSbnd8NyImx/view?usp=sharing</v>
      </c>
      <c r="AJ24" s="60">
        <f>IFERROR(__xludf.DUMMYFUNCTION("""COMPUTED_VALUE"""),44396.0)</f>
        <v>44396</v>
      </c>
      <c r="AK24" s="61" t="str">
        <f>IFERROR(IF((AL24+1)&lt;2,Alertas!$B$2&amp;TEXT(AL24,"0%")&amp;Alertas!$D$2, IF((AL24+1)=2,Alertas!$B$3,IF((AL24+1)&gt;2,Alertas!$B$4&amp;TEXT(AL24,"0%")&amp;Alertas!$D$4,AL24+1))),"Sin meta para el segundo trimestre")</f>
        <v>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24" s="62">
        <f t="shared" si="2"/>
        <v>1.225</v>
      </c>
      <c r="AM24" s="61" t="str">
        <f t="shared" si="3"/>
        <v>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24" s="63"/>
      <c r="AO24" s="64"/>
      <c r="AP24" s="65"/>
      <c r="AQ24" s="65"/>
      <c r="AR24" s="66"/>
      <c r="AS24" s="67"/>
      <c r="AT24" s="68"/>
      <c r="AU24" s="63"/>
      <c r="AV24" s="64"/>
      <c r="AW24" s="69"/>
      <c r="AX24" s="65"/>
      <c r="AY24" s="70"/>
      <c r="AZ24" s="71"/>
      <c r="BA24" s="72"/>
      <c r="BB24" s="73"/>
      <c r="BC24" s="64"/>
      <c r="BD24" s="69"/>
      <c r="BE24" s="65"/>
      <c r="BF24" s="66"/>
      <c r="BG24" s="71"/>
      <c r="BH24" s="72"/>
      <c r="BI24" s="74"/>
      <c r="BK24" s="5" t="str">
        <f t="shared" si="23"/>
        <v>1</v>
      </c>
      <c r="BM24" s="75" t="s">
        <v>107</v>
      </c>
      <c r="BN24" s="13">
        <f t="shared" si="5"/>
        <v>8</v>
      </c>
      <c r="BO24" s="11">
        <f t="shared" si="6"/>
        <v>6</v>
      </c>
      <c r="BP24" s="11">
        <f t="shared" si="7"/>
        <v>8</v>
      </c>
      <c r="BQ24" s="12">
        <f t="shared" si="8"/>
        <v>523.73675</v>
      </c>
      <c r="BR24" s="11" t="str">
        <f t="shared" si="9"/>
        <v>Reporte con Sobre Ejecución</v>
      </c>
      <c r="BS24" s="76">
        <f t="shared" ref="BS24:BV24" si="29">COUNTIFS($D:$D,$BM24,$BK:$BK,BS$1)</f>
        <v>0</v>
      </c>
      <c r="BT24" s="76">
        <f t="shared" si="29"/>
        <v>0</v>
      </c>
      <c r="BU24" s="76">
        <f t="shared" si="29"/>
        <v>0</v>
      </c>
      <c r="BV24" s="76">
        <f t="shared" si="29"/>
        <v>8</v>
      </c>
    </row>
    <row r="25" ht="37.5" customHeight="1">
      <c r="A25" s="45"/>
      <c r="B25" s="46">
        <f>IFERROR(__xludf.DUMMYFUNCTION("""COMPUTED_VALUE"""),23.0)</f>
        <v>23</v>
      </c>
      <c r="C25" s="47" t="str">
        <f>IFERROR(__xludf.DUMMYFUNCTION("""COMPUTED_VALUE"""),"Gestión de la administración y fomento")</f>
        <v>Gestión de la administración y fomento</v>
      </c>
      <c r="D25" s="48" t="str">
        <f>IFERROR(__xludf.DUMMYFUNCTION("""COMPUTED_VALUE"""),"Dirección Técnica de Administración y Fomento")</f>
        <v>Dirección Técnica de Administración y Fomento</v>
      </c>
      <c r="E25" s="48" t="str">
        <f>IFERROR(__xludf.DUMMYFUNCTION("""COMPUTED_VALUE"""),"Fortalecimiento de la sostenibilidad del sector pesquero y de la acuicultura en el territorio nacional")</f>
        <v>Fortalecimiento de la sostenibilidad del sector pesquero y de la acuicultura en el territorio nacional</v>
      </c>
      <c r="F25" s="49">
        <f>IFERROR(__xludf.DUMMYFUNCTION("""COMPUTED_VALUE"""),2.01901100028E12)</f>
        <v>2019011000280</v>
      </c>
      <c r="G25" s="50" t="str">
        <f>IFERROR(__xludf.DUMMYFUNCTION("""COMPUTED_VALUE"""),"Sostenibilidad")</f>
        <v>Sostenibilidad</v>
      </c>
      <c r="H25" s="48" t="str">
        <f>IFERROR(__xludf.DUMMYFUNCTION("""COMPUTED_VALUE"""),"Mejorar la explotación de los recursos pesqueros y de la acuicultura.")</f>
        <v>Mejorar la explotación de los recursos pesqueros y de la acuicultura.</v>
      </c>
      <c r="I25" s="48" t="str">
        <f>IFERROR(__xludf.DUMMYFUNCTION("""COMPUTED_VALUE"""),"Servicios de administración de los recurso pesqueros y de la acuicultura")</f>
        <v>Servicios de administración de los recurso pesqueros y de la acuicultura</v>
      </c>
      <c r="J25" s="48" t="str">
        <f>IFERROR(__xludf.DUMMYFUNCTION("""COMPUTED_VALUE"""),"Regular el manejo y el ejercicio de la actividad pesquera y de la acuicultura.")</f>
        <v>Regular el manejo y el ejercicio de la actividad pesquera y de la acuicultura.</v>
      </c>
      <c r="K25" s="51" t="str">
        <f>IFERROR(__xludf.DUMMYFUNCTION("""COMPUTED_VALUE"""),"Producto")</f>
        <v>Producto</v>
      </c>
      <c r="L25" s="51" t="str">
        <f>IFERROR(__xludf.DUMMYFUNCTION("""COMPUTED_VALUE"""),"Eficacia")</f>
        <v>Eficacia</v>
      </c>
      <c r="M25" s="51" t="str">
        <f>IFERROR(__xludf.DUMMYFUNCTION("""COMPUTED_VALUE"""),"Número")</f>
        <v>Número</v>
      </c>
      <c r="N25" s="52" t="str">
        <f>IFERROR(__xludf.DUMMYFUNCTION("""COMPUTED_VALUE"""),"Tramites atendidos")</f>
        <v>Tramites atendidos</v>
      </c>
      <c r="O25" s="53"/>
      <c r="P25" s="77">
        <f>IFERROR(__xludf.DUMMYFUNCTION("""COMPUTED_VALUE"""),14000.0)</f>
        <v>14000</v>
      </c>
      <c r="Q25" s="78" t="str">
        <f>IFERROR(__xludf.DUMMYFUNCTION("""COMPUTED_VALUE"""),"Atender Tramites")</f>
        <v>Atender Tramites</v>
      </c>
      <c r="R25" s="78" t="str">
        <f>IFERROR(__xludf.DUMMYFUNCTION("""COMPUTED_VALUE"""),"Semestral")</f>
        <v>Semestral</v>
      </c>
      <c r="S25" s="77">
        <f>IFERROR(__xludf.DUMMYFUNCTION("""COMPUTED_VALUE"""),0.0)</f>
        <v>0</v>
      </c>
      <c r="T25" s="77">
        <f>IFERROR(__xludf.DUMMYFUNCTION("""COMPUTED_VALUE"""),7000.0)</f>
        <v>7000</v>
      </c>
      <c r="U25" s="77">
        <f>IFERROR(__xludf.DUMMYFUNCTION("""COMPUTED_VALUE"""),0.0)</f>
        <v>0</v>
      </c>
      <c r="V25" s="77">
        <f>IFERROR(__xludf.DUMMYFUNCTION("""COMPUTED_VALUE"""),7000.0)</f>
        <v>7000</v>
      </c>
      <c r="W25" s="56" t="str">
        <f>IFERROR(__xludf.DUMMYFUNCTION("""COMPUTED_VALUE"""),"DTAF")</f>
        <v>DTAF</v>
      </c>
      <c r="X25" s="57" t="str">
        <f>IFERROR(__xludf.DUMMYFUNCTION("""COMPUTED_VALUE"""),"Jhon Jairo Restrepo")</f>
        <v>Jhon Jairo Restrepo</v>
      </c>
      <c r="Y25" s="47" t="str">
        <f>IFERROR(__xludf.DUMMYFUNCTION("""COMPUTED_VALUE"""),"Director Jhon Jairo Restrepo")</f>
        <v>Director Jhon Jairo Restrepo</v>
      </c>
      <c r="Z25" s="57" t="str">
        <f>IFERROR(__xludf.DUMMYFUNCTION("""COMPUTED_VALUE"""),"jhon.restrepo@aunap.gov.co")</f>
        <v>jhon.restrepo@aunap.gov.co</v>
      </c>
      <c r="AA25" s="47" t="str">
        <f>IFERROR(__xludf.DUMMYFUNCTION("""COMPUTED_VALUE"""),"Humano, físico, financiero, tecnológico")</f>
        <v>Humano, físico, financiero, tecnológico</v>
      </c>
      <c r="AB25" s="47" t="str">
        <f>IFERROR(__xludf.DUMMYFUNCTION("""COMPUTED_VALUE"""),"No asociado")</f>
        <v>No asociado</v>
      </c>
      <c r="AC25" s="47" t="str">
        <f>IFERROR(__xludf.DUMMYFUNCTION("""COMPUTED_VALUE"""),"Propiciar la formalización de la pesca y la acuicultura")</f>
        <v>Propiciar la formalización de la pesca y la acuicultura</v>
      </c>
      <c r="AD25" s="47" t="str">
        <f>IFERROR(__xludf.DUMMYFUNCTION("""COMPUTED_VALUE"""),"Gestión con valores para resultados")</f>
        <v>Gestión con valores para resultados</v>
      </c>
      <c r="AE25" s="47" t="str">
        <f>IFERROR(__xludf.DUMMYFUNCTION("""COMPUTED_VALUE"""),"Fortalecimiento Organizacional y Simplificación de Procesos")</f>
        <v>Fortalecimiento Organizacional y Simplificación de Procesos</v>
      </c>
      <c r="AF25" s="47" t="str">
        <f>IFERROR(__xludf.DUMMYFUNCTION("""COMPUTED_VALUE"""),"12. Producción y consumo responsable")</f>
        <v>12. Producción y consumo responsable</v>
      </c>
      <c r="AG25" s="58">
        <f>IFERROR(__xludf.DUMMYFUNCTION("""COMPUTED_VALUE"""),14328.0)</f>
        <v>14328</v>
      </c>
      <c r="AH25" s="59" t="str">
        <f>IFERROR(__xludf.DUMMYFUNCTION("""COMPUTED_VALUE"""),"14.328 se registraron a junio de 2021 tramites ")</f>
        <v>14.328 se registraron a junio de 2021 tramites </v>
      </c>
      <c r="AI25" s="80" t="str">
        <f>IFERROR(__xludf.DUMMYFUNCTION("""COMPUTED_VALUE"""),"https://drive.google.com/drive/folders/12Lrpnc5wY75LywqFEzSzVpucTP7XtSa5")</f>
        <v>https://drive.google.com/drive/folders/12Lrpnc5wY75LywqFEzSzVpucTP7XtSa5</v>
      </c>
      <c r="AJ25" s="60">
        <f>IFERROR(__xludf.DUMMYFUNCTION("""COMPUTED_VALUE"""),44396.0)</f>
        <v>44396</v>
      </c>
      <c r="AK25" s="61" t="str">
        <f>IFERROR(IF((AL25+1)&lt;2,Alertas!$B$2&amp;TEXT(AL25,"0%")&amp;Alertas!$D$2, IF((AL25+1)=2,Alertas!$B$3,IF((AL25+1)&gt;2,Alertas!$B$4&amp;TEXT(AL25,"0%")&amp;Alertas!$D$4,AL25+1))),"Sin meta para el segundo trimestre")</f>
        <v>La ejecución de la meta registrada se encuentra por encima de la meta programada en la formulación del plan de acción para el segundo trimestre, su porcentaje de cumplimiento es 205%,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25" s="62">
        <f t="shared" si="2"/>
        <v>2.046857143</v>
      </c>
      <c r="AM25" s="61" t="str">
        <f t="shared" si="3"/>
        <v>La ejecución de la meta registrada se encuentra por encima de la meta programada en la formulación del plan de acción para el segundo trimestre, su porcentaje de cumplimiento es 205%,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25" s="63"/>
      <c r="AO25" s="64"/>
      <c r="AP25" s="65"/>
      <c r="AQ25" s="65"/>
      <c r="AR25" s="66"/>
      <c r="AS25" s="67"/>
      <c r="AT25" s="68"/>
      <c r="AU25" s="63"/>
      <c r="AV25" s="64"/>
      <c r="AW25" s="69"/>
      <c r="AX25" s="65"/>
      <c r="AY25" s="70"/>
      <c r="AZ25" s="71"/>
      <c r="BA25" s="72"/>
      <c r="BB25" s="73"/>
      <c r="BC25" s="64"/>
      <c r="BD25" s="69"/>
      <c r="BE25" s="65"/>
      <c r="BF25" s="66"/>
      <c r="BG25" s="71"/>
      <c r="BH25" s="72"/>
      <c r="BI25" s="74"/>
      <c r="BK25" s="5" t="str">
        <f t="shared" si="23"/>
        <v>1</v>
      </c>
      <c r="BS25" s="5">
        <f t="shared" ref="BS25:BV25" si="30">COUNTIFS($D:$D,$BM16,$BK:$BK,BS$1)</f>
        <v>4</v>
      </c>
      <c r="BT25" s="5">
        <f t="shared" si="30"/>
        <v>0</v>
      </c>
      <c r="BU25" s="5">
        <f t="shared" si="30"/>
        <v>1</v>
      </c>
      <c r="BV25" s="5">
        <f t="shared" si="30"/>
        <v>0</v>
      </c>
    </row>
    <row r="26" ht="37.5" customHeight="1">
      <c r="A26" s="45"/>
      <c r="B26" s="46">
        <f>IFERROR(__xludf.DUMMYFUNCTION("""COMPUTED_VALUE"""),24.0)</f>
        <v>24</v>
      </c>
      <c r="C26" s="47" t="str">
        <f>IFERROR(__xludf.DUMMYFUNCTION("""COMPUTED_VALUE"""),"Gestión de la administración y fomento")</f>
        <v>Gestión de la administración y fomento</v>
      </c>
      <c r="D26" s="48" t="str">
        <f>IFERROR(__xludf.DUMMYFUNCTION("""COMPUTED_VALUE"""),"Dirección Técnica de Administración y Fomento")</f>
        <v>Dirección Técnica de Administración y Fomento</v>
      </c>
      <c r="E26" s="48" t="str">
        <f>IFERROR(__xludf.DUMMYFUNCTION("""COMPUTED_VALUE"""),"Fortalecimiento de la sostenibilidad del sector pesquero y de la acuicultura en el territorio nacional")</f>
        <v>Fortalecimiento de la sostenibilidad del sector pesquero y de la acuicultura en el territorio nacional</v>
      </c>
      <c r="F26" s="49">
        <f>IFERROR(__xludf.DUMMYFUNCTION("""COMPUTED_VALUE"""),2.01901100028E12)</f>
        <v>2019011000280</v>
      </c>
      <c r="G26" s="50" t="str">
        <f>IFERROR(__xludf.DUMMYFUNCTION("""COMPUTED_VALUE"""),"Sostenibilidad")</f>
        <v>Sostenibilidad</v>
      </c>
      <c r="H26" s="48" t="str">
        <f>IFERROR(__xludf.DUMMYFUNCTION("""COMPUTED_VALUE"""),"Mejorar la explotación de los recursos pesqueros y de la acuicultura.")</f>
        <v>Mejorar la explotación de los recursos pesqueros y de la acuicultura.</v>
      </c>
      <c r="I26" s="48" t="str">
        <f>IFERROR(__xludf.DUMMYFUNCTION("""COMPUTED_VALUE"""),"Servicio de ordenación pesquera y de la acuicultura")</f>
        <v>Servicio de ordenación pesquera y de la acuicultura</v>
      </c>
      <c r="J26" s="48" t="str">
        <f>IFERROR(__xludf.DUMMYFUNCTION("""COMPUTED_VALUE"""),"Generar acuerdos de ordenación de la actividad pesquera y de la acuicultura.")</f>
        <v>Generar acuerdos de ordenación de la actividad pesquera y de la acuicultura.</v>
      </c>
      <c r="K26" s="51" t="str">
        <f>IFERROR(__xludf.DUMMYFUNCTION("""COMPUTED_VALUE"""),"Producto")</f>
        <v>Producto</v>
      </c>
      <c r="L26" s="51" t="str">
        <f>IFERROR(__xludf.DUMMYFUNCTION("""COMPUTED_VALUE"""),"Eficacia")</f>
        <v>Eficacia</v>
      </c>
      <c r="M26" s="51" t="str">
        <f>IFERROR(__xludf.DUMMYFUNCTION("""COMPUTED_VALUE"""),"Número")</f>
        <v>Número</v>
      </c>
      <c r="N26" s="52" t="str">
        <f>IFERROR(__xludf.DUMMYFUNCTION("""COMPUTED_VALUE"""),"Acuerdos de ordenacion atendidos")</f>
        <v>Acuerdos de ordenacion atendidos</v>
      </c>
      <c r="O26" s="53">
        <f>IFERROR(__xludf.DUMMYFUNCTION("""COMPUTED_VALUE"""),-3.0)</f>
        <v>-3</v>
      </c>
      <c r="P26" s="77">
        <f>IFERROR(__xludf.DUMMYFUNCTION("""COMPUTED_VALUE"""),4.0)</f>
        <v>4</v>
      </c>
      <c r="Q26" s="78" t="str">
        <f>IFERROR(__xludf.DUMMYFUNCTION("""COMPUTED_VALUE"""),"Generar acuerdos de ordenación de la actividad pesquera y de la acuicultura.")</f>
        <v>Generar acuerdos de ordenación de la actividad pesquera y de la acuicultura.</v>
      </c>
      <c r="R26" s="78" t="str">
        <f>IFERROR(__xludf.DUMMYFUNCTION("""COMPUTED_VALUE"""),"Semestral")</f>
        <v>Semestral</v>
      </c>
      <c r="S26" s="77">
        <f>IFERROR(__xludf.DUMMYFUNCTION("""COMPUTED_VALUE"""),0.0)</f>
        <v>0</v>
      </c>
      <c r="T26" s="77">
        <f>IFERROR(__xludf.DUMMYFUNCTION("""COMPUTED_VALUE"""),1.0)</f>
        <v>1</v>
      </c>
      <c r="U26" s="77">
        <f>IFERROR(__xludf.DUMMYFUNCTION("""COMPUTED_VALUE"""),0.0)</f>
        <v>0</v>
      </c>
      <c r="V26" s="77">
        <f>IFERROR(__xludf.DUMMYFUNCTION("""COMPUTED_VALUE"""),3.0)</f>
        <v>3</v>
      </c>
      <c r="W26" s="56" t="str">
        <f>IFERROR(__xludf.DUMMYFUNCTION("""COMPUTED_VALUE"""),"DTAF")</f>
        <v>DTAF</v>
      </c>
      <c r="X26" s="57" t="str">
        <f>IFERROR(__xludf.DUMMYFUNCTION("""COMPUTED_VALUE"""),"Jhon Jairo Restrepo")</f>
        <v>Jhon Jairo Restrepo</v>
      </c>
      <c r="Y26" s="47" t="str">
        <f>IFERROR(__xludf.DUMMYFUNCTION("""COMPUTED_VALUE"""),"Director Jhon Jairo Restrepo")</f>
        <v>Director Jhon Jairo Restrepo</v>
      </c>
      <c r="Z26" s="57" t="str">
        <f>IFERROR(__xludf.DUMMYFUNCTION("""COMPUTED_VALUE"""),"jhon.restrepo@aunap.gov.co")</f>
        <v>jhon.restrepo@aunap.gov.co</v>
      </c>
      <c r="AA26" s="47" t="str">
        <f>IFERROR(__xludf.DUMMYFUNCTION("""COMPUTED_VALUE"""),"Humano, físico, financiero, tecnológico")</f>
        <v>Humano, físico, financiero, tecnológico</v>
      </c>
      <c r="AB26" s="47" t="str">
        <f>IFERROR(__xludf.DUMMYFUNCTION("""COMPUTED_VALUE"""),"No asociado")</f>
        <v>No asociado</v>
      </c>
      <c r="AC26" s="47" t="str">
        <f>IFERROR(__xludf.DUMMYFUNCTION("""COMPUTED_VALUE"""),"Propiciar la formalización de la pesca y la acuicultura")</f>
        <v>Propiciar la formalización de la pesca y la acuicultura</v>
      </c>
      <c r="AD26" s="47" t="str">
        <f>IFERROR(__xludf.DUMMYFUNCTION("""COMPUTED_VALUE"""),"Gestión con valores para resultados")</f>
        <v>Gestión con valores para resultados</v>
      </c>
      <c r="AE26" s="47" t="str">
        <f>IFERROR(__xludf.DUMMYFUNCTION("""COMPUTED_VALUE"""),"Fortalecimiento Organizacional y Simplificación de Procesos")</f>
        <v>Fortalecimiento Organizacional y Simplificación de Procesos</v>
      </c>
      <c r="AF26" s="47" t="str">
        <f>IFERROR(__xludf.DUMMYFUNCTION("""COMPUTED_VALUE"""),"12. Producción y consumo responsable")</f>
        <v>12. Producción y consumo responsable</v>
      </c>
      <c r="AG26" s="58">
        <f>IFERROR(__xludf.DUMMYFUNCTION("""COMPUTED_VALUE"""),1.0)</f>
        <v>1</v>
      </c>
      <c r="AH26" s="59" t="str">
        <f>IFERROR(__xludf.DUMMYFUNCTION("""COMPUTED_VALUE"""),"Se generaron 1 acuerdos de ordenación de la actividad pesquera y de la acuicultura.")</f>
        <v>Se generaron 1 acuerdos de ordenación de la actividad pesquera y de la acuicultura.</v>
      </c>
      <c r="AI26" s="80" t="str">
        <f>IFERROR(__xludf.DUMMYFUNCTION("""COMPUTED_VALUE"""),"https://drive.google.com/drive/folders/1ig7yBCy_DBPgvB9yfx_8I7Frao3wytjW")</f>
        <v>https://drive.google.com/drive/folders/1ig7yBCy_DBPgvB9yfx_8I7Frao3wytjW</v>
      </c>
      <c r="AJ26" s="60">
        <f>IFERROR(__xludf.DUMMYFUNCTION("""COMPUTED_VALUE"""),44396.0)</f>
        <v>44396</v>
      </c>
      <c r="AK26" s="61" t="str">
        <f>IFERROR(IF((AL26+1)&lt;2,Alertas!$B$2&amp;TEXT(AL26,"0%")&amp;Alertas!$D$2, IF((AL26+1)=2,Alertas!$B$3,IF((AL26+1)&gt;2,Alertas!$B$4&amp;TEXT(AL26,"0%")&amp;Alertas!$D$4,AL26+1))),"Sin meta para el segundo trimestre")</f>
        <v>La ejecución de la meta registrada se encuentra acorde a la meta programada en la formulación del plan de acción para el segundo trimestre</v>
      </c>
      <c r="AL26" s="62">
        <f t="shared" si="2"/>
        <v>1</v>
      </c>
      <c r="AM26" s="61" t="str">
        <f t="shared" si="3"/>
        <v>La ejecución de la meta registrada se encuentra acorde a la meta programada en la formulación del plan de acción para el segundo trimestre.</v>
      </c>
      <c r="AN26" s="63"/>
      <c r="AO26" s="64"/>
      <c r="AP26" s="65"/>
      <c r="AQ26" s="65"/>
      <c r="AR26" s="66"/>
      <c r="AS26" s="67"/>
      <c r="AT26" s="68"/>
      <c r="AU26" s="63"/>
      <c r="AV26" s="64"/>
      <c r="AW26" s="69"/>
      <c r="AX26" s="65"/>
      <c r="AY26" s="70"/>
      <c r="AZ26" s="71"/>
      <c r="BA26" s="72"/>
      <c r="BB26" s="73"/>
      <c r="BC26" s="64"/>
      <c r="BD26" s="69"/>
      <c r="BE26" s="65"/>
      <c r="BF26" s="66"/>
      <c r="BG26" s="71"/>
      <c r="BH26" s="72"/>
      <c r="BI26" s="74"/>
      <c r="BK26" s="5" t="str">
        <f t="shared" si="23"/>
        <v>0</v>
      </c>
      <c r="BS26" s="5">
        <f t="shared" ref="BS26:BV26" si="31">COUNTIFS($D:$D,$BM17,$BK:$BK,BS$1)</f>
        <v>2</v>
      </c>
      <c r="BT26" s="5">
        <f t="shared" si="31"/>
        <v>0</v>
      </c>
      <c r="BU26" s="5">
        <f t="shared" si="31"/>
        <v>1</v>
      </c>
      <c r="BV26" s="5">
        <f t="shared" si="31"/>
        <v>1</v>
      </c>
    </row>
    <row r="27" ht="37.5" customHeight="1">
      <c r="A27" s="45"/>
      <c r="B27" s="46">
        <f>IFERROR(__xludf.DUMMYFUNCTION("""COMPUTED_VALUE"""),25.0)</f>
        <v>25</v>
      </c>
      <c r="C27" s="47" t="str">
        <f>IFERROR(__xludf.DUMMYFUNCTION("""COMPUTED_VALUE"""),"Gestión de la administración y fomento")</f>
        <v>Gestión de la administración y fomento</v>
      </c>
      <c r="D27" s="48" t="str">
        <f>IFERROR(__xludf.DUMMYFUNCTION("""COMPUTED_VALUE"""),"Dirección Técnica de Administración y Fomento")</f>
        <v>Dirección Técnica de Administración y Fomento</v>
      </c>
      <c r="E27" s="48" t="str">
        <f>IFERROR(__xludf.DUMMYFUNCTION("""COMPUTED_VALUE"""),"Fortalecimiento de la sostenibilidad del sector pesquero y de la acuicultura en el territorio nacional")</f>
        <v>Fortalecimiento de la sostenibilidad del sector pesquero y de la acuicultura en el territorio nacional</v>
      </c>
      <c r="F27" s="49">
        <f>IFERROR(__xludf.DUMMYFUNCTION("""COMPUTED_VALUE"""),2.01901100028E12)</f>
        <v>2019011000280</v>
      </c>
      <c r="G27" s="50" t="str">
        <f>IFERROR(__xludf.DUMMYFUNCTION("""COMPUTED_VALUE"""),"Sostenibilidad")</f>
        <v>Sostenibilidad</v>
      </c>
      <c r="H27" s="48" t="str">
        <f>IFERROR(__xludf.DUMMYFUNCTION("""COMPUTED_VALUE"""),"Mejorar las prácticas de pesca y de acuicultura.")</f>
        <v>Mejorar las prácticas de pesca y de acuicultura.</v>
      </c>
      <c r="I27" s="48" t="str">
        <f>IFERROR(__xludf.DUMMYFUNCTION("""COMPUTED_VALUE"""),"Servicios de apoyo al fomento de la pesca y la acuicultura")</f>
        <v>Servicios de apoyo al fomento de la pesca y la acuicultura</v>
      </c>
      <c r="J27" s="48" t="str">
        <f>IFERROR(__xludf.DUMMYFUNCTION("""COMPUTED_VALUE"""),"Generar acciones de fomento para la pesca, la acuicultura y sus actividades conexas.")</f>
        <v>Generar acciones de fomento para la pesca, la acuicultura y sus actividades conexas.</v>
      </c>
      <c r="K27" s="51" t="str">
        <f>IFERROR(__xludf.DUMMYFUNCTION("""COMPUTED_VALUE"""),"Producto")</f>
        <v>Producto</v>
      </c>
      <c r="L27" s="51" t="str">
        <f>IFERROR(__xludf.DUMMYFUNCTION("""COMPUTED_VALUE"""),"Eficacia")</f>
        <v>Eficacia</v>
      </c>
      <c r="M27" s="51" t="str">
        <f>IFERROR(__xludf.DUMMYFUNCTION("""COMPUTED_VALUE"""),"Número")</f>
        <v>Número</v>
      </c>
      <c r="N27" s="52" t="str">
        <f>IFERROR(__xludf.DUMMYFUNCTION("""COMPUTED_VALUE"""),"Organizaciones atendidas")</f>
        <v>Organizaciones atendidas</v>
      </c>
      <c r="O27" s="53">
        <f>IFERROR(__xludf.DUMMYFUNCTION("""COMPUTED_VALUE"""),-61.0)</f>
        <v>-61</v>
      </c>
      <c r="P27" s="54">
        <f>IFERROR(__xludf.DUMMYFUNCTION("""COMPUTED_VALUE"""),200.0)</f>
        <v>200</v>
      </c>
      <c r="Q27" s="55" t="str">
        <f>IFERROR(__xludf.DUMMYFUNCTION("""COMPUTED_VALUE"""),"Apoyar a asociaciones con acciones de fomento de la pesca y la acuicultura en el territorio nacional")</f>
        <v>Apoyar a asociaciones con acciones de fomento de la pesca y la acuicultura en el territorio nacional</v>
      </c>
      <c r="R27" s="14" t="str">
        <f>IFERROR(__xludf.DUMMYFUNCTION("""COMPUTED_VALUE"""),"Anual")</f>
        <v>Anual</v>
      </c>
      <c r="S27" s="54">
        <f>IFERROR(__xludf.DUMMYFUNCTION("""COMPUTED_VALUE"""),0.0)</f>
        <v>0</v>
      </c>
      <c r="T27" s="54">
        <f>IFERROR(__xludf.DUMMYFUNCTION("""COMPUTED_VALUE"""),0.0)</f>
        <v>0</v>
      </c>
      <c r="U27" s="54">
        <f>IFERROR(__xludf.DUMMYFUNCTION("""COMPUTED_VALUE"""),0.0)</f>
        <v>0</v>
      </c>
      <c r="V27" s="54">
        <f>IFERROR(__xludf.DUMMYFUNCTION("""COMPUTED_VALUE"""),200.0)</f>
        <v>200</v>
      </c>
      <c r="W27" s="56" t="str">
        <f>IFERROR(__xludf.DUMMYFUNCTION("""COMPUTED_VALUE"""),"DTAF")</f>
        <v>DTAF</v>
      </c>
      <c r="X27" s="57" t="str">
        <f>IFERROR(__xludf.DUMMYFUNCTION("""COMPUTED_VALUE"""),"Jhon Jairo Restrepo")</f>
        <v>Jhon Jairo Restrepo</v>
      </c>
      <c r="Y27" s="47" t="str">
        <f>IFERROR(__xludf.DUMMYFUNCTION("""COMPUTED_VALUE"""),"Director Jhon Jairo Restrepo")</f>
        <v>Director Jhon Jairo Restrepo</v>
      </c>
      <c r="Z27" s="57" t="str">
        <f>IFERROR(__xludf.DUMMYFUNCTION("""COMPUTED_VALUE"""),"jhon.restrepo@aunap.gov.co")</f>
        <v>jhon.restrepo@aunap.gov.co</v>
      </c>
      <c r="AA27" s="47" t="str">
        <f>IFERROR(__xludf.DUMMYFUNCTION("""COMPUTED_VALUE"""),"Humano, físico, financiero, tecnológico")</f>
        <v>Humano, físico, financiero, tecnológico</v>
      </c>
      <c r="AB27" s="47" t="str">
        <f>IFERROR(__xludf.DUMMYFUNCTION("""COMPUTED_VALUE"""),"No asociado")</f>
        <v>No asociado</v>
      </c>
      <c r="AC27" s="47" t="str">
        <f>IFERROR(__xludf.DUMMYFUNCTION("""COMPUTED_VALUE"""),"Propiciar la formalización de la pesca y la acuicultura")</f>
        <v>Propiciar la formalización de la pesca y la acuicultura</v>
      </c>
      <c r="AD27" s="47" t="str">
        <f>IFERROR(__xludf.DUMMYFUNCTION("""COMPUTED_VALUE"""),"Gestión con valores para resultados")</f>
        <v>Gestión con valores para resultados</v>
      </c>
      <c r="AE27" s="47" t="str">
        <f>IFERROR(__xludf.DUMMYFUNCTION("""COMPUTED_VALUE"""),"Fortalecimiento Organizacional y Simplificación de Procesos")</f>
        <v>Fortalecimiento Organizacional y Simplificación de Procesos</v>
      </c>
      <c r="AF27" s="47" t="str">
        <f>IFERROR(__xludf.DUMMYFUNCTION("""COMPUTED_VALUE"""),"12. Producción y consumo responsable")</f>
        <v>12. Producción y consumo responsable</v>
      </c>
      <c r="AG27" s="58">
        <f>IFERROR(__xludf.DUMMYFUNCTION("""COMPUTED_VALUE"""),0.0)</f>
        <v>0</v>
      </c>
      <c r="AH27" s="59" t="str">
        <f>IFERROR(__xludf.DUMMYFUNCTION("""COMPUTED_VALUE"""),"no se reporta ")</f>
        <v>no se reporta </v>
      </c>
      <c r="AI27" s="59" t="str">
        <f>IFERROR(__xludf.DUMMYFUNCTION("""COMPUTED_VALUE"""),"no se reporta ")</f>
        <v>no se reporta </v>
      </c>
      <c r="AJ27" s="60">
        <f>IFERROR(__xludf.DUMMYFUNCTION("""COMPUTED_VALUE"""),44396.0)</f>
        <v>44396</v>
      </c>
      <c r="AK27" s="61" t="str">
        <f>IFERROR(IF((AL27+1)&lt;2,Alertas!$B$2&amp;TEXT(AL27,"0%")&amp;Alertas!$D$2, IF((AL27+1)=2,Alertas!$B$3,IF((AL27+1)&gt;2,Alertas!$B$4&amp;TEXT(AL27,"0%")&amp;Alertas!$D$4,AL27+1))),"Sin meta para el segundo trimestre")</f>
        <v>Sin meta para el segundo trimestre</v>
      </c>
      <c r="AL27" s="62" t="str">
        <f t="shared" si="2"/>
        <v>-</v>
      </c>
      <c r="AM27" s="61" t="str">
        <f t="shared" si="3"/>
        <v>Sin meta para el segundo trimestre.</v>
      </c>
      <c r="AN27" s="63"/>
      <c r="AO27" s="64"/>
      <c r="AP27" s="65"/>
      <c r="AQ27" s="65"/>
      <c r="AR27" s="66"/>
      <c r="AS27" s="67"/>
      <c r="AT27" s="68"/>
      <c r="AU27" s="63"/>
      <c r="AV27" s="64"/>
      <c r="AW27" s="69"/>
      <c r="AX27" s="65"/>
      <c r="AY27" s="70"/>
      <c r="AZ27" s="71"/>
      <c r="BA27" s="72"/>
      <c r="BB27" s="73"/>
      <c r="BC27" s="64"/>
      <c r="BD27" s="69"/>
      <c r="BE27" s="65"/>
      <c r="BF27" s="66"/>
      <c r="BG27" s="71"/>
      <c r="BH27" s="72"/>
      <c r="BI27" s="74"/>
      <c r="BK27" s="5" t="str">
        <f t="shared" si="23"/>
        <v>-</v>
      </c>
    </row>
    <row r="28" ht="37.5" customHeight="1">
      <c r="A28" s="45"/>
      <c r="B28" s="46">
        <f>IFERROR(__xludf.DUMMYFUNCTION("""COMPUTED_VALUE"""),26.0)</f>
        <v>26</v>
      </c>
      <c r="C28" s="47" t="str">
        <f>IFERROR(__xludf.DUMMYFUNCTION("""COMPUTED_VALUE"""),"Gestión de la administración y fomento")</f>
        <v>Gestión de la administración y fomento</v>
      </c>
      <c r="D28" s="48" t="str">
        <f>IFERROR(__xludf.DUMMYFUNCTION("""COMPUTED_VALUE"""),"Dirección Técnica de Administración y Fomento")</f>
        <v>Dirección Técnica de Administración y Fomento</v>
      </c>
      <c r="E28" s="48" t="str">
        <f>IFERROR(__xludf.DUMMYFUNCTION("""COMPUTED_VALUE"""),"Fortalecimiento de la sostenibilidad del sector pesquero y de la acuicultura en el territorio nacional")</f>
        <v>Fortalecimiento de la sostenibilidad del sector pesquero y de la acuicultura en el territorio nacional</v>
      </c>
      <c r="F28" s="49">
        <f>IFERROR(__xludf.DUMMYFUNCTION("""COMPUTED_VALUE"""),2.01901100028E12)</f>
        <v>2019011000280</v>
      </c>
      <c r="G28" s="50" t="str">
        <f>IFERROR(__xludf.DUMMYFUNCTION("""COMPUTED_VALUE"""),"Sostenibilidad")</f>
        <v>Sostenibilidad</v>
      </c>
      <c r="H28" s="48" t="str">
        <f>IFERROR(__xludf.DUMMYFUNCTION("""COMPUTED_VALUE"""),"Mejorar las prácticas de pesca y de acuicultura.")</f>
        <v>Mejorar las prácticas de pesca y de acuicultura.</v>
      </c>
      <c r="I28" s="48" t="str">
        <f>IFERROR(__xludf.DUMMYFUNCTION("""COMPUTED_VALUE"""),"1-Servicios de apoyo a las estaciones de acuicultura")</f>
        <v>1-Servicios de apoyo a las estaciones de acuicultura</v>
      </c>
      <c r="J28" s="48" t="str">
        <f>IFERROR(__xludf.DUMMYFUNCTION("""COMPUTED_VALUE"""),"Producir alevinos para el sector productivo y/o con fines de repoblamiento.")</f>
        <v>Producir alevinos para el sector productivo y/o con fines de repoblamiento.</v>
      </c>
      <c r="K28" s="51" t="str">
        <f>IFERROR(__xludf.DUMMYFUNCTION("""COMPUTED_VALUE"""),"Producto")</f>
        <v>Producto</v>
      </c>
      <c r="L28" s="51" t="str">
        <f>IFERROR(__xludf.DUMMYFUNCTION("""COMPUTED_VALUE"""),"Eficacia")</f>
        <v>Eficacia</v>
      </c>
      <c r="M28" s="51" t="str">
        <f>IFERROR(__xludf.DUMMYFUNCTION("""COMPUTED_VALUE"""),"Número")</f>
        <v>Número</v>
      </c>
      <c r="N28" s="52" t="str">
        <f>IFERROR(__xludf.DUMMYFUNCTION("""COMPUTED_VALUE"""),"Estaciones de acuicultura apoyadas")</f>
        <v>Estaciones de acuicultura apoyadas</v>
      </c>
      <c r="O28" s="53">
        <f>IFERROR(__xludf.DUMMYFUNCTION("""COMPUTED_VALUE"""),-1.0)</f>
        <v>-1</v>
      </c>
      <c r="P28" s="54">
        <f>IFERROR(__xludf.DUMMYFUNCTION("""COMPUTED_VALUE"""),3.0)</f>
        <v>3</v>
      </c>
      <c r="Q28" s="55" t="str">
        <f>IFERROR(__xludf.DUMMYFUNCTION("""COMPUTED_VALUE"""),"Apoyar a tres estaciones de acuicultura
")</f>
        <v>Apoyar a tres estaciones de acuicultura
</v>
      </c>
      <c r="R28" s="14" t="str">
        <f>IFERROR(__xludf.DUMMYFUNCTION("""COMPUTED_VALUE"""),"Anual")</f>
        <v>Anual</v>
      </c>
      <c r="S28" s="54">
        <f>IFERROR(__xludf.DUMMYFUNCTION("""COMPUTED_VALUE"""),0.0)</f>
        <v>0</v>
      </c>
      <c r="T28" s="54">
        <f>IFERROR(__xludf.DUMMYFUNCTION("""COMPUTED_VALUE"""),0.0)</f>
        <v>0</v>
      </c>
      <c r="U28" s="54">
        <f>IFERROR(__xludf.DUMMYFUNCTION("""COMPUTED_VALUE"""),0.0)</f>
        <v>0</v>
      </c>
      <c r="V28" s="54">
        <f>IFERROR(__xludf.DUMMYFUNCTION("""COMPUTED_VALUE"""),3.0)</f>
        <v>3</v>
      </c>
      <c r="W28" s="56" t="str">
        <f>IFERROR(__xludf.DUMMYFUNCTION("""COMPUTED_VALUE"""),"DTAF")</f>
        <v>DTAF</v>
      </c>
      <c r="X28" s="57" t="str">
        <f>IFERROR(__xludf.DUMMYFUNCTION("""COMPUTED_VALUE"""),"Jhon Jairo Restrepo")</f>
        <v>Jhon Jairo Restrepo</v>
      </c>
      <c r="Y28" s="47" t="str">
        <f>IFERROR(__xludf.DUMMYFUNCTION("""COMPUTED_VALUE"""),"Director Jhon Jairo Restrepo")</f>
        <v>Director Jhon Jairo Restrepo</v>
      </c>
      <c r="Z28" s="57" t="str">
        <f>IFERROR(__xludf.DUMMYFUNCTION("""COMPUTED_VALUE"""),"jhon.restrepo@aunap.gov.co")</f>
        <v>jhon.restrepo@aunap.gov.co</v>
      </c>
      <c r="AA28" s="47" t="str">
        <f>IFERROR(__xludf.DUMMYFUNCTION("""COMPUTED_VALUE"""),"Humano, físico, financiero, tecnológico")</f>
        <v>Humano, físico, financiero, tecnológico</v>
      </c>
      <c r="AB28" s="47" t="str">
        <f>IFERROR(__xludf.DUMMYFUNCTION("""COMPUTED_VALUE"""),"No asociado")</f>
        <v>No asociado</v>
      </c>
      <c r="AC28" s="47" t="str">
        <f>IFERROR(__xludf.DUMMYFUNCTION("""COMPUTED_VALUE"""),"Propiciar la formalización de la pesca y la acuicultura")</f>
        <v>Propiciar la formalización de la pesca y la acuicultura</v>
      </c>
      <c r="AD28" s="47" t="str">
        <f>IFERROR(__xludf.DUMMYFUNCTION("""COMPUTED_VALUE"""),"Gestión con valores para resultados")</f>
        <v>Gestión con valores para resultados</v>
      </c>
      <c r="AE28" s="47" t="str">
        <f>IFERROR(__xludf.DUMMYFUNCTION("""COMPUTED_VALUE"""),"Fortalecimiento Organizacional y Simplificación de Procesos")</f>
        <v>Fortalecimiento Organizacional y Simplificación de Procesos</v>
      </c>
      <c r="AF28" s="47" t="str">
        <f>IFERROR(__xludf.DUMMYFUNCTION("""COMPUTED_VALUE"""),"12. Producción y consumo responsable")</f>
        <v>12. Producción y consumo responsable</v>
      </c>
      <c r="AG28" s="58">
        <f>IFERROR(__xludf.DUMMYFUNCTION("""COMPUTED_VALUE"""),0.0)</f>
        <v>0</v>
      </c>
      <c r="AH28" s="59" t="str">
        <f>IFERROR(__xludf.DUMMYFUNCTION("""COMPUTED_VALUE"""),"no se reporta ")</f>
        <v>no se reporta </v>
      </c>
      <c r="AI28" s="59" t="str">
        <f>IFERROR(__xludf.DUMMYFUNCTION("""COMPUTED_VALUE"""),"no se reporta ")</f>
        <v>no se reporta </v>
      </c>
      <c r="AJ28" s="60">
        <f>IFERROR(__xludf.DUMMYFUNCTION("""COMPUTED_VALUE"""),44396.0)</f>
        <v>44396</v>
      </c>
      <c r="AK28" s="61" t="str">
        <f>IFERROR(IF((AL28+1)&lt;2,Alertas!$B$2&amp;TEXT(AL28,"0%")&amp;Alertas!$D$2, IF((AL28+1)=2,Alertas!$B$3,IF((AL28+1)&gt;2,Alertas!$B$4&amp;TEXT(AL28,"0%")&amp;Alertas!$D$4,AL28+1))),"Sin meta para el segundo trimestre")</f>
        <v>Sin meta para el segundo trimestre</v>
      </c>
      <c r="AL28" s="62" t="str">
        <f t="shared" si="2"/>
        <v>-</v>
      </c>
      <c r="AM28" s="61" t="str">
        <f t="shared" si="3"/>
        <v>Sin meta para el segundo trimestre.</v>
      </c>
      <c r="AN28" s="63"/>
      <c r="AO28" s="64"/>
      <c r="AP28" s="65"/>
      <c r="AQ28" s="65"/>
      <c r="AR28" s="66"/>
      <c r="AS28" s="67"/>
      <c r="AT28" s="68"/>
      <c r="AU28" s="63"/>
      <c r="AV28" s="64"/>
      <c r="AW28" s="69"/>
      <c r="AX28" s="65"/>
      <c r="AY28" s="70"/>
      <c r="AZ28" s="71"/>
      <c r="BA28" s="72"/>
      <c r="BB28" s="73"/>
      <c r="BC28" s="64"/>
      <c r="BD28" s="69"/>
      <c r="BE28" s="65"/>
      <c r="BF28" s="66"/>
      <c r="BG28" s="71"/>
      <c r="BH28" s="72"/>
      <c r="BI28" s="74"/>
      <c r="BK28" s="5" t="str">
        <f t="shared" si="23"/>
        <v>-</v>
      </c>
      <c r="BM28" s="5"/>
    </row>
    <row r="29" ht="37.5" customHeight="1">
      <c r="A29" s="45"/>
      <c r="B29" s="46">
        <f>IFERROR(__xludf.DUMMYFUNCTION("""COMPUTED_VALUE"""),27.0)</f>
        <v>27</v>
      </c>
      <c r="C29" s="47" t="str">
        <f>IFERROR(__xludf.DUMMYFUNCTION("""COMPUTED_VALUE"""),"Gestión de la administración y fomento")</f>
        <v>Gestión de la administración y fomento</v>
      </c>
      <c r="D29" s="48" t="str">
        <f>IFERROR(__xludf.DUMMYFUNCTION("""COMPUTED_VALUE"""),"Dirección Técnica de Administración y Fomento")</f>
        <v>Dirección Técnica de Administración y Fomento</v>
      </c>
      <c r="E29" s="48" t="str">
        <f>IFERROR(__xludf.DUMMYFUNCTION("""COMPUTED_VALUE"""),"Fortalecimiento de la sostenibilidad del sector pesquero y de la acuicultura en el territorio nacional")</f>
        <v>Fortalecimiento de la sostenibilidad del sector pesquero y de la acuicultura en el territorio nacional</v>
      </c>
      <c r="F29" s="49">
        <f>IFERROR(__xludf.DUMMYFUNCTION("""COMPUTED_VALUE"""),2.01901100028E12)</f>
        <v>2019011000280</v>
      </c>
      <c r="G29" s="50" t="str">
        <f>IFERROR(__xludf.DUMMYFUNCTION("""COMPUTED_VALUE"""),"Sostenibilidad")</f>
        <v>Sostenibilidad</v>
      </c>
      <c r="H29" s="48" t="str">
        <f>IFERROR(__xludf.DUMMYFUNCTION("""COMPUTED_VALUE"""),"Mejorar las prácticas de pesca y de acuicultura.")</f>
        <v>Mejorar las prácticas de pesca y de acuicultura.</v>
      </c>
      <c r="I29" s="48" t="str">
        <f>IFERROR(__xludf.DUMMYFUNCTION("""COMPUTED_VALUE"""),"1-Servicios de apoyo a las estaciones de acuicultura")</f>
        <v>1-Servicios de apoyo a las estaciones de acuicultura</v>
      </c>
      <c r="J29" s="48" t="str">
        <f>IFERROR(__xludf.DUMMYFUNCTION("""COMPUTED_VALUE"""),"Desarrollar acciones de extensión rural a través de las estaciones de acuicultura")</f>
        <v>Desarrollar acciones de extensión rural a través de las estaciones de acuicultura</v>
      </c>
      <c r="K29" s="51" t="str">
        <f>IFERROR(__xludf.DUMMYFUNCTION("""COMPUTED_VALUE"""),"Gestión")</f>
        <v>Gestión</v>
      </c>
      <c r="L29" s="51" t="str">
        <f>IFERROR(__xludf.DUMMYFUNCTION("""COMPUTED_VALUE"""),"Efectividad")</f>
        <v>Efectividad</v>
      </c>
      <c r="M29" s="51" t="str">
        <f>IFERROR(__xludf.DUMMYFUNCTION("""COMPUTED_VALUE"""),"Número")</f>
        <v>Número</v>
      </c>
      <c r="N29" s="52" t="str">
        <f>IFERROR(__xludf.DUMMYFUNCTION("""COMPUTED_VALUE"""),"Realizar eventos informativas y divulgativos de acuicultura a traves de las estaciones")</f>
        <v>Realizar eventos informativas y divulgativos de acuicultura a traves de las estaciones</v>
      </c>
      <c r="O29" s="53">
        <f>IFERROR(__xludf.DUMMYFUNCTION("""COMPUTED_VALUE"""),15.0)</f>
        <v>15</v>
      </c>
      <c r="P29" s="54">
        <f>IFERROR(__xludf.DUMMYFUNCTION("""COMPUTED_VALUE"""),15.0)</f>
        <v>15</v>
      </c>
      <c r="Q29" s="55" t="str">
        <f>IFERROR(__xludf.DUMMYFUNCTION("""COMPUTED_VALUE"""),"Desarrollar campañas informativas y divulgadas de acciones de acuicultura a traves de las estaciones")</f>
        <v>Desarrollar campañas informativas y divulgadas de acciones de acuicultura a traves de las estaciones</v>
      </c>
      <c r="R29" s="14" t="str">
        <f>IFERROR(__xludf.DUMMYFUNCTION("""COMPUTED_VALUE"""),"Anual")</f>
        <v>Anual</v>
      </c>
      <c r="S29" s="54">
        <f>IFERROR(__xludf.DUMMYFUNCTION("""COMPUTED_VALUE"""),0.0)</f>
        <v>0</v>
      </c>
      <c r="T29" s="54">
        <f>IFERROR(__xludf.DUMMYFUNCTION("""COMPUTED_VALUE"""),0.0)</f>
        <v>0</v>
      </c>
      <c r="U29" s="54">
        <f>IFERROR(__xludf.DUMMYFUNCTION("""COMPUTED_VALUE"""),0.0)</f>
        <v>0</v>
      </c>
      <c r="V29" s="54">
        <f>IFERROR(__xludf.DUMMYFUNCTION("""COMPUTED_VALUE"""),15.0)</f>
        <v>15</v>
      </c>
      <c r="W29" s="56" t="str">
        <f>IFERROR(__xludf.DUMMYFUNCTION("""COMPUTED_VALUE"""),"DTAF")</f>
        <v>DTAF</v>
      </c>
      <c r="X29" s="57" t="str">
        <f>IFERROR(__xludf.DUMMYFUNCTION("""COMPUTED_VALUE"""),"Jhon Jairo Restrepo")</f>
        <v>Jhon Jairo Restrepo</v>
      </c>
      <c r="Y29" s="47" t="str">
        <f>IFERROR(__xludf.DUMMYFUNCTION("""COMPUTED_VALUE"""),"Director Jhon Jairo Restrepo")</f>
        <v>Director Jhon Jairo Restrepo</v>
      </c>
      <c r="Z29" s="57" t="str">
        <f>IFERROR(__xludf.DUMMYFUNCTION("""COMPUTED_VALUE"""),"jhon.restrepo@aunap.gov.co")</f>
        <v>jhon.restrepo@aunap.gov.co</v>
      </c>
      <c r="AA29" s="47" t="str">
        <f>IFERROR(__xludf.DUMMYFUNCTION("""COMPUTED_VALUE"""),"Humano, físico, financiero, tecnológico")</f>
        <v>Humano, físico, financiero, tecnológico</v>
      </c>
      <c r="AB29" s="47" t="str">
        <f>IFERROR(__xludf.DUMMYFUNCTION("""COMPUTED_VALUE"""),"No asociado")</f>
        <v>No asociado</v>
      </c>
      <c r="AC29" s="47" t="str">
        <f>IFERROR(__xludf.DUMMYFUNCTION("""COMPUTED_VALUE"""),"Propiciar la formalización de la pesca y la acuicultura")</f>
        <v>Propiciar la formalización de la pesca y la acuicultura</v>
      </c>
      <c r="AD29" s="47" t="str">
        <f>IFERROR(__xludf.DUMMYFUNCTION("""COMPUTED_VALUE"""),"Gestión con valores para resultados")</f>
        <v>Gestión con valores para resultados</v>
      </c>
      <c r="AE29" s="47" t="str">
        <f>IFERROR(__xludf.DUMMYFUNCTION("""COMPUTED_VALUE"""),"Fortalecimiento Organizacional y Simplificación de Procesos")</f>
        <v>Fortalecimiento Organizacional y Simplificación de Procesos</v>
      </c>
      <c r="AF29" s="47" t="str">
        <f>IFERROR(__xludf.DUMMYFUNCTION("""COMPUTED_VALUE"""),"12. Producción y consumo responsable")</f>
        <v>12. Producción y consumo responsable</v>
      </c>
      <c r="AG29" s="58">
        <f>IFERROR(__xludf.DUMMYFUNCTION("""COMPUTED_VALUE"""),0.0)</f>
        <v>0</v>
      </c>
      <c r="AH29" s="59" t="str">
        <f>IFERROR(__xludf.DUMMYFUNCTION("""COMPUTED_VALUE"""),"no se reporta ")</f>
        <v>no se reporta </v>
      </c>
      <c r="AI29" s="59" t="str">
        <f>IFERROR(__xludf.DUMMYFUNCTION("""COMPUTED_VALUE"""),"no se reporta ")</f>
        <v>no se reporta </v>
      </c>
      <c r="AJ29" s="60">
        <f>IFERROR(__xludf.DUMMYFUNCTION("""COMPUTED_VALUE"""),44396.0)</f>
        <v>44396</v>
      </c>
      <c r="AK29" s="61" t="str">
        <f>IFERROR(IF((AL29+1)&lt;2,Alertas!$B$2&amp;TEXT(AL29,"0%")&amp;Alertas!$D$2, IF((AL29+1)=2,Alertas!$B$3,IF((AL29+1)&gt;2,Alertas!$B$4&amp;TEXT(AL29,"0%")&amp;Alertas!$D$4,AL29+1))),"Sin meta para el segundo trimestre")</f>
        <v>Sin meta para el segundo trimestre</v>
      </c>
      <c r="AL29" s="62" t="str">
        <f t="shared" si="2"/>
        <v>-</v>
      </c>
      <c r="AM29" s="61" t="str">
        <f t="shared" si="3"/>
        <v>Sin meta para el segundo trimestre.</v>
      </c>
      <c r="AN29" s="63"/>
      <c r="AO29" s="64"/>
      <c r="AP29" s="65"/>
      <c r="AQ29" s="65"/>
      <c r="AR29" s="66"/>
      <c r="AS29" s="67"/>
      <c r="AT29" s="68"/>
      <c r="AU29" s="63"/>
      <c r="AV29" s="64"/>
      <c r="AW29" s="69"/>
      <c r="AX29" s="65"/>
      <c r="AY29" s="70"/>
      <c r="AZ29" s="71"/>
      <c r="BA29" s="72"/>
      <c r="BB29" s="73"/>
      <c r="BC29" s="64"/>
      <c r="BD29" s="69"/>
      <c r="BE29" s="65"/>
      <c r="BF29" s="66"/>
      <c r="BG29" s="71"/>
      <c r="BH29" s="72"/>
      <c r="BI29" s="74"/>
      <c r="BK29" s="5" t="str">
        <f t="shared" si="23"/>
        <v>-</v>
      </c>
      <c r="BM29" s="5"/>
    </row>
    <row r="30" ht="37.5" customHeight="1">
      <c r="A30" s="45"/>
      <c r="B30" s="46">
        <f>IFERROR(__xludf.DUMMYFUNCTION("""COMPUTED_VALUE"""),28.0)</f>
        <v>28</v>
      </c>
      <c r="C30" s="47" t="str">
        <f>IFERROR(__xludf.DUMMYFUNCTION("""COMPUTED_VALUE"""),"Gestión de la administración y fomento")</f>
        <v>Gestión de la administración y fomento</v>
      </c>
      <c r="D30" s="48" t="str">
        <f>IFERROR(__xludf.DUMMYFUNCTION("""COMPUTED_VALUE"""),"Dirección Técnica de Administración y Fomento")</f>
        <v>Dirección Técnica de Administración y Fomento</v>
      </c>
      <c r="E30" s="48" t="str">
        <f>IFERROR(__xludf.DUMMYFUNCTION("""COMPUTED_VALUE"""),"Fortalecimiento de la sostenibilidad del sector pesquero y de la acuicultura en el territorio nacional")</f>
        <v>Fortalecimiento de la sostenibilidad del sector pesquero y de la acuicultura en el territorio nacional</v>
      </c>
      <c r="F30" s="49">
        <f>IFERROR(__xludf.DUMMYFUNCTION("""COMPUTED_VALUE"""),2.01901100028E12)</f>
        <v>2019011000280</v>
      </c>
      <c r="G30" s="50" t="str">
        <f>IFERROR(__xludf.DUMMYFUNCTION("""COMPUTED_VALUE"""),"Sostenibilidad")</f>
        <v>Sostenibilidad</v>
      </c>
      <c r="H30" s="48" t="str">
        <f>IFERROR(__xludf.DUMMYFUNCTION("""COMPUTED_VALUE"""),"Mejorar la explotación de los recursos pesqueros y de la acuicultura.")</f>
        <v>Mejorar la explotación de los recursos pesqueros y de la acuicultura.</v>
      </c>
      <c r="I30" s="48" t="str">
        <f>IFERROR(__xludf.DUMMYFUNCTION("""COMPUTED_VALUE"""),"Servicio de ordenación pesquera y de la acuicultura")</f>
        <v>Servicio de ordenación pesquera y de la acuicultura</v>
      </c>
      <c r="J30" s="48" t="str">
        <f>IFERROR(__xludf.DUMMYFUNCTION("""COMPUTED_VALUE"""),"Realizar seguimiento a los acuerdos de ordenación")</f>
        <v>Realizar seguimiento a los acuerdos de ordenación</v>
      </c>
      <c r="K30" s="51" t="str">
        <f>IFERROR(__xludf.DUMMYFUNCTION("""COMPUTED_VALUE"""),"Producto")</f>
        <v>Producto</v>
      </c>
      <c r="L30" s="51" t="str">
        <f>IFERROR(__xludf.DUMMYFUNCTION("""COMPUTED_VALUE"""),"Eficacia")</f>
        <v>Eficacia</v>
      </c>
      <c r="M30" s="51" t="str">
        <f>IFERROR(__xludf.DUMMYFUNCTION("""COMPUTED_VALUE"""),"Número")</f>
        <v>Número</v>
      </c>
      <c r="N30" s="52" t="str">
        <f>IFERROR(__xludf.DUMMYFUNCTION("""COMPUTED_VALUE"""),"Seguimiento a los acuerdos de ordenación pesquera")</f>
        <v>Seguimiento a los acuerdos de ordenación pesquera</v>
      </c>
      <c r="O30" s="53">
        <f>IFERROR(__xludf.DUMMYFUNCTION("""COMPUTED_VALUE"""),-3.0)</f>
        <v>-3</v>
      </c>
      <c r="P30" s="54">
        <f>IFERROR(__xludf.DUMMYFUNCTION("""COMPUTED_VALUE"""),11.0)</f>
        <v>11</v>
      </c>
      <c r="Q30" s="55" t="str">
        <f>IFERROR(__xludf.DUMMYFUNCTION("""COMPUTED_VALUE"""),"Realizar seguimiento a los acuerdos de ordenación pesquera")</f>
        <v>Realizar seguimiento a los acuerdos de ordenación pesquera</v>
      </c>
      <c r="R30" s="14" t="str">
        <f>IFERROR(__xludf.DUMMYFUNCTION("""COMPUTED_VALUE"""),"Semestral")</f>
        <v>Semestral</v>
      </c>
      <c r="S30" s="54">
        <f>IFERROR(__xludf.DUMMYFUNCTION("""COMPUTED_VALUE"""),0.0)</f>
        <v>0</v>
      </c>
      <c r="T30" s="54">
        <f>IFERROR(__xludf.DUMMYFUNCTION("""COMPUTED_VALUE"""),5.0)</f>
        <v>5</v>
      </c>
      <c r="U30" s="54">
        <f>IFERROR(__xludf.DUMMYFUNCTION("""COMPUTED_VALUE"""),0.0)</f>
        <v>0</v>
      </c>
      <c r="V30" s="54">
        <f>IFERROR(__xludf.DUMMYFUNCTION("""COMPUTED_VALUE"""),6.0)</f>
        <v>6</v>
      </c>
      <c r="W30" s="56" t="str">
        <f>IFERROR(__xludf.DUMMYFUNCTION("""COMPUTED_VALUE"""),"DTAF")</f>
        <v>DTAF</v>
      </c>
      <c r="X30" s="57" t="str">
        <f>IFERROR(__xludf.DUMMYFUNCTION("""COMPUTED_VALUE"""),"Jhon Jairo Restrepo")</f>
        <v>Jhon Jairo Restrepo</v>
      </c>
      <c r="Y30" s="47" t="str">
        <f>IFERROR(__xludf.DUMMYFUNCTION("""COMPUTED_VALUE"""),"Director Jhon Jairo Restrepo")</f>
        <v>Director Jhon Jairo Restrepo</v>
      </c>
      <c r="Z30" s="57" t="str">
        <f>IFERROR(__xludf.DUMMYFUNCTION("""COMPUTED_VALUE"""),"jhon.restrepo@aunap.gov.co")</f>
        <v>jhon.restrepo@aunap.gov.co</v>
      </c>
      <c r="AA30" s="47" t="str">
        <f>IFERROR(__xludf.DUMMYFUNCTION("""COMPUTED_VALUE"""),"Humano, físico, financiero, tecnológico")</f>
        <v>Humano, físico, financiero, tecnológico</v>
      </c>
      <c r="AB30" s="47" t="str">
        <f>IFERROR(__xludf.DUMMYFUNCTION("""COMPUTED_VALUE"""),"No asociado")</f>
        <v>No asociado</v>
      </c>
      <c r="AC30" s="47" t="str">
        <f>IFERROR(__xludf.DUMMYFUNCTION("""COMPUTED_VALUE"""),"Propiciar la formalización de la pesca y la acuicultura")</f>
        <v>Propiciar la formalización de la pesca y la acuicultura</v>
      </c>
      <c r="AD30" s="47" t="str">
        <f>IFERROR(__xludf.DUMMYFUNCTION("""COMPUTED_VALUE"""),"Gestión con valores para resultados")</f>
        <v>Gestión con valores para resultados</v>
      </c>
      <c r="AE30" s="47" t="str">
        <f>IFERROR(__xludf.DUMMYFUNCTION("""COMPUTED_VALUE"""),"Fortalecimiento Organizacional y Simplificación de Procesos")</f>
        <v>Fortalecimiento Organizacional y Simplificación de Procesos</v>
      </c>
      <c r="AF30" s="47" t="str">
        <f>IFERROR(__xludf.DUMMYFUNCTION("""COMPUTED_VALUE"""),"12. Producción y consumo responsable")</f>
        <v>12. Producción y consumo responsable</v>
      </c>
      <c r="AG30" s="58">
        <f>IFERROR(__xludf.DUMMYFUNCTION("""COMPUTED_VALUE"""),5.0)</f>
        <v>5</v>
      </c>
      <c r="AH30" s="59" t="str">
        <f>IFERROR(__xludf.DUMMYFUNCTION("""COMPUTED_VALUE"""),"Se realizaron 5 seguimientos a los acuerdos de ordenación pesquera")</f>
        <v>Se realizaron 5 seguimientos a los acuerdos de ordenación pesquera</v>
      </c>
      <c r="AI30" s="80" t="str">
        <f>IFERROR(__xludf.DUMMYFUNCTION("""COMPUTED_VALUE"""),"https://drive.google.com/drive/folders/1gf8io1RgaFWHfj6c0JO9i4V1L-V-SRtq")</f>
        <v>https://drive.google.com/drive/folders/1gf8io1RgaFWHfj6c0JO9i4V1L-V-SRtq</v>
      </c>
      <c r="AJ30" s="60">
        <f>IFERROR(__xludf.DUMMYFUNCTION("""COMPUTED_VALUE"""),44396.0)</f>
        <v>44396</v>
      </c>
      <c r="AK30" s="61" t="str">
        <f>IFERROR(IF((AL30+1)&lt;2,Alertas!$B$2&amp;TEXT(AL30,"0%")&amp;Alertas!$D$2, IF((AL30+1)=2,Alertas!$B$3,IF((AL30+1)&gt;2,Alertas!$B$4&amp;TEXT(AL30,"0%")&amp;Alertas!$D$4,AL30+1))),"Sin meta para el segundo trimestre")</f>
        <v>La ejecución de la meta registrada se encuentra acorde a la meta programada en la formulación del plan de acción para el segundo trimestre</v>
      </c>
      <c r="AL30" s="62">
        <f t="shared" si="2"/>
        <v>1</v>
      </c>
      <c r="AM30" s="61" t="str">
        <f t="shared" si="3"/>
        <v>La ejecución de la meta registrada se encuentra acorde a la meta programada en la formulación del plan de acción para el segundo trimestre.</v>
      </c>
      <c r="AN30" s="63"/>
      <c r="AO30" s="64"/>
      <c r="AP30" s="65"/>
      <c r="AQ30" s="65"/>
      <c r="AR30" s="66"/>
      <c r="AS30" s="67"/>
      <c r="AT30" s="68"/>
      <c r="AU30" s="63"/>
      <c r="AV30" s="64"/>
      <c r="AW30" s="69"/>
      <c r="AX30" s="65"/>
      <c r="AY30" s="70"/>
      <c r="AZ30" s="71"/>
      <c r="BA30" s="72"/>
      <c r="BB30" s="73"/>
      <c r="BC30" s="64"/>
      <c r="BD30" s="69"/>
      <c r="BE30" s="65"/>
      <c r="BF30" s="66"/>
      <c r="BG30" s="71"/>
      <c r="BH30" s="72"/>
      <c r="BI30" s="74"/>
      <c r="BK30" s="5" t="str">
        <f t="shared" si="23"/>
        <v>0</v>
      </c>
      <c r="BM30" s="5"/>
    </row>
    <row r="31" ht="37.5" customHeight="1">
      <c r="A31" s="45"/>
      <c r="B31" s="46">
        <f>IFERROR(__xludf.DUMMYFUNCTION("""COMPUTED_VALUE"""),29.0)</f>
        <v>29</v>
      </c>
      <c r="C31" s="47" t="str">
        <f>IFERROR(__xludf.DUMMYFUNCTION("""COMPUTED_VALUE"""),"Gestión de la administración y fomento")</f>
        <v>Gestión de la administración y fomento</v>
      </c>
      <c r="D31" s="48" t="str">
        <f>IFERROR(__xludf.DUMMYFUNCTION("""COMPUTED_VALUE"""),"Dirección Técnica de Administración y Fomento")</f>
        <v>Dirección Técnica de Administración y Fomento</v>
      </c>
      <c r="E31" s="48" t="str">
        <f>IFERROR(__xludf.DUMMYFUNCTION("""COMPUTED_VALUE"""),"Fortalecimiento de la sostenibilidad del sector pesquero y de la acuicultura en el territorio nacional")</f>
        <v>Fortalecimiento de la sostenibilidad del sector pesquero y de la acuicultura en el territorio nacional</v>
      </c>
      <c r="F31" s="49">
        <f>IFERROR(__xludf.DUMMYFUNCTION("""COMPUTED_VALUE"""),2.01901100028E12)</f>
        <v>2019011000280</v>
      </c>
      <c r="G31" s="50" t="str">
        <f>IFERROR(__xludf.DUMMYFUNCTION("""COMPUTED_VALUE"""),"Sostenibilidad")</f>
        <v>Sostenibilidad</v>
      </c>
      <c r="H31" s="48" t="str">
        <f>IFERROR(__xludf.DUMMYFUNCTION("""COMPUTED_VALUE"""),"Mejorar las prácticas de pesca y de acuicultura.")</f>
        <v>Mejorar las prácticas de pesca y de acuicultura.</v>
      </c>
      <c r="I31" s="48" t="str">
        <f>IFERROR(__xludf.DUMMYFUNCTION("""COMPUTED_VALUE"""),"Servicios de apoyo al fomento de la pesca y la acuicultura")</f>
        <v>Servicios de apoyo al fomento de la pesca y la acuicultura</v>
      </c>
      <c r="J31" s="48" t="str">
        <f>IFERROR(__xludf.DUMMYFUNCTION("""COMPUTED_VALUE"""),"Generar estrategias de comercialización y consumo responsable de los productos de la pesca y la acuicultura")</f>
        <v>Generar estrategias de comercialización y consumo responsable de los productos de la pesca y la acuicultura</v>
      </c>
      <c r="K31" s="51" t="str">
        <f>IFERROR(__xludf.DUMMYFUNCTION("""COMPUTED_VALUE"""),"Gestión")</f>
        <v>Gestión</v>
      </c>
      <c r="L31" s="51" t="str">
        <f>IFERROR(__xludf.DUMMYFUNCTION("""COMPUTED_VALUE"""),"Efectividad")</f>
        <v>Efectividad</v>
      </c>
      <c r="M31" s="51" t="str">
        <f>IFERROR(__xludf.DUMMYFUNCTION("""COMPUTED_VALUE"""),"Número")</f>
        <v>Número</v>
      </c>
      <c r="N31" s="52" t="str">
        <f>IFERROR(__xludf.DUMMYFUNCTION("""COMPUTED_VALUE"""),"Número de productores con acuerdos comerciales suscritos beneficiados/Número de productores con acuerdos comerciales suscritos programados para beneficiar")</f>
        <v>Número de productores con acuerdos comerciales suscritos beneficiados/Número de productores con acuerdos comerciales suscritos programados para beneficiar</v>
      </c>
      <c r="O31" s="53">
        <f>IFERROR(__xludf.DUMMYFUNCTION("""COMPUTED_VALUE"""),15.0)</f>
        <v>15</v>
      </c>
      <c r="P31" s="54">
        <f>IFERROR(__xludf.DUMMYFUNCTION("""COMPUTED_VALUE"""),5000.0)</f>
        <v>5000</v>
      </c>
      <c r="Q31" s="55" t="str">
        <f>IFERROR(__xludf.DUMMYFUNCTION("""COMPUTED_VALUE"""),"Beneficiar a productores con estrategias de inclusión productiva")</f>
        <v>Beneficiar a productores con estrategias de inclusión productiva</v>
      </c>
      <c r="R31" s="14" t="str">
        <f>IFERROR(__xludf.DUMMYFUNCTION("""COMPUTED_VALUE"""),"Anual")</f>
        <v>Anual</v>
      </c>
      <c r="S31" s="54">
        <f>IFERROR(__xludf.DUMMYFUNCTION("""COMPUTED_VALUE"""),0.0)</f>
        <v>0</v>
      </c>
      <c r="T31" s="54">
        <f>IFERROR(__xludf.DUMMYFUNCTION("""COMPUTED_VALUE"""),0.0)</f>
        <v>0</v>
      </c>
      <c r="U31" s="54">
        <f>IFERROR(__xludf.DUMMYFUNCTION("""COMPUTED_VALUE"""),0.0)</f>
        <v>0</v>
      </c>
      <c r="V31" s="54">
        <f>IFERROR(__xludf.DUMMYFUNCTION("""COMPUTED_VALUE"""),5000.0)</f>
        <v>5000</v>
      </c>
      <c r="W31" s="56" t="str">
        <f>IFERROR(__xludf.DUMMYFUNCTION("""COMPUTED_VALUE"""),"DTAF")</f>
        <v>DTAF</v>
      </c>
      <c r="X31" s="57" t="str">
        <f>IFERROR(__xludf.DUMMYFUNCTION("""COMPUTED_VALUE"""),"Jhon Jairo Restrepo")</f>
        <v>Jhon Jairo Restrepo</v>
      </c>
      <c r="Y31" s="47" t="str">
        <f>IFERROR(__xludf.DUMMYFUNCTION("""COMPUTED_VALUE"""),"Director Jhon Jairo Restrepo")</f>
        <v>Director Jhon Jairo Restrepo</v>
      </c>
      <c r="Z31" s="57" t="str">
        <f>IFERROR(__xludf.DUMMYFUNCTION("""COMPUTED_VALUE"""),"jhon.restrepo@aunap.gov.co")</f>
        <v>jhon.restrepo@aunap.gov.co</v>
      </c>
      <c r="AA31" s="47" t="str">
        <f>IFERROR(__xludf.DUMMYFUNCTION("""COMPUTED_VALUE"""),"Humano, físico, financiero, tecnológico")</f>
        <v>Humano, físico, financiero, tecnológico</v>
      </c>
      <c r="AB31" s="47" t="str">
        <f>IFERROR(__xludf.DUMMYFUNCTION("""COMPUTED_VALUE"""),"No asociado")</f>
        <v>No asociado</v>
      </c>
      <c r="AC31" s="47" t="str">
        <f>IFERROR(__xludf.DUMMYFUNCTION("""COMPUTED_VALUE"""),"Propiciar la formalización de la pesca y la acuicultura")</f>
        <v>Propiciar la formalización de la pesca y la acuicultura</v>
      </c>
      <c r="AD31" s="47" t="str">
        <f>IFERROR(__xludf.DUMMYFUNCTION("""COMPUTED_VALUE"""),"Gestión con valores para resultados")</f>
        <v>Gestión con valores para resultados</v>
      </c>
      <c r="AE31" s="47" t="str">
        <f>IFERROR(__xludf.DUMMYFUNCTION("""COMPUTED_VALUE"""),"Fortalecimiento Organizacional y Simplificación de Procesos")</f>
        <v>Fortalecimiento Organizacional y Simplificación de Procesos</v>
      </c>
      <c r="AF31" s="47" t="str">
        <f>IFERROR(__xludf.DUMMYFUNCTION("""COMPUTED_VALUE"""),"12. Producción y consumo responsable")</f>
        <v>12. Producción y consumo responsable</v>
      </c>
      <c r="AG31" s="58">
        <f>IFERROR(__xludf.DUMMYFUNCTION("""COMPUTED_VALUE"""),0.0)</f>
        <v>0</v>
      </c>
      <c r="AH31" s="59" t="str">
        <f>IFERROR(__xludf.DUMMYFUNCTION("""COMPUTED_VALUE"""),"no se reporta ")</f>
        <v>no se reporta </v>
      </c>
      <c r="AI31" s="59" t="str">
        <f>IFERROR(__xludf.DUMMYFUNCTION("""COMPUTED_VALUE"""),"no se reporta ")</f>
        <v>no se reporta </v>
      </c>
      <c r="AJ31" s="60">
        <f>IFERROR(__xludf.DUMMYFUNCTION("""COMPUTED_VALUE"""),44396.0)</f>
        <v>44396</v>
      </c>
      <c r="AK31" s="61" t="str">
        <f>IFERROR(IF((AL31+1)&lt;2,Alertas!$B$2&amp;TEXT(AL31,"0%")&amp;Alertas!$D$2, IF((AL31+1)=2,Alertas!$B$3,IF((AL31+1)&gt;2,Alertas!$B$4&amp;TEXT(AL31,"0%")&amp;Alertas!$D$4,AL31+1))),"Sin meta para el segundo trimestre")</f>
        <v>Sin meta para el segundo trimestre</v>
      </c>
      <c r="AL31" s="62" t="str">
        <f t="shared" si="2"/>
        <v>-</v>
      </c>
      <c r="AM31" s="61" t="str">
        <f t="shared" si="3"/>
        <v>Sin meta para el segundo trimestre.</v>
      </c>
      <c r="AN31" s="63"/>
      <c r="AO31" s="64"/>
      <c r="AP31" s="65"/>
      <c r="AQ31" s="65"/>
      <c r="AR31" s="66"/>
      <c r="AS31" s="67"/>
      <c r="AT31" s="68"/>
      <c r="AU31" s="63"/>
      <c r="AV31" s="64"/>
      <c r="AW31" s="69"/>
      <c r="AX31" s="65"/>
      <c r="AY31" s="70"/>
      <c r="AZ31" s="71"/>
      <c r="BA31" s="72"/>
      <c r="BB31" s="73"/>
      <c r="BC31" s="64"/>
      <c r="BD31" s="69"/>
      <c r="BE31" s="65"/>
      <c r="BF31" s="66"/>
      <c r="BG31" s="71"/>
      <c r="BH31" s="72"/>
      <c r="BI31" s="74"/>
      <c r="BK31" s="5" t="str">
        <f t="shared" si="23"/>
        <v>-</v>
      </c>
      <c r="BM31" s="5"/>
    </row>
    <row r="32" ht="37.5" customHeight="1">
      <c r="A32" s="45"/>
      <c r="B32" s="46">
        <f>IFERROR(__xludf.DUMMYFUNCTION("""COMPUTED_VALUE"""),30.0)</f>
        <v>30</v>
      </c>
      <c r="C32" s="47" t="str">
        <f>IFERROR(__xludf.DUMMYFUNCTION("""COMPUTED_VALUE"""),"Gestión de la administración y fomento")</f>
        <v>Gestión de la administración y fomento</v>
      </c>
      <c r="D32" s="48" t="str">
        <f>IFERROR(__xludf.DUMMYFUNCTION("""COMPUTED_VALUE"""),"Dirección Técnica de Administración y Fomento")</f>
        <v>Dirección Técnica de Administración y Fomento</v>
      </c>
      <c r="E32" s="48" t="str">
        <f>IFERROR(__xludf.DUMMYFUNCTION("""COMPUTED_VALUE"""),"Fortalecimiento de la sostenibilidad del sector pesquero y de la acuicultura en el territorio nacional")</f>
        <v>Fortalecimiento de la sostenibilidad del sector pesquero y de la acuicultura en el territorio nacional</v>
      </c>
      <c r="F32" s="49">
        <f>IFERROR(__xludf.DUMMYFUNCTION("""COMPUTED_VALUE"""),2.01901100028E12)</f>
        <v>2019011000280</v>
      </c>
      <c r="G32" s="50" t="str">
        <f>IFERROR(__xludf.DUMMYFUNCTION("""COMPUTED_VALUE"""),"Sostenibilidad")</f>
        <v>Sostenibilidad</v>
      </c>
      <c r="H32" s="48" t="str">
        <f>IFERROR(__xludf.DUMMYFUNCTION("""COMPUTED_VALUE"""),"Mejorar las prácticas de pesca y de acuicultura.")</f>
        <v>Mejorar las prácticas de pesca y de acuicultura.</v>
      </c>
      <c r="I32" s="48" t="str">
        <f>IFERROR(__xludf.DUMMYFUNCTION("""COMPUTED_VALUE"""),"Servicios de apoyo al fomento de la pesca y la acuicultura")</f>
        <v>Servicios de apoyo al fomento de la pesca y la acuicultura</v>
      </c>
      <c r="J32" s="48" t="str">
        <f>IFERROR(__xludf.DUMMYFUNCTION("""COMPUTED_VALUE"""),"Generar acciones de fomento para la pesca, la acuicultura y sus actividades conexas.")</f>
        <v>Generar acciones de fomento para la pesca, la acuicultura y sus actividades conexas.</v>
      </c>
      <c r="K32" s="51" t="str">
        <f>IFERROR(__xludf.DUMMYFUNCTION("""COMPUTED_VALUE"""),"Gestión")</f>
        <v>Gestión</v>
      </c>
      <c r="L32" s="51" t="str">
        <f>IFERROR(__xludf.DUMMYFUNCTION("""COMPUTED_VALUE"""),"Efectividad")</f>
        <v>Efectividad</v>
      </c>
      <c r="M32" s="51" t="str">
        <f>IFERROR(__xludf.DUMMYFUNCTION("""COMPUTED_VALUE"""),"Número")</f>
        <v>Número</v>
      </c>
      <c r="N32" s="52" t="str">
        <f>IFERROR(__xludf.DUMMYFUNCTION("""COMPUTED_VALUE"""),"Número de reportes realizados/Número de reporte programado")</f>
        <v>Número de reportes realizados/Número de reporte programado</v>
      </c>
      <c r="O32" s="53">
        <f>IFERROR(__xludf.DUMMYFUNCTION("""COMPUTED_VALUE"""),15.0)</f>
        <v>15</v>
      </c>
      <c r="P32" s="54">
        <f>IFERROR(__xludf.DUMMYFUNCTION("""COMPUTED_VALUE"""),6.0)</f>
        <v>6</v>
      </c>
      <c r="Q32" s="55" t="str">
        <f>IFERROR(__xludf.DUMMYFUNCTION("""COMPUTED_VALUE"""),"Reportar información relacionada con las acciones de administración, ordenación y fomento de la pesca")</f>
        <v>Reportar información relacionada con las acciones de administración, ordenación y fomento de la pesca</v>
      </c>
      <c r="R32" s="14" t="str">
        <f>IFERROR(__xludf.DUMMYFUNCTION("""COMPUTED_VALUE"""),"Trimestral")</f>
        <v>Trimestral</v>
      </c>
      <c r="S32" s="54">
        <f>IFERROR(__xludf.DUMMYFUNCTION("""COMPUTED_VALUE"""),1.0)</f>
        <v>1</v>
      </c>
      <c r="T32" s="54">
        <f>IFERROR(__xludf.DUMMYFUNCTION("""COMPUTED_VALUE"""),1.0)</f>
        <v>1</v>
      </c>
      <c r="U32" s="54">
        <f>IFERROR(__xludf.DUMMYFUNCTION("""COMPUTED_VALUE"""),2.0)</f>
        <v>2</v>
      </c>
      <c r="V32" s="54">
        <f>IFERROR(__xludf.DUMMYFUNCTION("""COMPUTED_VALUE"""),2.0)</f>
        <v>2</v>
      </c>
      <c r="W32" s="56" t="str">
        <f>IFERROR(__xludf.DUMMYFUNCTION("""COMPUTED_VALUE"""),"DTAF")</f>
        <v>DTAF</v>
      </c>
      <c r="X32" s="57" t="str">
        <f>IFERROR(__xludf.DUMMYFUNCTION("""COMPUTED_VALUE"""),"Jhon Jairo Restrepo")</f>
        <v>Jhon Jairo Restrepo</v>
      </c>
      <c r="Y32" s="47" t="str">
        <f>IFERROR(__xludf.DUMMYFUNCTION("""COMPUTED_VALUE"""),"Director Jhon Jairo Restrepo")</f>
        <v>Director Jhon Jairo Restrepo</v>
      </c>
      <c r="Z32" s="57" t="str">
        <f>IFERROR(__xludf.DUMMYFUNCTION("""COMPUTED_VALUE"""),"jhon.restrepo@aunap.gov.co")</f>
        <v>jhon.restrepo@aunap.gov.co</v>
      </c>
      <c r="AA32" s="47" t="str">
        <f>IFERROR(__xludf.DUMMYFUNCTION("""COMPUTED_VALUE"""),"Humano, físico, financiero, tecnológico")</f>
        <v>Humano, físico, financiero, tecnológico</v>
      </c>
      <c r="AB32" s="47" t="str">
        <f>IFERROR(__xludf.DUMMYFUNCTION("""COMPUTED_VALUE"""),"No asociado")</f>
        <v>No asociado</v>
      </c>
      <c r="AC32" s="47" t="str">
        <f>IFERROR(__xludf.DUMMYFUNCTION("""COMPUTED_VALUE"""),"Propiciar la formalización de la pesca y la acuicultura")</f>
        <v>Propiciar la formalización de la pesca y la acuicultura</v>
      </c>
      <c r="AD32" s="47" t="str">
        <f>IFERROR(__xludf.DUMMYFUNCTION("""COMPUTED_VALUE"""),"Gestión con valores para resultados")</f>
        <v>Gestión con valores para resultados</v>
      </c>
      <c r="AE32" s="47" t="str">
        <f>IFERROR(__xludf.DUMMYFUNCTION("""COMPUTED_VALUE"""),"Fortalecimiento Organizacional y Simplificación de Procesos")</f>
        <v>Fortalecimiento Organizacional y Simplificación de Procesos</v>
      </c>
      <c r="AF32" s="47" t="str">
        <f>IFERROR(__xludf.DUMMYFUNCTION("""COMPUTED_VALUE"""),"12. Producción y consumo responsable")</f>
        <v>12. Producción y consumo responsable</v>
      </c>
      <c r="AG32" s="58">
        <f>IFERROR(__xludf.DUMMYFUNCTION("""COMPUTED_VALUE"""),1.0)</f>
        <v>1</v>
      </c>
      <c r="AH32" s="59" t="str">
        <f>IFERROR(__xludf.DUMMYFUNCTION("""COMPUTED_VALUE"""),"Se reportaron 1 información relacionada con las acciones de administración, ordenación y fomento de la pesca")</f>
        <v>Se reportaron 1 información relacionada con las acciones de administración, ordenación y fomento de la pesca</v>
      </c>
      <c r="AI32" s="80" t="str">
        <f>IFERROR(__xludf.DUMMYFUNCTION("""COMPUTED_VALUE"""),"https://drive.google.com/drive/folders/1Q7U_unLOvk2VhsZZzPfCtwscIge_MKE9")</f>
        <v>https://drive.google.com/drive/folders/1Q7U_unLOvk2VhsZZzPfCtwscIge_MKE9</v>
      </c>
      <c r="AJ32" s="60">
        <f>IFERROR(__xludf.DUMMYFUNCTION("""COMPUTED_VALUE"""),44396.0)</f>
        <v>44396</v>
      </c>
      <c r="AK32" s="61" t="str">
        <f>IFERROR(IF((AL32+1)&lt;2,Alertas!$B$2&amp;TEXT(AL32,"0%")&amp;Alertas!$D$2, IF((AL32+1)=2,Alertas!$B$3,IF((AL32+1)&gt;2,Alertas!$B$4&amp;TEXT(AL32,"0%")&amp;Alertas!$D$4,AL32+1))),"Sin meta para el segundo trimestre")</f>
        <v>La ejecución de la meta registrada se encuentra acorde a la meta programada en la formulación del plan de acción para el segundo trimestre</v>
      </c>
      <c r="AL32" s="62">
        <f t="shared" si="2"/>
        <v>1</v>
      </c>
      <c r="AM32" s="61" t="str">
        <f t="shared" si="3"/>
        <v>La ejecución de la meta registrada se encuentra acorde a la meta programada en la formulación del plan de acción para el segundo trimestre.</v>
      </c>
      <c r="AN32" s="63"/>
      <c r="AO32" s="64"/>
      <c r="AP32" s="65"/>
      <c r="AQ32" s="65"/>
      <c r="AR32" s="66"/>
      <c r="AS32" s="67"/>
      <c r="AT32" s="68"/>
      <c r="AU32" s="63"/>
      <c r="AV32" s="64"/>
      <c r="AW32" s="69"/>
      <c r="AX32" s="65"/>
      <c r="AY32" s="70"/>
      <c r="AZ32" s="71"/>
      <c r="BA32" s="72"/>
      <c r="BB32" s="73"/>
      <c r="BC32" s="64"/>
      <c r="BD32" s="69"/>
      <c r="BE32" s="65"/>
      <c r="BF32" s="66"/>
      <c r="BG32" s="71"/>
      <c r="BH32" s="72"/>
      <c r="BI32" s="74"/>
      <c r="BK32" s="5" t="str">
        <f t="shared" si="23"/>
        <v>0</v>
      </c>
      <c r="BM32" s="5"/>
    </row>
    <row r="33" ht="37.5" customHeight="1">
      <c r="A33" s="45"/>
      <c r="B33" s="46">
        <f>IFERROR(__xludf.DUMMYFUNCTION("""COMPUTED_VALUE"""),31.0)</f>
        <v>31</v>
      </c>
      <c r="C33" s="47" t="str">
        <f>IFERROR(__xludf.DUMMYFUNCTION("""COMPUTED_VALUE"""),"Gestión de la administración y fomento")</f>
        <v>Gestión de la administración y fomento</v>
      </c>
      <c r="D33" s="48" t="str">
        <f>IFERROR(__xludf.DUMMYFUNCTION("""COMPUTED_VALUE"""),"Dirección Técnica de Administración y Fomento")</f>
        <v>Dirección Técnica de Administración y Fomento</v>
      </c>
      <c r="E33" s="48" t="str">
        <f>IFERROR(__xludf.DUMMYFUNCTION("""COMPUTED_VALUE"""),"Fortalecimiento de la sostenibilidad del sector pesquero y de la acuicultura en el territorio nacional")</f>
        <v>Fortalecimiento de la sostenibilidad del sector pesquero y de la acuicultura en el territorio nacional</v>
      </c>
      <c r="F33" s="49">
        <f>IFERROR(__xludf.DUMMYFUNCTION("""COMPUTED_VALUE"""),2.01901100028E12)</f>
        <v>2019011000280</v>
      </c>
      <c r="G33" s="50" t="str">
        <f>IFERROR(__xludf.DUMMYFUNCTION("""COMPUTED_VALUE"""),"Sostenibilidad")</f>
        <v>Sostenibilidad</v>
      </c>
      <c r="H33" s="48" t="str">
        <f>IFERROR(__xludf.DUMMYFUNCTION("""COMPUTED_VALUE"""),"Mejorar la explotación de los recursos pesqueros y de la acuicultura.")</f>
        <v>Mejorar la explotación de los recursos pesqueros y de la acuicultura.</v>
      </c>
      <c r="I33" s="48" t="str">
        <f>IFERROR(__xludf.DUMMYFUNCTION("""COMPUTED_VALUE"""),"Servicios de administración de los recurso pesqueros y de la acuicultura")</f>
        <v>Servicios de administración de los recurso pesqueros y de la acuicultura</v>
      </c>
      <c r="J33" s="48" t="str">
        <f>IFERROR(__xludf.DUMMYFUNCTION("""COMPUTED_VALUE"""),"Realizar acciones de divulgación y formalización de la actividad pesquera y de la acuicultura.")</f>
        <v>Realizar acciones de divulgación y formalización de la actividad pesquera y de la acuicultura.</v>
      </c>
      <c r="K33" s="51" t="str">
        <f>IFERROR(__xludf.DUMMYFUNCTION("""COMPUTED_VALUE"""),"Gestión")</f>
        <v>Gestión</v>
      </c>
      <c r="L33" s="51" t="str">
        <f>IFERROR(__xludf.DUMMYFUNCTION("""COMPUTED_VALUE"""),"Efectividad")</f>
        <v>Efectividad</v>
      </c>
      <c r="M33" s="51" t="str">
        <f>IFERROR(__xludf.DUMMYFUNCTION("""COMPUTED_VALUE"""),"Número")</f>
        <v>Número</v>
      </c>
      <c r="N33" s="52" t="str">
        <f>IFERROR(__xludf.DUMMYFUNCTION("""COMPUTED_VALUE"""),"Número de congresos de pescadores realizados/Número de congresos de pescadores programados")</f>
        <v>Número de congresos de pescadores realizados/Número de congresos de pescadores programados</v>
      </c>
      <c r="O33" s="53">
        <f>IFERROR(__xludf.DUMMYFUNCTION("""COMPUTED_VALUE"""),15.0)</f>
        <v>15</v>
      </c>
      <c r="P33" s="54">
        <f>IFERROR(__xludf.DUMMYFUNCTION("""COMPUTED_VALUE"""),1.0)</f>
        <v>1</v>
      </c>
      <c r="Q33" s="55" t="str">
        <f>IFERROR(__xludf.DUMMYFUNCTION("""COMPUTED_VALUE"""),"Realizar el Congreso de pescadores")</f>
        <v>Realizar el Congreso de pescadores</v>
      </c>
      <c r="R33" s="14" t="str">
        <f>IFERROR(__xludf.DUMMYFUNCTION("""COMPUTED_VALUE"""),"Anual")</f>
        <v>Anual</v>
      </c>
      <c r="S33" s="54">
        <f>IFERROR(__xludf.DUMMYFUNCTION("""COMPUTED_VALUE"""),0.0)</f>
        <v>0</v>
      </c>
      <c r="T33" s="54">
        <f>IFERROR(__xludf.DUMMYFUNCTION("""COMPUTED_VALUE"""),0.0)</f>
        <v>0</v>
      </c>
      <c r="U33" s="54">
        <f>IFERROR(__xludf.DUMMYFUNCTION("""COMPUTED_VALUE"""),0.0)</f>
        <v>0</v>
      </c>
      <c r="V33" s="54">
        <f>IFERROR(__xludf.DUMMYFUNCTION("""COMPUTED_VALUE"""),1.0)</f>
        <v>1</v>
      </c>
      <c r="W33" s="56" t="str">
        <f>IFERROR(__xludf.DUMMYFUNCTION("""COMPUTED_VALUE"""),"DTAF")</f>
        <v>DTAF</v>
      </c>
      <c r="X33" s="57" t="str">
        <f>IFERROR(__xludf.DUMMYFUNCTION("""COMPUTED_VALUE"""),"Jhon Jairo Restrepo")</f>
        <v>Jhon Jairo Restrepo</v>
      </c>
      <c r="Y33" s="47" t="str">
        <f>IFERROR(__xludf.DUMMYFUNCTION("""COMPUTED_VALUE"""),"Director Jhon Jairo Restrepo")</f>
        <v>Director Jhon Jairo Restrepo</v>
      </c>
      <c r="Z33" s="57" t="str">
        <f>IFERROR(__xludf.DUMMYFUNCTION("""COMPUTED_VALUE"""),"jhon.restrepo@aunap.gov.co")</f>
        <v>jhon.restrepo@aunap.gov.co</v>
      </c>
      <c r="AA33" s="47" t="str">
        <f>IFERROR(__xludf.DUMMYFUNCTION("""COMPUTED_VALUE"""),"Humano, físico, financiero, tecnológico")</f>
        <v>Humano, físico, financiero, tecnológico</v>
      </c>
      <c r="AB33" s="47" t="str">
        <f>IFERROR(__xludf.DUMMYFUNCTION("""COMPUTED_VALUE"""),"No asociado")</f>
        <v>No asociado</v>
      </c>
      <c r="AC33" s="47" t="str">
        <f>IFERROR(__xludf.DUMMYFUNCTION("""COMPUTED_VALUE"""),"Propiciar la formalización de la pesca y la acuicultura")</f>
        <v>Propiciar la formalización de la pesca y la acuicultura</v>
      </c>
      <c r="AD33" s="47" t="str">
        <f>IFERROR(__xludf.DUMMYFUNCTION("""COMPUTED_VALUE"""),"Gestión con valores para resultados")</f>
        <v>Gestión con valores para resultados</v>
      </c>
      <c r="AE33" s="47" t="str">
        <f>IFERROR(__xludf.DUMMYFUNCTION("""COMPUTED_VALUE"""),"Fortalecimiento Organizacional y Simplificación de Procesos")</f>
        <v>Fortalecimiento Organizacional y Simplificación de Procesos</v>
      </c>
      <c r="AF33" s="47" t="str">
        <f>IFERROR(__xludf.DUMMYFUNCTION("""COMPUTED_VALUE"""),"12. Producción y consumo responsable")</f>
        <v>12. Producción y consumo responsable</v>
      </c>
      <c r="AG33" s="58">
        <f>IFERROR(__xludf.DUMMYFUNCTION("""COMPUTED_VALUE"""),0.0)</f>
        <v>0</v>
      </c>
      <c r="AH33" s="59" t="str">
        <f>IFERROR(__xludf.DUMMYFUNCTION("""COMPUTED_VALUE"""),"no se reporta ")</f>
        <v>no se reporta </v>
      </c>
      <c r="AI33" s="59" t="str">
        <f>IFERROR(__xludf.DUMMYFUNCTION("""COMPUTED_VALUE"""),"no se reporta ")</f>
        <v>no se reporta </v>
      </c>
      <c r="AJ33" s="60">
        <f>IFERROR(__xludf.DUMMYFUNCTION("""COMPUTED_VALUE"""),44396.0)</f>
        <v>44396</v>
      </c>
      <c r="AK33" s="61" t="str">
        <f>IFERROR(IF((AL33+1)&lt;2,Alertas!$B$2&amp;TEXT(AL33,"0%")&amp;Alertas!$D$2, IF((AL33+1)=2,Alertas!$B$3,IF((AL33+1)&gt;2,Alertas!$B$4&amp;TEXT(AL33,"0%")&amp;Alertas!$D$4,AL33+1))),"Sin meta para el segundo trimestre")</f>
        <v>Sin meta para el segundo trimestre</v>
      </c>
      <c r="AL33" s="62" t="str">
        <f t="shared" si="2"/>
        <v>-</v>
      </c>
      <c r="AM33" s="61" t="str">
        <f t="shared" si="3"/>
        <v>Sin meta para el segundo trimestre.</v>
      </c>
      <c r="AN33" s="63"/>
      <c r="AO33" s="64"/>
      <c r="AP33" s="65"/>
      <c r="AQ33" s="65"/>
      <c r="AR33" s="66"/>
      <c r="AS33" s="67"/>
      <c r="AT33" s="68"/>
      <c r="AU33" s="63"/>
      <c r="AV33" s="64"/>
      <c r="AW33" s="69"/>
      <c r="AX33" s="65"/>
      <c r="AY33" s="70"/>
      <c r="AZ33" s="71"/>
      <c r="BA33" s="72"/>
      <c r="BB33" s="73"/>
      <c r="BC33" s="64"/>
      <c r="BD33" s="69"/>
      <c r="BE33" s="65"/>
      <c r="BF33" s="66"/>
      <c r="BG33" s="71"/>
      <c r="BH33" s="72"/>
      <c r="BI33" s="74"/>
      <c r="BK33" s="5" t="str">
        <f t="shared" si="23"/>
        <v>-</v>
      </c>
      <c r="BM33" s="5"/>
    </row>
    <row r="34" ht="37.5" customHeight="1">
      <c r="A34" s="45"/>
      <c r="B34" s="46">
        <f>IFERROR(__xludf.DUMMYFUNCTION("""COMPUTED_VALUE"""),32.0)</f>
        <v>32</v>
      </c>
      <c r="C34" s="47" t="str">
        <f>IFERROR(__xludf.DUMMYFUNCTION("""COMPUTED_VALUE"""),"Gestión de la administración y fomento")</f>
        <v>Gestión de la administración y fomento</v>
      </c>
      <c r="D34" s="48" t="str">
        <f>IFERROR(__xludf.DUMMYFUNCTION("""COMPUTED_VALUE"""),"Dirección Técnica de Administración y Fomento")</f>
        <v>Dirección Técnica de Administración y Fomento</v>
      </c>
      <c r="E34" s="48" t="str">
        <f>IFERROR(__xludf.DUMMYFUNCTION("""COMPUTED_VALUE"""),"Fortalecimiento de la sostenibilidad del sector pesquero y de la acuicultura en el territorio nacional")</f>
        <v>Fortalecimiento de la sostenibilidad del sector pesquero y de la acuicultura en el territorio nacional</v>
      </c>
      <c r="F34" s="49">
        <f>IFERROR(__xludf.DUMMYFUNCTION("""COMPUTED_VALUE"""),2.01901100028E12)</f>
        <v>2019011000280</v>
      </c>
      <c r="G34" s="50" t="str">
        <f>IFERROR(__xludf.DUMMYFUNCTION("""COMPUTED_VALUE"""),"Sostenibilidad")</f>
        <v>Sostenibilidad</v>
      </c>
      <c r="H34" s="48" t="str">
        <f>IFERROR(__xludf.DUMMYFUNCTION("""COMPUTED_VALUE"""),"Mejorar la explotación de los recursos pesqueros y de la acuicultura.")</f>
        <v>Mejorar la explotación de los recursos pesqueros y de la acuicultura.</v>
      </c>
      <c r="I34" s="48" t="str">
        <f>IFERROR(__xludf.DUMMYFUNCTION("""COMPUTED_VALUE"""),"Servicios de administración de los recurso pesqueros y de la acuicultura")</f>
        <v>Servicios de administración de los recurso pesqueros y de la acuicultura</v>
      </c>
      <c r="J34" s="48" t="str">
        <f>IFERROR(__xludf.DUMMYFUNCTION("""COMPUTED_VALUE"""),"Realizar acciones de divulgación y formalización de la actividad pesquera y de la acuicultura.")</f>
        <v>Realizar acciones de divulgación y formalización de la actividad pesquera y de la acuicultura.</v>
      </c>
      <c r="K34" s="51" t="str">
        <f>IFERROR(__xludf.DUMMYFUNCTION("""COMPUTED_VALUE"""),"Gestión")</f>
        <v>Gestión</v>
      </c>
      <c r="L34" s="51" t="str">
        <f>IFERROR(__xludf.DUMMYFUNCTION("""COMPUTED_VALUE"""),"Efectividad")</f>
        <v>Efectividad</v>
      </c>
      <c r="M34" s="51" t="str">
        <f>IFERROR(__xludf.DUMMYFUNCTION("""COMPUTED_VALUE"""),"Número")</f>
        <v>Número</v>
      </c>
      <c r="N34" s="52" t="str">
        <f>IFERROR(__xludf.DUMMYFUNCTION("""COMPUTED_VALUE"""),"Número de estrategia de informacion realizadas")</f>
        <v>Número de estrategia de informacion realizadas</v>
      </c>
      <c r="O34" s="53">
        <f>IFERROR(__xludf.DUMMYFUNCTION("""COMPUTED_VALUE"""),15.0)</f>
        <v>15</v>
      </c>
      <c r="P34" s="54">
        <f>IFERROR(__xludf.DUMMYFUNCTION("""COMPUTED_VALUE"""),1.0)</f>
        <v>1</v>
      </c>
      <c r="Q34" s="55" t="str">
        <f>IFERROR(__xludf.DUMMYFUNCTION("""COMPUTED_VALUE"""),"Generar estrategia de informacion en los diferentes medios de comunicación, tradicionales, alternativos y digitales, que propendan por el fortalecimiento y la sostenibilidad de los recursos pesqueros y acuicolas en el territorio nacional")</f>
        <v>Generar estrategia de informacion en los diferentes medios de comunicación, tradicionales, alternativos y digitales, que propendan por el fortalecimiento y la sostenibilidad de los recursos pesqueros y acuicolas en el territorio nacional</v>
      </c>
      <c r="R34" s="14" t="str">
        <f>IFERROR(__xludf.DUMMYFUNCTION("""COMPUTED_VALUE"""),"Anual")</f>
        <v>Anual</v>
      </c>
      <c r="S34" s="54">
        <f>IFERROR(__xludf.DUMMYFUNCTION("""COMPUTED_VALUE"""),0.0)</f>
        <v>0</v>
      </c>
      <c r="T34" s="54">
        <f>IFERROR(__xludf.DUMMYFUNCTION("""COMPUTED_VALUE"""),0.0)</f>
        <v>0</v>
      </c>
      <c r="U34" s="54">
        <f>IFERROR(__xludf.DUMMYFUNCTION("""COMPUTED_VALUE"""),0.0)</f>
        <v>0</v>
      </c>
      <c r="V34" s="54">
        <f>IFERROR(__xludf.DUMMYFUNCTION("""COMPUTED_VALUE"""),1.0)</f>
        <v>1</v>
      </c>
      <c r="W34" s="56" t="str">
        <f>IFERROR(__xludf.DUMMYFUNCTION("""COMPUTED_VALUE"""),"DTAF")</f>
        <v>DTAF</v>
      </c>
      <c r="X34" s="57" t="str">
        <f>IFERROR(__xludf.DUMMYFUNCTION("""COMPUTED_VALUE"""),"Jhon Jairo Restrepo")</f>
        <v>Jhon Jairo Restrepo</v>
      </c>
      <c r="Y34" s="47" t="str">
        <f>IFERROR(__xludf.DUMMYFUNCTION("""COMPUTED_VALUE"""),"Director Jhon Jairo Restrepo")</f>
        <v>Director Jhon Jairo Restrepo</v>
      </c>
      <c r="Z34" s="57" t="str">
        <f>IFERROR(__xludf.DUMMYFUNCTION("""COMPUTED_VALUE"""),"jhon.restrepo@aunap.gov.co")</f>
        <v>jhon.restrepo@aunap.gov.co</v>
      </c>
      <c r="AA34" s="47" t="str">
        <f>IFERROR(__xludf.DUMMYFUNCTION("""COMPUTED_VALUE"""),"Humano, físico, financiero, tecnológico")</f>
        <v>Humano, físico, financiero, tecnológico</v>
      </c>
      <c r="AB34" s="47" t="str">
        <f>IFERROR(__xludf.DUMMYFUNCTION("""COMPUTED_VALUE"""),"No asociado")</f>
        <v>No asociado</v>
      </c>
      <c r="AC34" s="47" t="str">
        <f>IFERROR(__xludf.DUMMYFUNCTION("""COMPUTED_VALUE"""),"Propiciar la formalización de la pesca y la acuicultura")</f>
        <v>Propiciar la formalización de la pesca y la acuicultura</v>
      </c>
      <c r="AD34" s="47" t="str">
        <f>IFERROR(__xludf.DUMMYFUNCTION("""COMPUTED_VALUE"""),"Gestión con valores para resultados")</f>
        <v>Gestión con valores para resultados</v>
      </c>
      <c r="AE34" s="47" t="str">
        <f>IFERROR(__xludf.DUMMYFUNCTION("""COMPUTED_VALUE"""),"Fortalecimiento Organizacional y Simplificación de Procesos")</f>
        <v>Fortalecimiento Organizacional y Simplificación de Procesos</v>
      </c>
      <c r="AF34" s="47" t="str">
        <f>IFERROR(__xludf.DUMMYFUNCTION("""COMPUTED_VALUE"""),"12. Producción y consumo responsable")</f>
        <v>12. Producción y consumo responsable</v>
      </c>
      <c r="AG34" s="58">
        <f>IFERROR(__xludf.DUMMYFUNCTION("""COMPUTED_VALUE"""),0.0)</f>
        <v>0</v>
      </c>
      <c r="AH34" s="59" t="str">
        <f>IFERROR(__xludf.DUMMYFUNCTION("""COMPUTED_VALUE"""),"no se reporta ")</f>
        <v>no se reporta </v>
      </c>
      <c r="AI34" s="59" t="str">
        <f>IFERROR(__xludf.DUMMYFUNCTION("""COMPUTED_VALUE"""),"no se reporta ")</f>
        <v>no se reporta </v>
      </c>
      <c r="AJ34" s="60">
        <f>IFERROR(__xludf.DUMMYFUNCTION("""COMPUTED_VALUE"""),44396.0)</f>
        <v>44396</v>
      </c>
      <c r="AK34" s="61" t="str">
        <f>IFERROR(IF((AL34+1)&lt;2,Alertas!$B$2&amp;TEXT(AL34,"0%")&amp;Alertas!$D$2, IF((AL34+1)=2,Alertas!$B$3,IF((AL34+1)&gt;2,Alertas!$B$4&amp;TEXT(AL34,"0%")&amp;Alertas!$D$4,AL34+1))),"Sin meta para el segundo trimestre")</f>
        <v>Sin meta para el segundo trimestre</v>
      </c>
      <c r="AL34" s="62" t="str">
        <f t="shared" si="2"/>
        <v>-</v>
      </c>
      <c r="AM34" s="61" t="str">
        <f t="shared" si="3"/>
        <v>Sin meta para el segundo trimestre.</v>
      </c>
      <c r="AN34" s="63"/>
      <c r="AO34" s="64"/>
      <c r="AP34" s="65"/>
      <c r="AQ34" s="65"/>
      <c r="AR34" s="66"/>
      <c r="AS34" s="67"/>
      <c r="AT34" s="68"/>
      <c r="AU34" s="63"/>
      <c r="AV34" s="64"/>
      <c r="AW34" s="69"/>
      <c r="AX34" s="65"/>
      <c r="AY34" s="70"/>
      <c r="AZ34" s="71"/>
      <c r="BA34" s="72"/>
      <c r="BB34" s="73"/>
      <c r="BC34" s="64"/>
      <c r="BD34" s="69"/>
      <c r="BE34" s="65"/>
      <c r="BF34" s="66"/>
      <c r="BG34" s="71"/>
      <c r="BH34" s="72"/>
      <c r="BI34" s="74"/>
      <c r="BK34" s="5" t="str">
        <f t="shared" si="23"/>
        <v>-</v>
      </c>
      <c r="BM34" s="5"/>
    </row>
    <row r="35" ht="37.5" customHeight="1">
      <c r="A35" s="45"/>
      <c r="B35" s="46">
        <f>IFERROR(__xludf.DUMMYFUNCTION("""COMPUTED_VALUE"""),33.0)</f>
        <v>33</v>
      </c>
      <c r="C35" s="47" t="str">
        <f>IFERROR(__xludf.DUMMYFUNCTION("""COMPUTED_VALUE"""),"Gestión de la administración y fomento")</f>
        <v>Gestión de la administración y fomento</v>
      </c>
      <c r="D35" s="48" t="str">
        <f>IFERROR(__xludf.DUMMYFUNCTION("""COMPUTED_VALUE"""),"Dirección Técnica de Administración y Fomento")</f>
        <v>Dirección Técnica de Administración y Fomento</v>
      </c>
      <c r="E35" s="48" t="str">
        <f>IFERROR(__xludf.DUMMYFUNCTION("""COMPUTED_VALUE"""),"Fortalecimiento de la sostenibilidad del sector pesquero y de la acuicultura en el territorio nacional")</f>
        <v>Fortalecimiento de la sostenibilidad del sector pesquero y de la acuicultura en el territorio nacional</v>
      </c>
      <c r="F35" s="49">
        <f>IFERROR(__xludf.DUMMYFUNCTION("""COMPUTED_VALUE"""),2.01901100028E12)</f>
        <v>2019011000280</v>
      </c>
      <c r="G35" s="50" t="str">
        <f>IFERROR(__xludf.DUMMYFUNCTION("""COMPUTED_VALUE"""),"Sostenibilidad")</f>
        <v>Sostenibilidad</v>
      </c>
      <c r="H35" s="48" t="str">
        <f>IFERROR(__xludf.DUMMYFUNCTION("""COMPUTED_VALUE"""),"Mejorar la explotación de los recursos pesqueros y de la acuicultura.")</f>
        <v>Mejorar la explotación de los recursos pesqueros y de la acuicultura.</v>
      </c>
      <c r="I35" s="48" t="str">
        <f>IFERROR(__xludf.DUMMYFUNCTION("""COMPUTED_VALUE"""),"Servicios de administración de los recurso pesqueros y de la acuicultura")</f>
        <v>Servicios de administración de los recurso pesqueros y de la acuicultura</v>
      </c>
      <c r="J35" s="48" t="str">
        <f>IFERROR(__xludf.DUMMYFUNCTION("""COMPUTED_VALUE"""),"Regular el manejo y el ejercicio de la actividad pesquera y de la acuicultura.")</f>
        <v>Regular el manejo y el ejercicio de la actividad pesquera y de la acuicultura.</v>
      </c>
      <c r="K35" s="51" t="str">
        <f>IFERROR(__xludf.DUMMYFUNCTION("""COMPUTED_VALUE"""),"Gestión")</f>
        <v>Gestión</v>
      </c>
      <c r="L35" s="51" t="str">
        <f>IFERROR(__xludf.DUMMYFUNCTION("""COMPUTED_VALUE"""),"Efectividad")</f>
        <v>Efectividad</v>
      </c>
      <c r="M35" s="51" t="str">
        <f>IFERROR(__xludf.DUMMYFUNCTION("""COMPUTED_VALUE"""),"Número")</f>
        <v>Número</v>
      </c>
      <c r="N35" s="52" t="str">
        <f>IFERROR(__xludf.DUMMYFUNCTION("""COMPUTED_VALUE"""),"Número de Documentos técnico realizados/Número de documentos técnicos programados")</f>
        <v>Número de Documentos técnico realizados/Número de documentos técnicos programados</v>
      </c>
      <c r="O35" s="53">
        <f>IFERROR(__xludf.DUMMYFUNCTION("""COMPUTED_VALUE"""),15.0)</f>
        <v>15</v>
      </c>
      <c r="P35" s="54">
        <f>IFERROR(__xludf.DUMMYFUNCTION("""COMPUTED_VALUE"""),1.0)</f>
        <v>1</v>
      </c>
      <c r="Q35" s="55" t="str">
        <f>IFERROR(__xludf.DUMMYFUNCTION("""COMPUTED_VALUE"""),"Caracterizar a pescadores artesanales")</f>
        <v>Caracterizar a pescadores artesanales</v>
      </c>
      <c r="R35" s="14" t="str">
        <f>IFERROR(__xludf.DUMMYFUNCTION("""COMPUTED_VALUE"""),"Anual")</f>
        <v>Anual</v>
      </c>
      <c r="S35" s="54">
        <f>IFERROR(__xludf.DUMMYFUNCTION("""COMPUTED_VALUE"""),0.0)</f>
        <v>0</v>
      </c>
      <c r="T35" s="54">
        <f>IFERROR(__xludf.DUMMYFUNCTION("""COMPUTED_VALUE"""),0.0)</f>
        <v>0</v>
      </c>
      <c r="U35" s="54">
        <f>IFERROR(__xludf.DUMMYFUNCTION("""COMPUTED_VALUE"""),0.0)</f>
        <v>0</v>
      </c>
      <c r="V35" s="54">
        <f>IFERROR(__xludf.DUMMYFUNCTION("""COMPUTED_VALUE"""),1.0)</f>
        <v>1</v>
      </c>
      <c r="W35" s="56" t="str">
        <f>IFERROR(__xludf.DUMMYFUNCTION("""COMPUTED_VALUE"""),"DTAF")</f>
        <v>DTAF</v>
      </c>
      <c r="X35" s="57" t="str">
        <f>IFERROR(__xludf.DUMMYFUNCTION("""COMPUTED_VALUE"""),"Jhon Jairo Restrepo")</f>
        <v>Jhon Jairo Restrepo</v>
      </c>
      <c r="Y35" s="47" t="str">
        <f>IFERROR(__xludf.DUMMYFUNCTION("""COMPUTED_VALUE"""),"Director Jhon Jairo Restrepo")</f>
        <v>Director Jhon Jairo Restrepo</v>
      </c>
      <c r="Z35" s="57" t="str">
        <f>IFERROR(__xludf.DUMMYFUNCTION("""COMPUTED_VALUE"""),"jhon.restrepo@aunap.gov.co")</f>
        <v>jhon.restrepo@aunap.gov.co</v>
      </c>
      <c r="AA35" s="47" t="str">
        <f>IFERROR(__xludf.DUMMYFUNCTION("""COMPUTED_VALUE"""),"Humano, físico, financiero, tecnológico")</f>
        <v>Humano, físico, financiero, tecnológico</v>
      </c>
      <c r="AB35" s="47" t="str">
        <f>IFERROR(__xludf.DUMMYFUNCTION("""COMPUTED_VALUE"""),"No asociado")</f>
        <v>No asociado</v>
      </c>
      <c r="AC35" s="47" t="str">
        <f>IFERROR(__xludf.DUMMYFUNCTION("""COMPUTED_VALUE"""),"Propiciar la formalización de la pesca y la acuicultura")</f>
        <v>Propiciar la formalización de la pesca y la acuicultura</v>
      </c>
      <c r="AD35" s="47" t="str">
        <f>IFERROR(__xludf.DUMMYFUNCTION("""COMPUTED_VALUE"""),"Gestión con valores para resultados")</f>
        <v>Gestión con valores para resultados</v>
      </c>
      <c r="AE35" s="47" t="str">
        <f>IFERROR(__xludf.DUMMYFUNCTION("""COMPUTED_VALUE"""),"Fortalecimiento Organizacional y Simplificación de Procesos")</f>
        <v>Fortalecimiento Organizacional y Simplificación de Procesos</v>
      </c>
      <c r="AF35" s="47" t="str">
        <f>IFERROR(__xludf.DUMMYFUNCTION("""COMPUTED_VALUE"""),"12. Producción y consumo responsable")</f>
        <v>12. Producción y consumo responsable</v>
      </c>
      <c r="AG35" s="58">
        <f>IFERROR(__xludf.DUMMYFUNCTION("""COMPUTED_VALUE"""),0.0)</f>
        <v>0</v>
      </c>
      <c r="AH35" s="59" t="str">
        <f>IFERROR(__xludf.DUMMYFUNCTION("""COMPUTED_VALUE"""),"no se reporta ")</f>
        <v>no se reporta </v>
      </c>
      <c r="AI35" s="59" t="str">
        <f>IFERROR(__xludf.DUMMYFUNCTION("""COMPUTED_VALUE"""),"no se reporta ")</f>
        <v>no se reporta </v>
      </c>
      <c r="AJ35" s="60">
        <f>IFERROR(__xludf.DUMMYFUNCTION("""COMPUTED_VALUE"""),44396.0)</f>
        <v>44396</v>
      </c>
      <c r="AK35" s="61" t="str">
        <f>IFERROR(IF((AL35+1)&lt;2,Alertas!$B$2&amp;TEXT(AL35,"0%")&amp;Alertas!$D$2, IF((AL35+1)=2,Alertas!$B$3,IF((AL35+1)&gt;2,Alertas!$B$4&amp;TEXT(AL35,"0%")&amp;Alertas!$D$4,AL35+1))),"Sin meta para el segundo trimestre")</f>
        <v>Sin meta para el segundo trimestre</v>
      </c>
      <c r="AL35" s="62" t="str">
        <f t="shared" si="2"/>
        <v>-</v>
      </c>
      <c r="AM35" s="61" t="str">
        <f t="shared" si="3"/>
        <v>Sin meta para el segundo trimestre.</v>
      </c>
      <c r="AN35" s="63"/>
      <c r="AO35" s="64"/>
      <c r="AP35" s="65"/>
      <c r="AQ35" s="65"/>
      <c r="AR35" s="66"/>
      <c r="AS35" s="67"/>
      <c r="AT35" s="68"/>
      <c r="AU35" s="63"/>
      <c r="AV35" s="64"/>
      <c r="AW35" s="69"/>
      <c r="AX35" s="65"/>
      <c r="AY35" s="70"/>
      <c r="AZ35" s="71"/>
      <c r="BA35" s="72"/>
      <c r="BB35" s="73"/>
      <c r="BC35" s="64"/>
      <c r="BD35" s="69"/>
      <c r="BE35" s="65"/>
      <c r="BF35" s="66"/>
      <c r="BG35" s="71"/>
      <c r="BH35" s="72"/>
      <c r="BI35" s="74"/>
      <c r="BK35" s="5" t="str">
        <f t="shared" si="23"/>
        <v>-</v>
      </c>
      <c r="BM35" s="5"/>
    </row>
    <row r="36" ht="37.5" customHeight="1">
      <c r="A36" s="45"/>
      <c r="B36" s="46">
        <f>IFERROR(__xludf.DUMMYFUNCTION("""COMPUTED_VALUE"""),34.0)</f>
        <v>34</v>
      </c>
      <c r="C36" s="47" t="str">
        <f>IFERROR(__xludf.DUMMYFUNCTION("""COMPUTED_VALUE"""),"Gestión de la administración y fomento")</f>
        <v>Gestión de la administración y fomento</v>
      </c>
      <c r="D36" s="48" t="str">
        <f>IFERROR(__xludf.DUMMYFUNCTION("""COMPUTED_VALUE"""),"Dirección Técnica de Administración y Fomento")</f>
        <v>Dirección Técnica de Administración y Fomento</v>
      </c>
      <c r="E36" s="48" t="str">
        <f>IFERROR(__xludf.DUMMYFUNCTION("""COMPUTED_VALUE"""),"Fortalecimiento de la sostenibilidad del sector pesquero y de la acuicultura en el territorio nacional")</f>
        <v>Fortalecimiento de la sostenibilidad del sector pesquero y de la acuicultura en el territorio nacional</v>
      </c>
      <c r="F36" s="49">
        <f>IFERROR(__xludf.DUMMYFUNCTION("""COMPUTED_VALUE"""),2.01901100028E12)</f>
        <v>2019011000280</v>
      </c>
      <c r="G36" s="50" t="str">
        <f>IFERROR(__xludf.DUMMYFUNCTION("""COMPUTED_VALUE"""),"Sostenibilidad")</f>
        <v>Sostenibilidad</v>
      </c>
      <c r="H36" s="48" t="str">
        <f>IFERROR(__xludf.DUMMYFUNCTION("""COMPUTED_VALUE"""),"Mejorar la explotación de los recursos pesqueros y de la acuicultura.")</f>
        <v>Mejorar la explotación de los recursos pesqueros y de la acuicultura.</v>
      </c>
      <c r="I36" s="48" t="str">
        <f>IFERROR(__xludf.DUMMYFUNCTION("""COMPUTED_VALUE"""),"Servicios de administración de los recurso pesqueros y de la acuicultura")</f>
        <v>Servicios de administración de los recurso pesqueros y de la acuicultura</v>
      </c>
      <c r="J36" s="48" t="str">
        <f>IFERROR(__xludf.DUMMYFUNCTION("""COMPUTED_VALUE"""),"Regular el manejo y el ejercicio de la actividad pesquera y de la acuicultura.")</f>
        <v>Regular el manejo y el ejercicio de la actividad pesquera y de la acuicultura.</v>
      </c>
      <c r="K36" s="51" t="str">
        <f>IFERROR(__xludf.DUMMYFUNCTION("""COMPUTED_VALUE"""),"Producto")</f>
        <v>Producto</v>
      </c>
      <c r="L36" s="51" t="str">
        <f>IFERROR(__xludf.DUMMYFUNCTION("""COMPUTED_VALUE"""),"Eficacia")</f>
        <v>Eficacia</v>
      </c>
      <c r="M36" s="51" t="str">
        <f>IFERROR(__xludf.DUMMYFUNCTION("""COMPUTED_VALUE"""),"Número")</f>
        <v>Número</v>
      </c>
      <c r="N36" s="52" t="str">
        <f>IFERROR(__xludf.DUMMYFUNCTION("""COMPUTED_VALUE"""),"Actos Administrativos de caracter general publicados y comunicados")</f>
        <v>Actos Administrativos de caracter general publicados y comunicados</v>
      </c>
      <c r="O36" s="53">
        <f>IFERROR(__xludf.DUMMYFUNCTION("""COMPUTED_VALUE"""),-7140.0)</f>
        <v>-7140</v>
      </c>
      <c r="P36" s="54">
        <f>IFERROR(__xludf.DUMMYFUNCTION("""COMPUTED_VALUE"""),12.0)</f>
        <v>12</v>
      </c>
      <c r="Q36" s="55" t="str">
        <f>IFERROR(__xludf.DUMMYFUNCTION("""COMPUTED_VALUE"""),"Expedir actos administrativos de caracter general publicados y comunicados")</f>
        <v>Expedir actos administrativos de caracter general publicados y comunicados</v>
      </c>
      <c r="R36" s="14" t="str">
        <f>IFERROR(__xludf.DUMMYFUNCTION("""COMPUTED_VALUE"""),"Semestral")</f>
        <v>Semestral</v>
      </c>
      <c r="S36" s="54">
        <f>IFERROR(__xludf.DUMMYFUNCTION("""COMPUTED_VALUE"""),0.0)</f>
        <v>0</v>
      </c>
      <c r="T36" s="54">
        <f>IFERROR(__xludf.DUMMYFUNCTION("""COMPUTED_VALUE"""),7.0)</f>
        <v>7</v>
      </c>
      <c r="U36" s="54">
        <f>IFERROR(__xludf.DUMMYFUNCTION("""COMPUTED_VALUE"""),0.0)</f>
        <v>0</v>
      </c>
      <c r="V36" s="54">
        <f>IFERROR(__xludf.DUMMYFUNCTION("""COMPUTED_VALUE"""),5.0)</f>
        <v>5</v>
      </c>
      <c r="W36" s="56" t="str">
        <f>IFERROR(__xludf.DUMMYFUNCTION("""COMPUTED_VALUE"""),"DTAF")</f>
        <v>DTAF</v>
      </c>
      <c r="X36" s="57" t="str">
        <f>IFERROR(__xludf.DUMMYFUNCTION("""COMPUTED_VALUE"""),"Jhon Jairo Restrepo")</f>
        <v>Jhon Jairo Restrepo</v>
      </c>
      <c r="Y36" s="47" t="str">
        <f>IFERROR(__xludf.DUMMYFUNCTION("""COMPUTED_VALUE"""),"Director Jhon Jairo Restrepo")</f>
        <v>Director Jhon Jairo Restrepo</v>
      </c>
      <c r="Z36" s="57" t="str">
        <f>IFERROR(__xludf.DUMMYFUNCTION("""COMPUTED_VALUE"""),"jhon.restrepo@aunap.gov.co")</f>
        <v>jhon.restrepo@aunap.gov.co</v>
      </c>
      <c r="AA36" s="47" t="str">
        <f>IFERROR(__xludf.DUMMYFUNCTION("""COMPUTED_VALUE"""),"Humano, físico, financiero, tecnológico")</f>
        <v>Humano, físico, financiero, tecnológico</v>
      </c>
      <c r="AB36" s="47" t="str">
        <f>IFERROR(__xludf.DUMMYFUNCTION("""COMPUTED_VALUE"""),"No asociado")</f>
        <v>No asociado</v>
      </c>
      <c r="AC36" s="47" t="str">
        <f>IFERROR(__xludf.DUMMYFUNCTION("""COMPUTED_VALUE"""),"Propiciar la formalización de la pesca y la acuicultura")</f>
        <v>Propiciar la formalización de la pesca y la acuicultura</v>
      </c>
      <c r="AD36" s="47" t="str">
        <f>IFERROR(__xludf.DUMMYFUNCTION("""COMPUTED_VALUE"""),"Gestión con valores para resultados")</f>
        <v>Gestión con valores para resultados</v>
      </c>
      <c r="AE36" s="47" t="str">
        <f>IFERROR(__xludf.DUMMYFUNCTION("""COMPUTED_VALUE"""),"Fortalecimiento Organizacional y Simplificación de Procesos")</f>
        <v>Fortalecimiento Organizacional y Simplificación de Procesos</v>
      </c>
      <c r="AF36" s="47" t="str">
        <f>IFERROR(__xludf.DUMMYFUNCTION("""COMPUTED_VALUE"""),"12. Producción y consumo responsable")</f>
        <v>12. Producción y consumo responsable</v>
      </c>
      <c r="AG36" s="58">
        <f>IFERROR(__xludf.DUMMYFUNCTION("""COMPUTED_VALUE"""),7.0)</f>
        <v>7</v>
      </c>
      <c r="AH36" s="59" t="str">
        <f>IFERROR(__xludf.DUMMYFUNCTION("""COMPUTED_VALUE"""),"Se expedieron 7  actos administrativos de caracter general publicados y comunicados")</f>
        <v>Se expedieron 7  actos administrativos de caracter general publicados y comunicados</v>
      </c>
      <c r="AI36" s="81" t="str">
        <f>IFERROR(__xludf.DUMMYFUNCTION("""COMPUTED_VALUE"""),"https://drive.google.com/drive/folders/1985i26SHHJMr8xeDwJVcaNMTDD263Bki")</f>
        <v>https://drive.google.com/drive/folders/1985i26SHHJMr8xeDwJVcaNMTDD263Bki</v>
      </c>
      <c r="AJ36" s="60">
        <f>IFERROR(__xludf.DUMMYFUNCTION("""COMPUTED_VALUE"""),44396.0)</f>
        <v>44396</v>
      </c>
      <c r="AK36" s="61" t="str">
        <f>IFERROR(IF((AL36+1)&lt;2,Alertas!$B$2&amp;TEXT(AL36,"0%")&amp;Alertas!$D$2, IF((AL36+1)=2,Alertas!$B$3,IF((AL36+1)&gt;2,Alertas!$B$4&amp;TEXT(AL36,"0%")&amp;Alertas!$D$4,AL36+1))),"Sin meta para el segundo trimestre")</f>
        <v>La ejecución de la meta registrada se encuentra acorde a la meta programada en la formulación del plan de acción para el segundo trimestre</v>
      </c>
      <c r="AL36" s="62">
        <f t="shared" si="2"/>
        <v>1</v>
      </c>
      <c r="AM36" s="61" t="str">
        <f t="shared" si="3"/>
        <v>La ejecución de la meta registrada se encuentra acorde a la meta programada en la formulación del plan de acción para el segundo trimestre.</v>
      </c>
      <c r="AN36" s="63"/>
      <c r="AO36" s="64"/>
      <c r="AP36" s="65"/>
      <c r="AQ36" s="65"/>
      <c r="AR36" s="66"/>
      <c r="AS36" s="67"/>
      <c r="AT36" s="68"/>
      <c r="AU36" s="63"/>
      <c r="AV36" s="64"/>
      <c r="AW36" s="69"/>
      <c r="AX36" s="65"/>
      <c r="AY36" s="70"/>
      <c r="AZ36" s="71"/>
      <c r="BA36" s="72"/>
      <c r="BB36" s="73"/>
      <c r="BC36" s="64"/>
      <c r="BD36" s="69"/>
      <c r="BE36" s="65"/>
      <c r="BF36" s="66"/>
      <c r="BG36" s="71"/>
      <c r="BH36" s="72"/>
      <c r="BI36" s="74"/>
      <c r="BK36" s="5" t="str">
        <f t="shared" si="23"/>
        <v>0</v>
      </c>
      <c r="BM36" s="5"/>
    </row>
    <row r="37" ht="37.5" customHeight="1">
      <c r="A37" s="45"/>
      <c r="B37" s="46">
        <f>IFERROR(__xludf.DUMMYFUNCTION("""COMPUTED_VALUE"""),35.0)</f>
        <v>35</v>
      </c>
      <c r="C37" s="47" t="str">
        <f>IFERROR(__xludf.DUMMYFUNCTION("""COMPUTED_VALUE"""),"Gestión de la administración y fomento")</f>
        <v>Gestión de la administración y fomento</v>
      </c>
      <c r="D37" s="48" t="str">
        <f>IFERROR(__xludf.DUMMYFUNCTION("""COMPUTED_VALUE"""),"Dirección Técnica de Administración y Fomento")</f>
        <v>Dirección Técnica de Administración y Fomento</v>
      </c>
      <c r="E37" s="48" t="str">
        <f>IFERROR(__xludf.DUMMYFUNCTION("""COMPUTED_VALUE"""),"Fortalecimiento de la sostenibilidad del sector pesquero y de la acuicultura en el territorio nacional")</f>
        <v>Fortalecimiento de la sostenibilidad del sector pesquero y de la acuicultura en el territorio nacional</v>
      </c>
      <c r="F37" s="49">
        <f>IFERROR(__xludf.DUMMYFUNCTION("""COMPUTED_VALUE"""),2.01901100028E12)</f>
        <v>2019011000280</v>
      </c>
      <c r="G37" s="50" t="str">
        <f>IFERROR(__xludf.DUMMYFUNCTION("""COMPUTED_VALUE"""),"Sostenibilidad")</f>
        <v>Sostenibilidad</v>
      </c>
      <c r="H37" s="48" t="str">
        <f>IFERROR(__xludf.DUMMYFUNCTION("""COMPUTED_VALUE"""),"Mejorar la explotación de los recursos pesqueros y de la acuicultura.")</f>
        <v>Mejorar la explotación de los recursos pesqueros y de la acuicultura.</v>
      </c>
      <c r="I37" s="48" t="str">
        <f>IFERROR(__xludf.DUMMYFUNCTION("""COMPUTED_VALUE"""),"Servicios de administración de los recurso pesqueros y de la acuicultura")</f>
        <v>Servicios de administración de los recurso pesqueros y de la acuicultura</v>
      </c>
      <c r="J37" s="48" t="str">
        <f>IFERROR(__xludf.DUMMYFUNCTION("""COMPUTED_VALUE"""),"Regular el manejo y el ejercicio de la actividad pesquera y de la acuicultura.")</f>
        <v>Regular el manejo y el ejercicio de la actividad pesquera y de la acuicultura.</v>
      </c>
      <c r="K37" s="51" t="str">
        <f>IFERROR(__xludf.DUMMYFUNCTION("""COMPUTED_VALUE"""),"Gestión")</f>
        <v>Gestión</v>
      </c>
      <c r="L37" s="51" t="str">
        <f>IFERROR(__xludf.DUMMYFUNCTION("""COMPUTED_VALUE"""),"Efectividad")</f>
        <v>Efectividad</v>
      </c>
      <c r="M37" s="51" t="str">
        <f>IFERROR(__xludf.DUMMYFUNCTION("""COMPUTED_VALUE"""),"Número")</f>
        <v>Número</v>
      </c>
      <c r="N37" s="52" t="str">
        <f>IFERROR(__xludf.DUMMYFUNCTION("""COMPUTED_VALUE"""),"Número de carnés de pescadores artesanales expedidos /Número de carnés de pescadores artesanales programados")</f>
        <v>Número de carnés de pescadores artesanales expedidos /Número de carnés de pescadores artesanales programados</v>
      </c>
      <c r="O37" s="53">
        <f>IFERROR(__xludf.DUMMYFUNCTION("""COMPUTED_VALUE"""),15.0)</f>
        <v>15</v>
      </c>
      <c r="P37" s="54">
        <f>IFERROR(__xludf.DUMMYFUNCTION("""COMPUTED_VALUE"""),11500.0)</f>
        <v>11500</v>
      </c>
      <c r="Q37" s="55" t="str">
        <f>IFERROR(__xludf.DUMMYFUNCTION("""COMPUTED_VALUE"""),"Formalizar pescadores artesanales.")</f>
        <v>Formalizar pescadores artesanales.</v>
      </c>
      <c r="R37" s="14" t="str">
        <f>IFERROR(__xludf.DUMMYFUNCTION("""COMPUTED_VALUE"""),"Anual")</f>
        <v>Anual</v>
      </c>
      <c r="S37" s="54">
        <f>IFERROR(__xludf.DUMMYFUNCTION("""COMPUTED_VALUE"""),0.0)</f>
        <v>0</v>
      </c>
      <c r="T37" s="54">
        <f>IFERROR(__xludf.DUMMYFUNCTION("""COMPUTED_VALUE"""),0.0)</f>
        <v>0</v>
      </c>
      <c r="U37" s="54">
        <f>IFERROR(__xludf.DUMMYFUNCTION("""COMPUTED_VALUE"""),0.0)</f>
        <v>0</v>
      </c>
      <c r="V37" s="54">
        <f>IFERROR(__xludf.DUMMYFUNCTION("""COMPUTED_VALUE"""),11500.0)</f>
        <v>11500</v>
      </c>
      <c r="W37" s="56" t="str">
        <f>IFERROR(__xludf.DUMMYFUNCTION("""COMPUTED_VALUE"""),"DTAF")</f>
        <v>DTAF</v>
      </c>
      <c r="X37" s="57" t="str">
        <f>IFERROR(__xludf.DUMMYFUNCTION("""COMPUTED_VALUE"""),"Jhon Jairo Restrepo")</f>
        <v>Jhon Jairo Restrepo</v>
      </c>
      <c r="Y37" s="47" t="str">
        <f>IFERROR(__xludf.DUMMYFUNCTION("""COMPUTED_VALUE"""),"Director Jhon Jairo Restrepo")</f>
        <v>Director Jhon Jairo Restrepo</v>
      </c>
      <c r="Z37" s="57" t="str">
        <f>IFERROR(__xludf.DUMMYFUNCTION("""COMPUTED_VALUE"""),"jhon.restrepo@aunap.gov.co")</f>
        <v>jhon.restrepo@aunap.gov.co</v>
      </c>
      <c r="AA37" s="47" t="str">
        <f>IFERROR(__xludf.DUMMYFUNCTION("""COMPUTED_VALUE"""),"Humano, físico, financiero, tecnológico")</f>
        <v>Humano, físico, financiero, tecnológico</v>
      </c>
      <c r="AB37" s="47" t="str">
        <f>IFERROR(__xludf.DUMMYFUNCTION("""COMPUTED_VALUE"""),"No asociado")</f>
        <v>No asociado</v>
      </c>
      <c r="AC37" s="47" t="str">
        <f>IFERROR(__xludf.DUMMYFUNCTION("""COMPUTED_VALUE"""),"Propiciar la formalización de la pesca y la acuicultura")</f>
        <v>Propiciar la formalización de la pesca y la acuicultura</v>
      </c>
      <c r="AD37" s="47" t="str">
        <f>IFERROR(__xludf.DUMMYFUNCTION("""COMPUTED_VALUE"""),"Gestión con valores para resultados")</f>
        <v>Gestión con valores para resultados</v>
      </c>
      <c r="AE37" s="47" t="str">
        <f>IFERROR(__xludf.DUMMYFUNCTION("""COMPUTED_VALUE"""),"Fortalecimiento Organizacional y Simplificación de Procesos")</f>
        <v>Fortalecimiento Organizacional y Simplificación de Procesos</v>
      </c>
      <c r="AF37" s="47" t="str">
        <f>IFERROR(__xludf.DUMMYFUNCTION("""COMPUTED_VALUE"""),"12. Producción y consumo responsable")</f>
        <v>12. Producción y consumo responsable</v>
      </c>
      <c r="AG37" s="58">
        <f>IFERROR(__xludf.DUMMYFUNCTION("""COMPUTED_VALUE"""),0.0)</f>
        <v>0</v>
      </c>
      <c r="AH37" s="59" t="str">
        <f>IFERROR(__xludf.DUMMYFUNCTION("""COMPUTED_VALUE"""),"no se reporta ")</f>
        <v>no se reporta </v>
      </c>
      <c r="AI37" s="59" t="str">
        <f>IFERROR(__xludf.DUMMYFUNCTION("""COMPUTED_VALUE"""),"no se reporta ")</f>
        <v>no se reporta </v>
      </c>
      <c r="AJ37" s="60">
        <f>IFERROR(__xludf.DUMMYFUNCTION("""COMPUTED_VALUE"""),44396.0)</f>
        <v>44396</v>
      </c>
      <c r="AK37" s="61" t="str">
        <f>IFERROR(IF((AL37+1)&lt;2,Alertas!$B$2&amp;TEXT(AL37,"0%")&amp;Alertas!$D$2, IF((AL37+1)=2,Alertas!$B$3,IF((AL37+1)&gt;2,Alertas!$B$4&amp;TEXT(AL37,"0%")&amp;Alertas!$D$4,AL37+1))),"Sin meta para el segundo trimestre")</f>
        <v>Sin meta para el segundo trimestre</v>
      </c>
      <c r="AL37" s="62" t="str">
        <f t="shared" si="2"/>
        <v>-</v>
      </c>
      <c r="AM37" s="61" t="str">
        <f t="shared" si="3"/>
        <v>Sin meta para el segundo trimestre.</v>
      </c>
      <c r="AN37" s="63"/>
      <c r="AO37" s="64"/>
      <c r="AP37" s="65"/>
      <c r="AQ37" s="65"/>
      <c r="AR37" s="66"/>
      <c r="AS37" s="67"/>
      <c r="AT37" s="68"/>
      <c r="AU37" s="63"/>
      <c r="AV37" s="64"/>
      <c r="AW37" s="69"/>
      <c r="AX37" s="65"/>
      <c r="AY37" s="70"/>
      <c r="AZ37" s="71"/>
      <c r="BA37" s="72"/>
      <c r="BB37" s="73"/>
      <c r="BC37" s="64"/>
      <c r="BD37" s="69"/>
      <c r="BE37" s="65"/>
      <c r="BF37" s="66"/>
      <c r="BG37" s="71"/>
      <c r="BH37" s="72"/>
      <c r="BI37" s="74"/>
      <c r="BK37" s="5" t="str">
        <f t="shared" si="23"/>
        <v>-</v>
      </c>
      <c r="BM37" s="5"/>
    </row>
    <row r="38" ht="37.5" customHeight="1">
      <c r="A38" s="45"/>
      <c r="B38" s="46">
        <f>IFERROR(__xludf.DUMMYFUNCTION("""COMPUTED_VALUE"""),36.0)</f>
        <v>36</v>
      </c>
      <c r="C38" s="47" t="str">
        <f>IFERROR(__xludf.DUMMYFUNCTION("""COMPUTED_VALUE"""),"Gestión de control interno disciplinario")</f>
        <v>Gestión de control interno disciplinario</v>
      </c>
      <c r="D38" s="48" t="str">
        <f>IFERROR(__xludf.DUMMYFUNCTION("""COMPUTED_VALUE"""),"Control Interno Disciplinario")</f>
        <v>Control Interno Disciplinario</v>
      </c>
      <c r="E38" s="48" t="str">
        <f>IFERROR(__xludf.DUMMYFUNCTION("""COMPUTED_VALUE"""),"Fortalecimiento de la capacidad de gestión de la autoridad nacional de acuicultura y pesca - aunap nacional")</f>
        <v>Fortalecimiento de la capacidad de gestión de la autoridad nacional de acuicultura y pesca - aunap nacional</v>
      </c>
      <c r="F38" s="49">
        <f>IFERROR(__xludf.DUMMYFUNCTION("""COMPUTED_VALUE"""),2.018011000241E12)</f>
        <v>2018011000241</v>
      </c>
      <c r="G38" s="50" t="str">
        <f>IFERROR(__xludf.DUMMYFUNCTION("""COMPUTED_VALUE"""),"Fortalecimiento")</f>
        <v>Fortalecimiento</v>
      </c>
      <c r="H38" s="48" t="str">
        <f>IFERROR(__xludf.DUMMYFUNCTION("""COMPUTED_VALUE"""),"Fortalecer los sistemas de gestión de la Entidad")</f>
        <v>Fortalecer los sistemas de gestión de la Entidad</v>
      </c>
      <c r="I38" s="48" t="str">
        <f>IFERROR(__xludf.DUMMYFUNCTION("""COMPUTED_VALUE"""),"Servicio de Implementación Sistemas de Gestión")</f>
        <v>Servicio de Implementación Sistemas de Gestión</v>
      </c>
      <c r="J3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38" s="51" t="str">
        <f>IFERROR(__xludf.DUMMYFUNCTION("""COMPUTED_VALUE"""),"Gestión del área")</f>
        <v>Gestión del área</v>
      </c>
      <c r="L38" s="51" t="str">
        <f>IFERROR(__xludf.DUMMYFUNCTION("""COMPUTED_VALUE"""),"Eficacia")</f>
        <v>Eficacia</v>
      </c>
      <c r="M38" s="51" t="str">
        <f>IFERROR(__xludf.DUMMYFUNCTION("""COMPUTED_VALUE"""),"Número")</f>
        <v>Número</v>
      </c>
      <c r="N38" s="52" t="str">
        <f>IFERROR(__xludf.DUMMYFUNCTION("""COMPUTED_VALUE"""),"Número de informe sobre el estado de los procesos disciplinarios vigencia 2020 realizados/Número de informe sobre el estado de los procesos disciplinarios vigencia 2020 programados")</f>
        <v>Número de informe sobre el estado de los procesos disciplinarios vigencia 2020 realizados/Número de informe sobre el estado de los procesos disciplinarios vigencia 2020 programados</v>
      </c>
      <c r="O38" s="53"/>
      <c r="P38" s="54">
        <f>IFERROR(__xludf.DUMMYFUNCTION("""COMPUTED_VALUE"""),1.0)</f>
        <v>1</v>
      </c>
      <c r="Q38" s="55" t="str">
        <f>IFERROR(__xludf.DUMMYFUNCTION("""COMPUTED_VALUE"""),"Elaboracion de un informe sobre el estado de los procesos disciplinarios vigencia 2020")</f>
        <v>Elaboracion de un informe sobre el estado de los procesos disciplinarios vigencia 2020</v>
      </c>
      <c r="R38" s="14" t="str">
        <f>IFERROR(__xludf.DUMMYFUNCTION("""COMPUTED_VALUE"""),"Anual")</f>
        <v>Anual</v>
      </c>
      <c r="S38" s="54">
        <f>IFERROR(__xludf.DUMMYFUNCTION("""COMPUTED_VALUE"""),0.0)</f>
        <v>0</v>
      </c>
      <c r="T38" s="54">
        <f>IFERROR(__xludf.DUMMYFUNCTION("""COMPUTED_VALUE"""),0.0)</f>
        <v>0</v>
      </c>
      <c r="U38" s="54">
        <f>IFERROR(__xludf.DUMMYFUNCTION("""COMPUTED_VALUE"""),0.0)</f>
        <v>0</v>
      </c>
      <c r="V38" s="54">
        <f>IFERROR(__xludf.DUMMYFUNCTION("""COMPUTED_VALUE"""),1.0)</f>
        <v>1</v>
      </c>
      <c r="W38" s="56" t="str">
        <f>IFERROR(__xludf.DUMMYFUNCTION("""COMPUTED_VALUE"""),"Secretaria General")</f>
        <v>Secretaria General</v>
      </c>
      <c r="X38" s="57" t="str">
        <f>IFERROR(__xludf.DUMMYFUNCTION("""COMPUTED_VALUE"""),"Daniel Ariza Heredia")</f>
        <v>Daniel Ariza Heredia</v>
      </c>
      <c r="Y38" s="47" t="str">
        <f>IFERROR(__xludf.DUMMYFUNCTION("""COMPUTED_VALUE"""),"Secretario General")</f>
        <v>Secretario General</v>
      </c>
      <c r="Z38" s="57" t="str">
        <f>IFERROR(__xludf.DUMMYFUNCTION("""COMPUTED_VALUE"""),"daniel.ariza@aunap.gov.co")</f>
        <v>daniel.ariza@aunap.gov.co</v>
      </c>
      <c r="AA38" s="47" t="str">
        <f>IFERROR(__xludf.DUMMYFUNCTION("""COMPUTED_VALUE"""),"Humanos, Físicos, Financieros, Tecnológicos")</f>
        <v>Humanos, Físicos, Financieros, Tecnológicos</v>
      </c>
      <c r="AB38" s="47" t="str">
        <f>IFERROR(__xludf.DUMMYFUNCTION("""COMPUTED_VALUE"""),"No asociado")</f>
        <v>No asociado</v>
      </c>
      <c r="AC38" s="47" t="str">
        <f>IFERROR(__xludf.DUMMYFUNCTION("""COMPUTED_VALUE"""),"Llegar con actividades de pesca y acuicultura a todas las regiones")</f>
        <v>Llegar con actividades de pesca y acuicultura a todas las regiones</v>
      </c>
      <c r="AD38" s="47" t="str">
        <f>IFERROR(__xludf.DUMMYFUNCTION("""COMPUTED_VALUE"""),"Talento Humano")</f>
        <v>Talento Humano</v>
      </c>
      <c r="AE38" s="47" t="str">
        <f>IFERROR(__xludf.DUMMYFUNCTION("""COMPUTED_VALUE"""),"Talento Humano")</f>
        <v>Talento Humano</v>
      </c>
      <c r="AF38" s="47" t="str">
        <f>IFERROR(__xludf.DUMMYFUNCTION("""COMPUTED_VALUE"""),"16. Paz, justicia e instituciones sólidas")</f>
        <v>16. Paz, justicia e instituciones sólidas</v>
      </c>
      <c r="AG38" s="58">
        <f>IFERROR(__xludf.DUMMYFUNCTION("""COMPUTED_VALUE"""),0.0)</f>
        <v>0</v>
      </c>
      <c r="AH38" s="59" t="str">
        <f>IFERROR(__xludf.DUMMYFUNCTION("""COMPUTED_VALUE"""),"No es exigible aún el informe")</f>
        <v>No es exigible aún el informe</v>
      </c>
      <c r="AI38" s="59"/>
      <c r="AJ38" s="60">
        <f>IFERROR(__xludf.DUMMYFUNCTION("""COMPUTED_VALUE"""),44396.0)</f>
        <v>44396</v>
      </c>
      <c r="AK38" s="61" t="str">
        <f>IFERROR(IF((AL38+1)&lt;2,Alertas!$B$2&amp;TEXT(AL38,"0%")&amp;Alertas!$D$2, IF((AL38+1)=2,Alertas!$B$3,IF((AL38+1)&gt;2,Alertas!$B$4&amp;TEXT(AL38,"0%")&amp;Alertas!$D$4,AL38+1))),"Sin meta para el segundo trimestre")</f>
        <v>Sin meta para el segundo trimestre</v>
      </c>
      <c r="AL38" s="62" t="str">
        <f t="shared" si="2"/>
        <v>-</v>
      </c>
      <c r="AM38" s="61" t="str">
        <f t="shared" si="3"/>
        <v>Sin meta para el segundo trimestre.</v>
      </c>
      <c r="AN38" s="63"/>
      <c r="AO38" s="64"/>
      <c r="AP38" s="65"/>
      <c r="AQ38" s="65"/>
      <c r="AR38" s="66"/>
      <c r="AS38" s="67"/>
      <c r="AT38" s="68"/>
      <c r="AU38" s="63"/>
      <c r="AV38" s="64"/>
      <c r="AW38" s="69"/>
      <c r="AX38" s="65"/>
      <c r="AY38" s="70"/>
      <c r="AZ38" s="71"/>
      <c r="BA38" s="72"/>
      <c r="BB38" s="73"/>
      <c r="BC38" s="64"/>
      <c r="BD38" s="69"/>
      <c r="BE38" s="65"/>
      <c r="BF38" s="66"/>
      <c r="BG38" s="71"/>
      <c r="BH38" s="72"/>
      <c r="BI38" s="74"/>
      <c r="BK38" s="5" t="str">
        <f t="shared" si="23"/>
        <v>-</v>
      </c>
      <c r="BM38" s="5"/>
    </row>
    <row r="39" ht="37.5" customHeight="1">
      <c r="A39" s="45"/>
      <c r="B39" s="46">
        <f>IFERROR(__xludf.DUMMYFUNCTION("""COMPUTED_VALUE"""),37.0)</f>
        <v>37</v>
      </c>
      <c r="C39" s="47" t="str">
        <f>IFERROR(__xludf.DUMMYFUNCTION("""COMPUTED_VALUE"""),"Gestión de control interno disciplinario")</f>
        <v>Gestión de control interno disciplinario</v>
      </c>
      <c r="D39" s="48" t="str">
        <f>IFERROR(__xludf.DUMMYFUNCTION("""COMPUTED_VALUE"""),"Control Interno Disciplinario")</f>
        <v>Control Interno Disciplinario</v>
      </c>
      <c r="E39" s="48" t="str">
        <f>IFERROR(__xludf.DUMMYFUNCTION("""COMPUTED_VALUE"""),"Fortalecimiento de la capacidad de gestión de la autoridad nacional de acuicultura y pesca - aunap nacional")</f>
        <v>Fortalecimiento de la capacidad de gestión de la autoridad nacional de acuicultura y pesca - aunap nacional</v>
      </c>
      <c r="F39" s="49">
        <f>IFERROR(__xludf.DUMMYFUNCTION("""COMPUTED_VALUE"""),2.018011000241E12)</f>
        <v>2018011000241</v>
      </c>
      <c r="G39" s="50" t="str">
        <f>IFERROR(__xludf.DUMMYFUNCTION("""COMPUTED_VALUE"""),"Fortalecimiento")</f>
        <v>Fortalecimiento</v>
      </c>
      <c r="H39" s="48" t="str">
        <f>IFERROR(__xludf.DUMMYFUNCTION("""COMPUTED_VALUE"""),"Fortalecer los sistemas de gestión de la Entidad")</f>
        <v>Fortalecer los sistemas de gestión de la Entidad</v>
      </c>
      <c r="I39" s="48" t="str">
        <f>IFERROR(__xludf.DUMMYFUNCTION("""COMPUTED_VALUE"""),"Servicio de Implementación Sistemas de Gestión")</f>
        <v>Servicio de Implementación Sistemas de Gestión</v>
      </c>
      <c r="J3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39" s="51" t="str">
        <f>IFERROR(__xludf.DUMMYFUNCTION("""COMPUTED_VALUE"""),"Gestión del área")</f>
        <v>Gestión del área</v>
      </c>
      <c r="L39" s="51" t="str">
        <f>IFERROR(__xludf.DUMMYFUNCTION("""COMPUTED_VALUE"""),"Eficacia")</f>
        <v>Eficacia</v>
      </c>
      <c r="M39" s="51" t="str">
        <f>IFERROR(__xludf.DUMMYFUNCTION("""COMPUTED_VALUE"""),"Porcentaje")</f>
        <v>Porcentaje</v>
      </c>
      <c r="N39" s="52" t="str">
        <f>IFERROR(__xludf.DUMMYFUNCTION("""COMPUTED_VALUE"""),"Relación de la Ley 734 de 2002 y las normas que lo complementan en el 100% de las actuaciones generadas por CID.")</f>
        <v>Relación de la Ley 734 de 2002 y las normas que lo complementan en el 100% de las actuaciones generadas por CID.</v>
      </c>
      <c r="O39" s="53"/>
      <c r="P39" s="54">
        <f>IFERROR(__xludf.DUMMYFUNCTION("""COMPUTED_VALUE"""),1.0)</f>
        <v>1</v>
      </c>
      <c r="Q39" s="55" t="str">
        <f>IFERROR(__xludf.DUMMYFUNCTION("""COMPUTED_VALUE"""),"Aplicación de la Ley 734 de 2002 y las normas que lo complementan")</f>
        <v>Aplicación de la Ley 734 de 2002 y las normas que lo complementan</v>
      </c>
      <c r="R39" s="14" t="str">
        <f>IFERROR(__xludf.DUMMYFUNCTION("""COMPUTED_VALUE"""),"Trimestral")</f>
        <v>Trimestral</v>
      </c>
      <c r="S39" s="54">
        <f>IFERROR(__xludf.DUMMYFUNCTION("""COMPUTED_VALUE"""),0.25)</f>
        <v>0.25</v>
      </c>
      <c r="T39" s="54">
        <f>IFERROR(__xludf.DUMMYFUNCTION("""COMPUTED_VALUE"""),0.25)</f>
        <v>0.25</v>
      </c>
      <c r="U39" s="54">
        <f>IFERROR(__xludf.DUMMYFUNCTION("""COMPUTED_VALUE"""),0.25)</f>
        <v>0.25</v>
      </c>
      <c r="V39" s="54">
        <f>IFERROR(__xludf.DUMMYFUNCTION("""COMPUTED_VALUE"""),0.25)</f>
        <v>0.25</v>
      </c>
      <c r="W39" s="56" t="str">
        <f>IFERROR(__xludf.DUMMYFUNCTION("""COMPUTED_VALUE"""),"Secretaria General")</f>
        <v>Secretaria General</v>
      </c>
      <c r="X39" s="57" t="str">
        <f>IFERROR(__xludf.DUMMYFUNCTION("""COMPUTED_VALUE"""),"Daniel Ariza Heredia")</f>
        <v>Daniel Ariza Heredia</v>
      </c>
      <c r="Y39" s="47" t="str">
        <f>IFERROR(__xludf.DUMMYFUNCTION("""COMPUTED_VALUE"""),"Secretario General")</f>
        <v>Secretario General</v>
      </c>
      <c r="Z39" s="57" t="str">
        <f>IFERROR(__xludf.DUMMYFUNCTION("""COMPUTED_VALUE"""),"daniel.ariza@aunap.gov.co")</f>
        <v>daniel.ariza@aunap.gov.co</v>
      </c>
      <c r="AA39" s="47" t="str">
        <f>IFERROR(__xludf.DUMMYFUNCTION("""COMPUTED_VALUE"""),"Humanos, Físicos, Financieros, Tecnológicos")</f>
        <v>Humanos, Físicos, Financieros, Tecnológicos</v>
      </c>
      <c r="AB39" s="47" t="str">
        <f>IFERROR(__xludf.DUMMYFUNCTION("""COMPUTED_VALUE"""),"No asociado")</f>
        <v>No asociado</v>
      </c>
      <c r="AC39" s="47" t="str">
        <f>IFERROR(__xludf.DUMMYFUNCTION("""COMPUTED_VALUE"""),"Llegar con actividades de pesca y acuicultura a todas las regiones")</f>
        <v>Llegar con actividades de pesca y acuicultura a todas las regiones</v>
      </c>
      <c r="AD39" s="47" t="str">
        <f>IFERROR(__xludf.DUMMYFUNCTION("""COMPUTED_VALUE"""),"Talento Humano")</f>
        <v>Talento Humano</v>
      </c>
      <c r="AE39" s="47" t="str">
        <f>IFERROR(__xludf.DUMMYFUNCTION("""COMPUTED_VALUE"""),"Talento Humano")</f>
        <v>Talento Humano</v>
      </c>
      <c r="AF39" s="47" t="str">
        <f>IFERROR(__xludf.DUMMYFUNCTION("""COMPUTED_VALUE"""),"16. Paz, justicia e instituciones sólidas")</f>
        <v>16. Paz, justicia e instituciones sólidas</v>
      </c>
      <c r="AG39" s="79">
        <f>IFERROR(__xludf.DUMMYFUNCTION("""COMPUTED_VALUE"""),0.15)</f>
        <v>0.15</v>
      </c>
      <c r="AH39" s="59" t="str">
        <f>IFERROR(__xludf.DUMMYFUNCTION("""COMPUTED_VALUE"""),"Se emitieron autos de impulso y se están esperando resultados de las pruebas ordenadas y practicadas en los trimestres anteriores")</f>
        <v>Se emitieron autos de impulso y se están esperando resultados de las pruebas ordenadas y practicadas en los trimestres anteriores</v>
      </c>
      <c r="AI39" s="81" t="str">
        <f>IFERROR(__xludf.DUMMYFUNCTION("""COMPUTED_VALUE"""),"https://drive.google.com/file/d/1V48tlSlvHAflIE3Ipved5hZ2ov1VrauB/view?usp=sharing")</f>
        <v>https://drive.google.com/file/d/1V48tlSlvHAflIE3Ipved5hZ2ov1VrauB/view?usp=sharing</v>
      </c>
      <c r="AJ39" s="60">
        <f>IFERROR(__xludf.DUMMYFUNCTION("""COMPUTED_VALUE"""),44396.0)</f>
        <v>44396</v>
      </c>
      <c r="AK39" s="61" t="str">
        <f>IFERROR(IF((AL39+1)&lt;2,Alertas!$B$2&amp;TEXT(AL39,"0%")&amp;Alertas!$D$2, IF((AL39+1)=2,Alertas!$B$3,IF((AL39+1)&gt;2,Alertas!$B$4&amp;TEXT(AL39,"0%")&amp;Alertas!$D$4,AL39+1))),"Sin meta para el segundo trimestre")</f>
        <v>La ejecución de la meta registrada se encuentra por debajo de la meta programada en la formulación del plan de acción para el segundo trimestre, su porcentaje de cumplimiento es 60%, lo cual indica un incumplimiento que puede ser entendido por los entes de control como falencias en el proceso de planeación y gestión de la dependencia. se recomienda realizar acciones para garantizar el cumplimiento de la meta durante lo que resta de vigencia</v>
      </c>
      <c r="AL39" s="62">
        <f t="shared" si="2"/>
        <v>0.6</v>
      </c>
      <c r="AM39" s="61" t="str">
        <f t="shared" si="3"/>
        <v>La ejecución de la meta registrada se encuentra por debajo de la meta programada en la formulación del plan de acción para el segundo trimestre, su porcentaje de cumplimiento es 60%, lo cual indica un incumplimiento que puede ser entendido por los entes de control como falencias en el proceso de planeación y gestión de la dependencia. se recomienda realizar acciones para garantizar el cumplimiento de la meta durante lo que resta de vigencia.</v>
      </c>
      <c r="AN39" s="63"/>
      <c r="AO39" s="64"/>
      <c r="AP39" s="65"/>
      <c r="AQ39" s="65"/>
      <c r="AR39" s="66"/>
      <c r="AS39" s="67"/>
      <c r="AT39" s="68"/>
      <c r="AU39" s="63"/>
      <c r="AV39" s="64"/>
      <c r="AW39" s="69"/>
      <c r="AX39" s="65"/>
      <c r="AY39" s="70"/>
      <c r="AZ39" s="71"/>
      <c r="BA39" s="72"/>
      <c r="BB39" s="73"/>
      <c r="BC39" s="64"/>
      <c r="BD39" s="69"/>
      <c r="BE39" s="65"/>
      <c r="BF39" s="66"/>
      <c r="BG39" s="71"/>
      <c r="BH39" s="72"/>
      <c r="BI39" s="74"/>
      <c r="BK39" s="5" t="str">
        <f t="shared" si="23"/>
        <v>-1</v>
      </c>
      <c r="BM39" s="5"/>
    </row>
    <row r="40" ht="37.5" customHeight="1">
      <c r="A40" s="45"/>
      <c r="B40" s="46">
        <f>IFERROR(__xludf.DUMMYFUNCTION("""COMPUTED_VALUE"""),38.0)</f>
        <v>38</v>
      </c>
      <c r="C40" s="47" t="str">
        <f>IFERROR(__xludf.DUMMYFUNCTION("""COMPUTED_VALUE"""),"Gestión de control interno disciplinario")</f>
        <v>Gestión de control interno disciplinario</v>
      </c>
      <c r="D40" s="48" t="str">
        <f>IFERROR(__xludf.DUMMYFUNCTION("""COMPUTED_VALUE"""),"Control Interno Disciplinario")</f>
        <v>Control Interno Disciplinario</v>
      </c>
      <c r="E40" s="48" t="str">
        <f>IFERROR(__xludf.DUMMYFUNCTION("""COMPUTED_VALUE"""),"Fortalecimiento de la capacidad de gestión de la autoridad nacional de acuicultura y pesca - aunap nacional")</f>
        <v>Fortalecimiento de la capacidad de gestión de la autoridad nacional de acuicultura y pesca - aunap nacional</v>
      </c>
      <c r="F40" s="49">
        <f>IFERROR(__xludf.DUMMYFUNCTION("""COMPUTED_VALUE"""),2.018011000241E12)</f>
        <v>2018011000241</v>
      </c>
      <c r="G40" s="50" t="str">
        <f>IFERROR(__xludf.DUMMYFUNCTION("""COMPUTED_VALUE"""),"Fortalecimiento")</f>
        <v>Fortalecimiento</v>
      </c>
      <c r="H40" s="48" t="str">
        <f>IFERROR(__xludf.DUMMYFUNCTION("""COMPUTED_VALUE"""),"Fortalecer los sistemas de gestión de la Entidad")</f>
        <v>Fortalecer los sistemas de gestión de la Entidad</v>
      </c>
      <c r="I40" s="48" t="str">
        <f>IFERROR(__xludf.DUMMYFUNCTION("""COMPUTED_VALUE"""),"Servicio de Implementación Sistemas de Gestión")</f>
        <v>Servicio de Implementación Sistemas de Gestión</v>
      </c>
      <c r="J4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40" s="51" t="str">
        <f>IFERROR(__xludf.DUMMYFUNCTION("""COMPUTED_VALUE"""),"Gestión del área")</f>
        <v>Gestión del área</v>
      </c>
      <c r="L40" s="51" t="str">
        <f>IFERROR(__xludf.DUMMYFUNCTION("""COMPUTED_VALUE"""),"Eficacia")</f>
        <v>Eficacia</v>
      </c>
      <c r="M40" s="51" t="str">
        <f>IFERROR(__xludf.DUMMYFUNCTION("""COMPUTED_VALUE"""),"Número")</f>
        <v>Número</v>
      </c>
      <c r="N40" s="52" t="str">
        <f>IFERROR(__xludf.DUMMYFUNCTION("""COMPUTED_VALUE"""),"Número de actividades de divulgación sobre derecho disciplinario realizadas/Número de actividades de divulgación sobre derecho disciplinario programadas")</f>
        <v>Número de actividades de divulgación sobre derecho disciplinario realizadas/Número de actividades de divulgación sobre derecho disciplinario programadas</v>
      </c>
      <c r="O40" s="53"/>
      <c r="P40" s="54">
        <f>IFERROR(__xludf.DUMMYFUNCTION("""COMPUTED_VALUE"""),11.0)</f>
        <v>11</v>
      </c>
      <c r="Q40" s="55" t="str">
        <f>IFERROR(__xludf.DUMMYFUNCTION("""COMPUTED_VALUE"""),"Realizar actividades de divulgación sobre derecho disciplinario")</f>
        <v>Realizar actividades de divulgación sobre derecho disciplinario</v>
      </c>
      <c r="R40" s="14" t="str">
        <f>IFERROR(__xludf.DUMMYFUNCTION("""COMPUTED_VALUE"""),"Trimestral")</f>
        <v>Trimestral</v>
      </c>
      <c r="S40" s="54">
        <f>IFERROR(__xludf.DUMMYFUNCTION("""COMPUTED_VALUE"""),2.0)</f>
        <v>2</v>
      </c>
      <c r="T40" s="54">
        <f>IFERROR(__xludf.DUMMYFUNCTION("""COMPUTED_VALUE"""),3.0)</f>
        <v>3</v>
      </c>
      <c r="U40" s="54">
        <f>IFERROR(__xludf.DUMMYFUNCTION("""COMPUTED_VALUE"""),3.0)</f>
        <v>3</v>
      </c>
      <c r="V40" s="54">
        <f>IFERROR(__xludf.DUMMYFUNCTION("""COMPUTED_VALUE"""),3.0)</f>
        <v>3</v>
      </c>
      <c r="W40" s="56" t="str">
        <f>IFERROR(__xludf.DUMMYFUNCTION("""COMPUTED_VALUE"""),"Secretaria General")</f>
        <v>Secretaria General</v>
      </c>
      <c r="X40" s="57" t="str">
        <f>IFERROR(__xludf.DUMMYFUNCTION("""COMPUTED_VALUE"""),"Daniel Ariza Heredia")</f>
        <v>Daniel Ariza Heredia</v>
      </c>
      <c r="Y40" s="47" t="str">
        <f>IFERROR(__xludf.DUMMYFUNCTION("""COMPUTED_VALUE"""),"Secretario General")</f>
        <v>Secretario General</v>
      </c>
      <c r="Z40" s="57" t="str">
        <f>IFERROR(__xludf.DUMMYFUNCTION("""COMPUTED_VALUE"""),"daniel.ariza@aunap.gov.co")</f>
        <v>daniel.ariza@aunap.gov.co</v>
      </c>
      <c r="AA40" s="47" t="str">
        <f>IFERROR(__xludf.DUMMYFUNCTION("""COMPUTED_VALUE"""),"Humanos, Físicos, Financieros, Tecnológicos")</f>
        <v>Humanos, Físicos, Financieros, Tecnológicos</v>
      </c>
      <c r="AB40" s="47" t="str">
        <f>IFERROR(__xludf.DUMMYFUNCTION("""COMPUTED_VALUE"""),"No asociado")</f>
        <v>No asociado</v>
      </c>
      <c r="AC40" s="47" t="str">
        <f>IFERROR(__xludf.DUMMYFUNCTION("""COMPUTED_VALUE"""),"Llegar con actividades de pesca y acuicultura a todas las regiones")</f>
        <v>Llegar con actividades de pesca y acuicultura a todas las regiones</v>
      </c>
      <c r="AD40" s="47" t="str">
        <f>IFERROR(__xludf.DUMMYFUNCTION("""COMPUTED_VALUE"""),"Talento Humano")</f>
        <v>Talento Humano</v>
      </c>
      <c r="AE40" s="47" t="str">
        <f>IFERROR(__xludf.DUMMYFUNCTION("""COMPUTED_VALUE"""),"Talento Humano")</f>
        <v>Talento Humano</v>
      </c>
      <c r="AF40" s="47" t="str">
        <f>IFERROR(__xludf.DUMMYFUNCTION("""COMPUTED_VALUE"""),"16. Paz, justicia e instituciones sólidas")</f>
        <v>16. Paz, justicia e instituciones sólidas</v>
      </c>
      <c r="AG40" s="79">
        <f>IFERROR(__xludf.DUMMYFUNCTION("""COMPUTED_VALUE"""),2.0)</f>
        <v>2</v>
      </c>
      <c r="AH40" s="59" t="str">
        <f>IFERROR(__xludf.DUMMYFUNCTION("""COMPUTED_VALUE"""),"Se anunció el proyecto y aprobación de la reforma del Código General Disciplinario, del cual dependía la norma aplicable en los procesos disciplinarios. Una vez aprobada la actividad se dirigirá a explicar el régimen disciplinario entrante.")</f>
        <v>Se anunció el proyecto y aprobación de la reforma del Código General Disciplinario, del cual dependía la norma aplicable en los procesos disciplinarios. Una vez aprobada la actividad se dirigirá a explicar el régimen disciplinario entrante.</v>
      </c>
      <c r="AI40" s="81" t="str">
        <f>IFERROR(__xludf.DUMMYFUNCTION("""COMPUTED_VALUE"""),"https://drive.google.com/file/d/1ieOqmATG716cQZHvW0egPVAOp4hRGRug/view?usp=sharing")</f>
        <v>https://drive.google.com/file/d/1ieOqmATG716cQZHvW0egPVAOp4hRGRug/view?usp=sharing</v>
      </c>
      <c r="AJ40" s="60">
        <f>IFERROR(__xludf.DUMMYFUNCTION("""COMPUTED_VALUE"""),44396.0)</f>
        <v>44396</v>
      </c>
      <c r="AK40" s="61" t="str">
        <f>IFERROR(IF((AL40+1)&lt;2,Alertas!$B$2&amp;TEXT(AL40,"0%")&amp;Alertas!$D$2, IF((AL40+1)=2,Alertas!$B$3,IF((AL40+1)&gt;2,Alertas!$B$4&amp;TEXT(AL40,"0%")&amp;Alertas!$D$4,AL40+1))),"Sin meta para el segundo trimestre")</f>
        <v>La ejecución de la meta registrada se encuentra por debajo de la meta programada en la formulación del plan de acción para el segundo trimestre, su porcentaje de cumplimiento es 67%, lo cual indica un incumplimiento que puede ser entendido por los entes de control como falencias en el proceso de planeación y gestión de la dependencia. se recomienda realizar acciones para garantizar el cumplimiento de la meta durante lo que resta de vigencia</v>
      </c>
      <c r="AL40" s="62">
        <f t="shared" si="2"/>
        <v>0.6666666667</v>
      </c>
      <c r="AM40" s="61" t="str">
        <f t="shared" si="3"/>
        <v>La ejecución de la meta registrada se encuentra por debajo de la meta programada en la formulación del plan de acción para el segundo trimestre, su porcentaje de cumplimiento es 67%, lo cual indica un incumplimiento que puede ser entendido por los entes de control como falencias en el proceso de planeación y gestión de la dependencia. se recomienda realizar acciones para garantizar el cumplimiento de la meta durante lo que resta de vigencia.</v>
      </c>
      <c r="AN40" s="63"/>
      <c r="AO40" s="64"/>
      <c r="AP40" s="65"/>
      <c r="AQ40" s="65"/>
      <c r="AR40" s="66"/>
      <c r="AS40" s="67"/>
      <c r="AT40" s="68"/>
      <c r="AU40" s="63"/>
      <c r="AV40" s="64"/>
      <c r="AW40" s="69"/>
      <c r="AX40" s="65"/>
      <c r="AY40" s="70"/>
      <c r="AZ40" s="71"/>
      <c r="BA40" s="72"/>
      <c r="BB40" s="73"/>
      <c r="BC40" s="64"/>
      <c r="BD40" s="69"/>
      <c r="BE40" s="65"/>
      <c r="BF40" s="66"/>
      <c r="BG40" s="71"/>
      <c r="BH40" s="72"/>
      <c r="BI40" s="74"/>
      <c r="BK40" s="5" t="str">
        <f t="shared" si="23"/>
        <v>-1</v>
      </c>
      <c r="BM40" s="5"/>
    </row>
    <row r="41" ht="37.5" customHeight="1">
      <c r="A41" s="45"/>
      <c r="B41" s="46">
        <f>IFERROR(__xludf.DUMMYFUNCTION("""COMPUTED_VALUE"""),39.0)</f>
        <v>39</v>
      </c>
      <c r="C41" s="47" t="str">
        <f>IFERROR(__xludf.DUMMYFUNCTION("""COMPUTED_VALUE"""),"Gestión de la inspección y vigilancia")</f>
        <v>Gestión de la inspección y vigilancia</v>
      </c>
      <c r="D41" s="48" t="str">
        <f>IFERROR(__xludf.DUMMYFUNCTION("""COMPUTED_VALUE"""),"Dirección Técnica de Inspección y Vigilancia")</f>
        <v>Dirección Técnica de Inspección y Vigilancia</v>
      </c>
      <c r="E4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1" s="49">
        <f>IFERROR(__xludf.DUMMYFUNCTION("""COMPUTED_VALUE"""),2.019011000276E12)</f>
        <v>2019011000276</v>
      </c>
      <c r="G41" s="50" t="str">
        <f>IFERROR(__xludf.DUMMYFUNCTION("""COMPUTED_VALUE"""),"Inspección")</f>
        <v>Inspección</v>
      </c>
      <c r="H41" s="48" t="str">
        <f>IFERROR(__xludf.DUMMYFUNCTION("""COMPUTED_VALUE"""),"Aumentar el conocimiento de la normatividad pesquera y de la acuicultura por parte de la comunidad.")</f>
        <v>Aumentar el conocimiento de la normatividad pesquera y de la acuicultura por parte de la comunidad.</v>
      </c>
      <c r="I41" s="48" t="str">
        <f>IFERROR(__xludf.DUMMYFUNCTION("""COMPUTED_VALUE"""),"Servicio de divulgación y socialización")</f>
        <v>Servicio de divulgación y socialización</v>
      </c>
      <c r="J41" s="48" t="str">
        <f>IFERROR(__xludf.DUMMYFUNCTION("""COMPUTED_VALUE"""),"Implementar las estrategias de socialización y Divulgación a la comunidad")</f>
        <v>Implementar las estrategias de socialización y Divulgación a la comunidad</v>
      </c>
      <c r="K41" s="51" t="str">
        <f>IFERROR(__xludf.DUMMYFUNCTION("""COMPUTED_VALUE"""),"Producto")</f>
        <v>Producto</v>
      </c>
      <c r="L41" s="51" t="str">
        <f>IFERROR(__xludf.DUMMYFUNCTION("""COMPUTED_VALUE"""),"Eficacia")</f>
        <v>Eficacia</v>
      </c>
      <c r="M41" s="51" t="str">
        <f>IFERROR(__xludf.DUMMYFUNCTION("""COMPUTED_VALUE"""),"Número")</f>
        <v>Número</v>
      </c>
      <c r="N41" s="52" t="str">
        <f>IFERROR(__xludf.DUMMYFUNCTION("""COMPUTED_VALUE"""),"Eventos realizados")</f>
        <v>Eventos realizados</v>
      </c>
      <c r="O41" s="53">
        <f>IFERROR(__xludf.DUMMYFUNCTION("""COMPUTED_VALUE"""),110.0)</f>
        <v>110</v>
      </c>
      <c r="P41" s="54">
        <f>IFERROR(__xludf.DUMMYFUNCTION("""COMPUTED_VALUE"""),70.0)</f>
        <v>70</v>
      </c>
      <c r="Q41" s="55" t="str">
        <f>IFERROR(__xludf.DUMMYFUNCTION("""COMPUTED_VALUE"""),"Realizar eventos de socialización y divulgación dirigidos a grupos de interés para disminuir las malas prácticas de pesca y de la acuicultura a nivel nacional.")</f>
        <v>Realizar eventos de socialización y divulgación dirigidos a grupos de interés para disminuir las malas prácticas de pesca y de la acuicultura a nivel nacional.</v>
      </c>
      <c r="R41" s="14" t="str">
        <f>IFERROR(__xludf.DUMMYFUNCTION("""COMPUTED_VALUE"""),"Anual")</f>
        <v>Anual</v>
      </c>
      <c r="S41" s="54">
        <f>IFERROR(__xludf.DUMMYFUNCTION("""COMPUTED_VALUE"""),0.0)</f>
        <v>0</v>
      </c>
      <c r="T41" s="54">
        <f>IFERROR(__xludf.DUMMYFUNCTION("""COMPUTED_VALUE"""),18.0)</f>
        <v>18</v>
      </c>
      <c r="U41" s="54">
        <f>IFERROR(__xludf.DUMMYFUNCTION("""COMPUTED_VALUE"""),35.0)</f>
        <v>35</v>
      </c>
      <c r="V41" s="54">
        <f>IFERROR(__xludf.DUMMYFUNCTION("""COMPUTED_VALUE"""),17.0)</f>
        <v>17</v>
      </c>
      <c r="W41" s="56" t="str">
        <f>IFERROR(__xludf.DUMMYFUNCTION("""COMPUTED_VALUE"""),"Dirección Técnica de Inspección y Vigilancia")</f>
        <v>Dirección Técnica de Inspección y Vigilancia</v>
      </c>
      <c r="X41" s="57" t="str">
        <f>IFERROR(__xludf.DUMMYFUNCTION("""COMPUTED_VALUE"""),"Nelcy Villa")</f>
        <v>Nelcy Villa</v>
      </c>
      <c r="Y41" s="47" t="str">
        <f>IFERROR(__xludf.DUMMYFUNCTION("""COMPUTED_VALUE"""),"Directora técnica de inspección y vigilancia")</f>
        <v>Directora técnica de inspección y vigilancia</v>
      </c>
      <c r="Z41" s="57" t="str">
        <f>IFERROR(__xludf.DUMMYFUNCTION("""COMPUTED_VALUE"""),"nelcy.villa@aunap.gov.co")</f>
        <v>nelcy.villa@aunap.gov.co</v>
      </c>
      <c r="AA41" s="47" t="str">
        <f>IFERROR(__xludf.DUMMYFUNCTION("""COMPUTED_VALUE"""),"Humanos, Físicos, Financieros, Tecnológicos")</f>
        <v>Humanos, Físicos, Financieros, Tecnológicos</v>
      </c>
      <c r="AB41" s="47" t="str">
        <f>IFERROR(__xludf.DUMMYFUNCTION("""COMPUTED_VALUE"""),"No asociado")</f>
        <v>No asociado</v>
      </c>
      <c r="AC4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1" s="47" t="str">
        <f>IFERROR(__xludf.DUMMYFUNCTION("""COMPUTED_VALUE"""),"Gestión con valores para resultados")</f>
        <v>Gestión con valores para resultados</v>
      </c>
      <c r="AE41" s="47" t="str">
        <f>IFERROR(__xludf.DUMMYFUNCTION("""COMPUTED_VALUE"""),"Fortalecimiento Organizacional y Simplificación de Procesos")</f>
        <v>Fortalecimiento Organizacional y Simplificación de Procesos</v>
      </c>
      <c r="AF41" s="47" t="str">
        <f>IFERROR(__xludf.DUMMYFUNCTION("""COMPUTED_VALUE"""),"12. Producción y consumo responsable")</f>
        <v>12. Producción y consumo responsable</v>
      </c>
      <c r="AG41" s="58">
        <f>IFERROR(__xludf.DUMMYFUNCTION("""COMPUTED_VALUE"""),18.0)</f>
        <v>18</v>
      </c>
      <c r="AH41" s="59" t="str">
        <f>IFERROR(__xludf.DUMMYFUNCTION("""COMPUTED_VALUE"""),"Se realizarom 18 talleres de socialización de normativa pesquera distribuidos así:                                                                                            En la D R Bogotá: 7                                      En la D R Barranquilla: "&amp;"11")</f>
        <v>Se realizarom 18 talleres de socialización de normativa pesquera distribuidos así:                                                                                            En la D R Bogotá: 7                                      En la D R Barranquilla: 11</v>
      </c>
      <c r="AI41" s="81" t="str">
        <f>IFERROR(__xludf.DUMMYFUNCTION("""COMPUTED_VALUE"""),"https://drive.google.com/drive/folders/1vplUtCRjcKYYLzhJVC57AyX3_Hw32gZL")</f>
        <v>https://drive.google.com/drive/folders/1vplUtCRjcKYYLzhJVC57AyX3_Hw32gZL</v>
      </c>
      <c r="AJ41" s="60">
        <f>IFERROR(__xludf.DUMMYFUNCTION("""COMPUTED_VALUE"""),44396.0)</f>
        <v>44396</v>
      </c>
      <c r="AK41" s="61" t="str">
        <f>IFERROR(IF((AL41+1)&lt;2,Alertas!$B$2&amp;TEXT(AL41,"0%")&amp;Alertas!$D$2, IF((AL41+1)=2,Alertas!$B$3,IF((AL41+1)&gt;2,Alertas!$B$4&amp;TEXT(AL41,"0%")&amp;Alertas!$D$4,AL41+1))),"Sin meta para el segundo trimestre")</f>
        <v>La ejecución de la meta registrada se encuentra acorde a la meta programada en la formulación del plan de acción para el segundo trimestre</v>
      </c>
      <c r="AL41" s="62">
        <f t="shared" si="2"/>
        <v>1</v>
      </c>
      <c r="AM41" s="61" t="str">
        <f t="shared" si="3"/>
        <v>La ejecución de la meta registrada se encuentra acorde a la meta programada en la formulación del plan de acción para el segundo trimestre.</v>
      </c>
      <c r="AN41" s="63"/>
      <c r="AO41" s="64"/>
      <c r="AP41" s="65"/>
      <c r="AQ41" s="65"/>
      <c r="AR41" s="66"/>
      <c r="AS41" s="67"/>
      <c r="AT41" s="68"/>
      <c r="AU41" s="63"/>
      <c r="AV41" s="64"/>
      <c r="AW41" s="69"/>
      <c r="AX41" s="65"/>
      <c r="AY41" s="70"/>
      <c r="AZ41" s="71"/>
      <c r="BA41" s="72"/>
      <c r="BB41" s="73"/>
      <c r="BC41" s="64"/>
      <c r="BD41" s="69"/>
      <c r="BE41" s="65"/>
      <c r="BF41" s="66"/>
      <c r="BG41" s="71"/>
      <c r="BH41" s="72"/>
      <c r="BI41" s="74"/>
      <c r="BK41" s="5" t="str">
        <f t="shared" si="23"/>
        <v>0</v>
      </c>
      <c r="BM41" s="5"/>
    </row>
    <row r="42" ht="37.5" customHeight="1">
      <c r="A42" s="45"/>
      <c r="B42" s="46">
        <f>IFERROR(__xludf.DUMMYFUNCTION("""COMPUTED_VALUE"""),40.0)</f>
        <v>40</v>
      </c>
      <c r="C42" s="47" t="str">
        <f>IFERROR(__xludf.DUMMYFUNCTION("""COMPUTED_VALUE"""),"Gestión de la inspección y vigilancia")</f>
        <v>Gestión de la inspección y vigilancia</v>
      </c>
      <c r="D42" s="48" t="str">
        <f>IFERROR(__xludf.DUMMYFUNCTION("""COMPUTED_VALUE"""),"Dirección Técnica de Inspección y Vigilancia")</f>
        <v>Dirección Técnica de Inspección y Vigilancia</v>
      </c>
      <c r="E42"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2" s="49">
        <f>IFERROR(__xludf.DUMMYFUNCTION("""COMPUTED_VALUE"""),2.019011000276E12)</f>
        <v>2019011000276</v>
      </c>
      <c r="G42" s="50" t="str">
        <f>IFERROR(__xludf.DUMMYFUNCTION("""COMPUTED_VALUE"""),"Inspección")</f>
        <v>Inspección</v>
      </c>
      <c r="H42" s="48" t="str">
        <f>IFERROR(__xludf.DUMMYFUNCTION("""COMPUTED_VALUE"""),"Fortalecer los mecanismos de seguimiento y control de la actividad pesquera y de la acuicultura.")</f>
        <v>Fortalecer los mecanismos de seguimiento y control de la actividad pesquera y de la acuicultura.</v>
      </c>
      <c r="I42" s="48" t="str">
        <f>IFERROR(__xludf.DUMMYFUNCTION("""COMPUTED_VALUE"""),"Servicio de inspección, vigilancia y control de la pesca y la acuicultura")</f>
        <v>Servicio de inspección, vigilancia y control de la pesca y la acuicultura</v>
      </c>
      <c r="J42" s="48" t="str">
        <f>IFERROR(__xludf.DUMMYFUNCTION("""COMPUTED_VALUE"""),"Realizar los operativos de inspección, vigilancia y control.")</f>
        <v>Realizar los operativos de inspección, vigilancia y control.</v>
      </c>
      <c r="K42" s="51" t="str">
        <f>IFERROR(__xludf.DUMMYFUNCTION("""COMPUTED_VALUE"""),"Producto")</f>
        <v>Producto</v>
      </c>
      <c r="L42" s="51" t="str">
        <f>IFERROR(__xludf.DUMMYFUNCTION("""COMPUTED_VALUE"""),"Eficacia")</f>
        <v>Eficacia</v>
      </c>
      <c r="M42" s="51" t="str">
        <f>IFERROR(__xludf.DUMMYFUNCTION("""COMPUTED_VALUE"""),"Número")</f>
        <v>Número</v>
      </c>
      <c r="N42" s="52" t="str">
        <f>IFERROR(__xludf.DUMMYFUNCTION("""COMPUTED_VALUE"""),"Operativos de inspección, vigilancia y control realizados")</f>
        <v>Operativos de inspección, vigilancia y control realizados</v>
      </c>
      <c r="O42" s="53">
        <f>IFERROR(__xludf.DUMMYFUNCTION("""COMPUTED_VALUE"""),157.0)</f>
        <v>157</v>
      </c>
      <c r="P42" s="77">
        <f>IFERROR(__xludf.DUMMYFUNCTION("""COMPUTED_VALUE"""),380.0)</f>
        <v>380</v>
      </c>
      <c r="Q42" s="78" t="str">
        <f>IFERROR(__xludf.DUMMYFUNCTION("""COMPUTED_VALUE"""),"Realizar los operativos de inspección, vigilancia y control realizados por la DTIV a nivel nacional")</f>
        <v>Realizar los operativos de inspección, vigilancia y control realizados por la DTIV a nivel nacional</v>
      </c>
      <c r="R42" s="78" t="str">
        <f>IFERROR(__xludf.DUMMYFUNCTION("""COMPUTED_VALUE"""),"Anual")</f>
        <v>Anual</v>
      </c>
      <c r="S42" s="77">
        <f>IFERROR(__xludf.DUMMYFUNCTION("""COMPUTED_VALUE"""),70.0)</f>
        <v>70</v>
      </c>
      <c r="T42" s="77">
        <f>IFERROR(__xludf.DUMMYFUNCTION("""COMPUTED_VALUE"""),106.0)</f>
        <v>106</v>
      </c>
      <c r="U42" s="77">
        <f>IFERROR(__xludf.DUMMYFUNCTION("""COMPUTED_VALUE"""),106.0)</f>
        <v>106</v>
      </c>
      <c r="V42" s="77">
        <f>IFERROR(__xludf.DUMMYFUNCTION("""COMPUTED_VALUE"""),98.0)</f>
        <v>98</v>
      </c>
      <c r="W42" s="56" t="str">
        <f>IFERROR(__xludf.DUMMYFUNCTION("""COMPUTED_VALUE"""),"Dirección Técnica de Inspección y Vigilancia")</f>
        <v>Dirección Técnica de Inspección y Vigilancia</v>
      </c>
      <c r="X42" s="57" t="str">
        <f>IFERROR(__xludf.DUMMYFUNCTION("""COMPUTED_VALUE"""),"Nelcy Villa")</f>
        <v>Nelcy Villa</v>
      </c>
      <c r="Y42" s="47" t="str">
        <f>IFERROR(__xludf.DUMMYFUNCTION("""COMPUTED_VALUE"""),"Directora técnica de inspección y vigilancia")</f>
        <v>Directora técnica de inspección y vigilancia</v>
      </c>
      <c r="Z42" s="57" t="str">
        <f>IFERROR(__xludf.DUMMYFUNCTION("""COMPUTED_VALUE"""),"nelcy.villa@aunap.gov.co")</f>
        <v>nelcy.villa@aunap.gov.co</v>
      </c>
      <c r="AA42" s="47" t="str">
        <f>IFERROR(__xludf.DUMMYFUNCTION("""COMPUTED_VALUE"""),"Humanos, Físicos, Financieros, Tecnológicos")</f>
        <v>Humanos, Físicos, Financieros, Tecnológicos</v>
      </c>
      <c r="AB42" s="47" t="str">
        <f>IFERROR(__xludf.DUMMYFUNCTION("""COMPUTED_VALUE"""),"No asociado")</f>
        <v>No asociado</v>
      </c>
      <c r="AC4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2" s="47" t="str">
        <f>IFERROR(__xludf.DUMMYFUNCTION("""COMPUTED_VALUE"""),"Gestión con valores para resultados")</f>
        <v>Gestión con valores para resultados</v>
      </c>
      <c r="AE42" s="47" t="str">
        <f>IFERROR(__xludf.DUMMYFUNCTION("""COMPUTED_VALUE"""),"Fortalecimiento Organizacional y Simplificación de Procesos")</f>
        <v>Fortalecimiento Organizacional y Simplificación de Procesos</v>
      </c>
      <c r="AF42" s="47" t="str">
        <f>IFERROR(__xludf.DUMMYFUNCTION("""COMPUTED_VALUE"""),"12. Producción y consumo responsable")</f>
        <v>12. Producción y consumo responsable</v>
      </c>
      <c r="AG42" s="58">
        <f>IFERROR(__xludf.DUMMYFUNCTION("""COMPUTED_VALUE"""),127.0)</f>
        <v>127</v>
      </c>
      <c r="AH42" s="59" t="str">
        <f>IFERROR(__xludf.DUMMYFUNCTION("""COMPUTED_VALUE"""),"Se realizaron los operativos de la siguiente manera:                                  Abril: 33                                                                                                           Mayo: 48                                             "&amp;"                                                         Junio: 46")</f>
        <v>Se realizaron los operativos de la siguiente manera:                                  Abril: 33                                                                                                           Mayo: 48                                                                                                      Junio: 46</v>
      </c>
      <c r="AI42" s="81" t="str">
        <f>IFERROR(__xludf.DUMMYFUNCTION("""COMPUTED_VALUE"""),"https://drive.google.com/drive/u/1/folders/1lfw5fH9Eh0n6JcZHZ_1pHqkTSJaOnMSJ")</f>
        <v>https://drive.google.com/drive/u/1/folders/1lfw5fH9Eh0n6JcZHZ_1pHqkTSJaOnMSJ</v>
      </c>
      <c r="AJ42" s="60">
        <f>IFERROR(__xludf.DUMMYFUNCTION("""COMPUTED_VALUE"""),44396.0)</f>
        <v>44396</v>
      </c>
      <c r="AK42" s="61" t="str">
        <f>IFERROR(IF((AL42+1)&lt;2,Alertas!$B$2&amp;TEXT(AL42,"0%")&amp;Alertas!$D$2, IF((AL42+1)=2,Alertas!$B$3,IF((AL42+1)&gt;2,Alertas!$B$4&amp;TEXT(AL42,"0%")&amp;Alertas!$D$4,AL42+1))),"Sin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42" s="62">
        <f t="shared" si="2"/>
        <v>1.198113208</v>
      </c>
      <c r="AM42" s="61" t="str">
        <f t="shared" si="3"/>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42" s="63"/>
      <c r="AO42" s="64"/>
      <c r="AP42" s="65"/>
      <c r="AQ42" s="65"/>
      <c r="AR42" s="66"/>
      <c r="AS42" s="67"/>
      <c r="AT42" s="68"/>
      <c r="AU42" s="63"/>
      <c r="AV42" s="64"/>
      <c r="AW42" s="69"/>
      <c r="AX42" s="65"/>
      <c r="AY42" s="70"/>
      <c r="AZ42" s="71"/>
      <c r="BA42" s="72"/>
      <c r="BB42" s="73"/>
      <c r="BC42" s="64"/>
      <c r="BD42" s="69"/>
      <c r="BE42" s="65"/>
      <c r="BF42" s="66"/>
      <c r="BG42" s="71"/>
      <c r="BH42" s="72"/>
      <c r="BI42" s="74"/>
      <c r="BK42" s="5" t="str">
        <f t="shared" si="23"/>
        <v>1</v>
      </c>
      <c r="BM42" s="5"/>
    </row>
    <row r="43" ht="37.5" customHeight="1">
      <c r="A43" s="45"/>
      <c r="B43" s="46">
        <f>IFERROR(__xludf.DUMMYFUNCTION("""COMPUTED_VALUE"""),41.0)</f>
        <v>41</v>
      </c>
      <c r="C43" s="47" t="str">
        <f>IFERROR(__xludf.DUMMYFUNCTION("""COMPUTED_VALUE"""),"Gestión de la inspección y vigilancia")</f>
        <v>Gestión de la inspección y vigilancia</v>
      </c>
      <c r="D43" s="48" t="str">
        <f>IFERROR(__xludf.DUMMYFUNCTION("""COMPUTED_VALUE"""),"Dirección Técnica de Inspección y Vigilancia")</f>
        <v>Dirección Técnica de Inspección y Vigilancia</v>
      </c>
      <c r="E43"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3" s="49">
        <f>IFERROR(__xludf.DUMMYFUNCTION("""COMPUTED_VALUE"""),2.019011000276E12)</f>
        <v>2019011000276</v>
      </c>
      <c r="G43" s="50" t="str">
        <f>IFERROR(__xludf.DUMMYFUNCTION("""COMPUTED_VALUE"""),"Inspección")</f>
        <v>Inspección</v>
      </c>
      <c r="H43" s="48" t="str">
        <f>IFERROR(__xludf.DUMMYFUNCTION("""COMPUTED_VALUE"""),"Fortalecer los mecanismos de seguimiento y control de la actividad pesquera y de la acuicultura.")</f>
        <v>Fortalecer los mecanismos de seguimiento y control de la actividad pesquera y de la acuicultura.</v>
      </c>
      <c r="I43" s="48" t="str">
        <f>IFERROR(__xludf.DUMMYFUNCTION("""COMPUTED_VALUE"""),"Servicio de inspección, vigilancia y control de la pesca y la acuicultura")</f>
        <v>Servicio de inspección, vigilancia y control de la pesca y la acuicultura</v>
      </c>
      <c r="J43" s="48" t="str">
        <f>IFERROR(__xludf.DUMMYFUNCTION("""COMPUTED_VALUE"""),"Realizar seguimiento a los procesos y procedimientos del área.")</f>
        <v>Realizar seguimiento a los procesos y procedimientos del área.</v>
      </c>
      <c r="K43" s="51" t="str">
        <f>IFERROR(__xludf.DUMMYFUNCTION("""COMPUTED_VALUE"""),"Gestión del área")</f>
        <v>Gestión del área</v>
      </c>
      <c r="L43" s="51" t="str">
        <f>IFERROR(__xludf.DUMMYFUNCTION("""COMPUTED_VALUE"""),"Eficacia")</f>
        <v>Eficacia</v>
      </c>
      <c r="M43" s="51" t="str">
        <f>IFERROR(__xludf.DUMMYFUNCTION("""COMPUTED_VALUE"""),"Número")</f>
        <v>Número</v>
      </c>
      <c r="N43" s="52" t="str">
        <f>IFERROR(__xludf.DUMMYFUNCTION("""COMPUTED_VALUE"""),"Informes de seguimiento realizados sobre la implementación de los procesos de la DTIV para el control de la pesca y de la acuicultura a nivel nacional")</f>
        <v>Informes de seguimiento realizados sobre la implementación de los procesos de la DTIV para el control de la pesca y de la acuicultura a nivel nacional</v>
      </c>
      <c r="O43" s="53"/>
      <c r="P43" s="54">
        <f>IFERROR(__xludf.DUMMYFUNCTION("""COMPUTED_VALUE"""),3.0)</f>
        <v>3</v>
      </c>
      <c r="Q43" s="55" t="str">
        <f>IFERROR(__xludf.DUMMYFUNCTION("""COMPUTED_VALUE"""),"Realizar informe de seguimiento a la implementación de los procesos de la DTIV para el control de la pesca y de la acuicultura a nivel nacional")</f>
        <v>Realizar informe de seguimiento a la implementación de los procesos de la DTIV para el control de la pesca y de la acuicultura a nivel nacional</v>
      </c>
      <c r="R43" s="14" t="str">
        <f>IFERROR(__xludf.DUMMYFUNCTION("""COMPUTED_VALUE"""),"Trimestral")</f>
        <v>Trimestral</v>
      </c>
      <c r="S43" s="54">
        <f>IFERROR(__xludf.DUMMYFUNCTION("""COMPUTED_VALUE"""),0.0)</f>
        <v>0</v>
      </c>
      <c r="T43" s="54">
        <f>IFERROR(__xludf.DUMMYFUNCTION("""COMPUTED_VALUE"""),1.0)</f>
        <v>1</v>
      </c>
      <c r="U43" s="54">
        <f>IFERROR(__xludf.DUMMYFUNCTION("""COMPUTED_VALUE"""),1.0)</f>
        <v>1</v>
      </c>
      <c r="V43" s="54">
        <f>IFERROR(__xludf.DUMMYFUNCTION("""COMPUTED_VALUE"""),1.0)</f>
        <v>1</v>
      </c>
      <c r="W43" s="56" t="str">
        <f>IFERROR(__xludf.DUMMYFUNCTION("""COMPUTED_VALUE"""),"Dirección Técnica de Inspección y Vigilancia")</f>
        <v>Dirección Técnica de Inspección y Vigilancia</v>
      </c>
      <c r="X43" s="57" t="str">
        <f>IFERROR(__xludf.DUMMYFUNCTION("""COMPUTED_VALUE"""),"Nelcy Villa")</f>
        <v>Nelcy Villa</v>
      </c>
      <c r="Y43" s="47" t="str">
        <f>IFERROR(__xludf.DUMMYFUNCTION("""COMPUTED_VALUE"""),"Directora técnica de inspección y vigilancia")</f>
        <v>Directora técnica de inspección y vigilancia</v>
      </c>
      <c r="Z43" s="57" t="str">
        <f>IFERROR(__xludf.DUMMYFUNCTION("""COMPUTED_VALUE"""),"nelcy.villa@aunap.gov.co")</f>
        <v>nelcy.villa@aunap.gov.co</v>
      </c>
      <c r="AA43" s="47" t="str">
        <f>IFERROR(__xludf.DUMMYFUNCTION("""COMPUTED_VALUE"""),"Humanos, Físicos, Financieros, Tecnológicos")</f>
        <v>Humanos, Físicos, Financieros, Tecnológicos</v>
      </c>
      <c r="AB43" s="47" t="str">
        <f>IFERROR(__xludf.DUMMYFUNCTION("""COMPUTED_VALUE"""),"No asociado")</f>
        <v>No asociado</v>
      </c>
      <c r="AC4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3" s="47" t="str">
        <f>IFERROR(__xludf.DUMMYFUNCTION("""COMPUTED_VALUE"""),"Gestión con valores para resultados")</f>
        <v>Gestión con valores para resultados</v>
      </c>
      <c r="AE43" s="47" t="str">
        <f>IFERROR(__xludf.DUMMYFUNCTION("""COMPUTED_VALUE"""),"Fortalecimiento Organizacional y Simplificación de Procesos")</f>
        <v>Fortalecimiento Organizacional y Simplificación de Procesos</v>
      </c>
      <c r="AF43" s="47" t="str">
        <f>IFERROR(__xludf.DUMMYFUNCTION("""COMPUTED_VALUE"""),"12. Producción y consumo responsable")</f>
        <v>12. Producción y consumo responsable</v>
      </c>
      <c r="AG43" s="58">
        <f>IFERROR(__xludf.DUMMYFUNCTION("""COMPUTED_VALUE"""),1.0)</f>
        <v>1</v>
      </c>
      <c r="AH43" s="59" t="str">
        <f>IFERROR(__xludf.DUMMYFUNCTION("""COMPUTED_VALUE"""),"se realizó una visita a la Dirección Regional Magangué ")</f>
        <v>se realizó una visita a la Dirección Regional Magangué </v>
      </c>
      <c r="AI43" s="81" t="str">
        <f>IFERROR(__xludf.DUMMYFUNCTION("""COMPUTED_VALUE"""),"https://drive.google.com/drive/u/1/folders/1talNgOubajKwuHUtAYuwVUe9rCVa6TGK")</f>
        <v>https://drive.google.com/drive/u/1/folders/1talNgOubajKwuHUtAYuwVUe9rCVa6TGK</v>
      </c>
      <c r="AJ43" s="60">
        <f>IFERROR(__xludf.DUMMYFUNCTION("""COMPUTED_VALUE"""),44396.0)</f>
        <v>44396</v>
      </c>
      <c r="AK43" s="61" t="str">
        <f>IFERROR(IF((AL43+1)&lt;2,Alertas!$B$2&amp;TEXT(AL43,"0%")&amp;Alertas!$D$2, IF((AL43+1)=2,Alertas!$B$3,IF((AL43+1)&gt;2,Alertas!$B$4&amp;TEXT(AL43,"0%")&amp;Alertas!$D$4,AL43+1))),"Sin meta para el segundo trimestre")</f>
        <v>La ejecución de la meta registrada se encuentra acorde a la meta programada en la formulación del plan de acción para el segundo trimestre</v>
      </c>
      <c r="AL43" s="62">
        <f t="shared" si="2"/>
        <v>1</v>
      </c>
      <c r="AM43" s="61" t="str">
        <f t="shared" si="3"/>
        <v>La ejecución de la meta registrada se encuentra acorde a la meta programada en la formulación del plan de acción para el segundo trimestre.</v>
      </c>
      <c r="AN43" s="63"/>
      <c r="AO43" s="64"/>
      <c r="AP43" s="65"/>
      <c r="AQ43" s="65"/>
      <c r="AR43" s="66"/>
      <c r="AS43" s="67"/>
      <c r="AT43" s="68"/>
      <c r="AU43" s="63"/>
      <c r="AV43" s="64"/>
      <c r="AW43" s="69"/>
      <c r="AX43" s="65"/>
      <c r="AY43" s="70"/>
      <c r="AZ43" s="71"/>
      <c r="BA43" s="72"/>
      <c r="BB43" s="73"/>
      <c r="BC43" s="64"/>
      <c r="BD43" s="69"/>
      <c r="BE43" s="65"/>
      <c r="BF43" s="66"/>
      <c r="BG43" s="71"/>
      <c r="BH43" s="72"/>
      <c r="BI43" s="74"/>
      <c r="BK43" s="5" t="str">
        <f t="shared" si="23"/>
        <v>0</v>
      </c>
      <c r="BM43" s="5"/>
    </row>
    <row r="44" ht="37.5" customHeight="1">
      <c r="A44" s="45"/>
      <c r="B44" s="46">
        <f>IFERROR(__xludf.DUMMYFUNCTION("""COMPUTED_VALUE"""),42.0)</f>
        <v>42</v>
      </c>
      <c r="C44" s="47" t="str">
        <f>IFERROR(__xludf.DUMMYFUNCTION("""COMPUTED_VALUE"""),"Gestión de la inspección y vigilancia")</f>
        <v>Gestión de la inspección y vigilancia</v>
      </c>
      <c r="D44" s="48" t="str">
        <f>IFERROR(__xludf.DUMMYFUNCTION("""COMPUTED_VALUE"""),"Dirección Técnica de Inspección y Vigilancia")</f>
        <v>Dirección Técnica de Inspección y Vigilancia</v>
      </c>
      <c r="E44"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4" s="49">
        <f>IFERROR(__xludf.DUMMYFUNCTION("""COMPUTED_VALUE"""),2.019011000276E12)</f>
        <v>2019011000276</v>
      </c>
      <c r="G44" s="50" t="str">
        <f>IFERROR(__xludf.DUMMYFUNCTION("""COMPUTED_VALUE"""),"Inspección")</f>
        <v>Inspección</v>
      </c>
      <c r="H44" s="48" t="str">
        <f>IFERROR(__xludf.DUMMYFUNCTION("""COMPUTED_VALUE"""),"Fortalecer los mecanismos de seguimiento y control de la actividad pesquera y de la acuicultura.")</f>
        <v>Fortalecer los mecanismos de seguimiento y control de la actividad pesquera y de la acuicultura.</v>
      </c>
      <c r="I44" s="48" t="str">
        <f>IFERROR(__xludf.DUMMYFUNCTION("""COMPUTED_VALUE"""),"Servicio de inspección, vigilancia y control de la pesca y la acuicultura")</f>
        <v>Servicio de inspección, vigilancia y control de la pesca y la acuicultura</v>
      </c>
      <c r="J44" s="48" t="str">
        <f>IFERROR(__xludf.DUMMYFUNCTION("""COMPUTED_VALUE"""),"Participar en la elaboración de las medidas de ordenación y control.")</f>
        <v>Participar en la elaboración de las medidas de ordenación y control.</v>
      </c>
      <c r="K44" s="51" t="str">
        <f>IFERROR(__xludf.DUMMYFUNCTION("""COMPUTED_VALUE"""),"Gestión del área")</f>
        <v>Gestión del área</v>
      </c>
      <c r="L44" s="51" t="str">
        <f>IFERROR(__xludf.DUMMYFUNCTION("""COMPUTED_VALUE"""),"Eficacia")</f>
        <v>Eficacia</v>
      </c>
      <c r="M44" s="51" t="str">
        <f>IFERROR(__xludf.DUMMYFUNCTION("""COMPUTED_VALUE"""),"Número")</f>
        <v>Número</v>
      </c>
      <c r="N44" s="52" t="str">
        <f>IFERROR(__xludf.DUMMYFUNCTION("""COMPUTED_VALUE"""),"Documento propuesta de las cuotas globales de pesca realizados")</f>
        <v>Documento propuesta de las cuotas globales de pesca realizados</v>
      </c>
      <c r="O44" s="53"/>
      <c r="P44" s="54">
        <f>IFERROR(__xludf.DUMMYFUNCTION("""COMPUTED_VALUE"""),1.0)</f>
        <v>1</v>
      </c>
      <c r="Q44" s="55" t="str">
        <f>IFERROR(__xludf.DUMMYFUNCTION("""COMPUTED_VALUE"""),"Elaborar documento propuesta de las cuotas globales de pesca como insumo para la emisión del acto administrativo.")</f>
        <v>Elaborar documento propuesta de las cuotas globales de pesca como insumo para la emisión del acto administrativo.</v>
      </c>
      <c r="R44" s="14" t="str">
        <f>IFERROR(__xludf.DUMMYFUNCTION("""COMPUTED_VALUE"""),"Anual")</f>
        <v>Anual</v>
      </c>
      <c r="S44" s="54">
        <f>IFERROR(__xludf.DUMMYFUNCTION("""COMPUTED_VALUE"""),0.0)</f>
        <v>0</v>
      </c>
      <c r="T44" s="54">
        <f>IFERROR(__xludf.DUMMYFUNCTION("""COMPUTED_VALUE"""),0.0)</f>
        <v>0</v>
      </c>
      <c r="U44" s="54">
        <f>IFERROR(__xludf.DUMMYFUNCTION("""COMPUTED_VALUE"""),1.0)</f>
        <v>1</v>
      </c>
      <c r="V44" s="54">
        <f>IFERROR(__xludf.DUMMYFUNCTION("""COMPUTED_VALUE"""),0.0)</f>
        <v>0</v>
      </c>
      <c r="W44" s="56" t="str">
        <f>IFERROR(__xludf.DUMMYFUNCTION("""COMPUTED_VALUE"""),"Dirección Técnica de Inspección y Vigilancia")</f>
        <v>Dirección Técnica de Inspección y Vigilancia</v>
      </c>
      <c r="X44" s="57" t="str">
        <f>IFERROR(__xludf.DUMMYFUNCTION("""COMPUTED_VALUE"""),"Nelcy Villa")</f>
        <v>Nelcy Villa</v>
      </c>
      <c r="Y44" s="47" t="str">
        <f>IFERROR(__xludf.DUMMYFUNCTION("""COMPUTED_VALUE"""),"Directora técnica de inspección y vigilancia")</f>
        <v>Directora técnica de inspección y vigilancia</v>
      </c>
      <c r="Z44" s="57" t="str">
        <f>IFERROR(__xludf.DUMMYFUNCTION("""COMPUTED_VALUE"""),"nelcy.villa@aunap.gov.co")</f>
        <v>nelcy.villa@aunap.gov.co</v>
      </c>
      <c r="AA44" s="47" t="str">
        <f>IFERROR(__xludf.DUMMYFUNCTION("""COMPUTED_VALUE"""),"Humanos, Físicos, Financieros, Tecnológicos")</f>
        <v>Humanos, Físicos, Financieros, Tecnológicos</v>
      </c>
      <c r="AB44" s="47" t="str">
        <f>IFERROR(__xludf.DUMMYFUNCTION("""COMPUTED_VALUE"""),"No asociado")</f>
        <v>No asociado</v>
      </c>
      <c r="AC4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4" s="47" t="str">
        <f>IFERROR(__xludf.DUMMYFUNCTION("""COMPUTED_VALUE"""),"Gestión con valores para resultados")</f>
        <v>Gestión con valores para resultados</v>
      </c>
      <c r="AE44" s="47" t="str">
        <f>IFERROR(__xludf.DUMMYFUNCTION("""COMPUTED_VALUE"""),"Fortalecimiento Organizacional y Simplificación de Procesos")</f>
        <v>Fortalecimiento Organizacional y Simplificación de Procesos</v>
      </c>
      <c r="AF44" s="47" t="str">
        <f>IFERROR(__xludf.DUMMYFUNCTION("""COMPUTED_VALUE"""),"12. Producción y consumo responsable")</f>
        <v>12. Producción y consumo responsable</v>
      </c>
      <c r="AG44" s="58">
        <f>IFERROR(__xludf.DUMMYFUNCTION("""COMPUTED_VALUE"""),0.0)</f>
        <v>0</v>
      </c>
      <c r="AH44" s="59" t="str">
        <f>IFERROR(__xludf.DUMMYFUNCTION("""COMPUTED_VALUE"""),"No se presentaron metas para este trimestre")</f>
        <v>No se presentaron metas para este trimestre</v>
      </c>
      <c r="AI44" s="59" t="str">
        <f>IFERROR(__xludf.DUMMYFUNCTION("""COMPUTED_VALUE"""),"N/A")</f>
        <v>N/A</v>
      </c>
      <c r="AJ44" s="60">
        <f>IFERROR(__xludf.DUMMYFUNCTION("""COMPUTED_VALUE"""),44396.0)</f>
        <v>44396</v>
      </c>
      <c r="AK44" s="61" t="str">
        <f>IFERROR(IF((AL44+1)&lt;2,Alertas!$B$2&amp;TEXT(AL44,"0%")&amp;Alertas!$D$2, IF((AL44+1)=2,Alertas!$B$3,IF((AL44+1)&gt;2,Alertas!$B$4&amp;TEXT(AL44,"0%")&amp;Alertas!$D$4,AL44+1))),"Sin meta para el segundo trimestre")</f>
        <v>Sin meta para el segundo trimestre</v>
      </c>
      <c r="AL44" s="62" t="str">
        <f t="shared" si="2"/>
        <v>-</v>
      </c>
      <c r="AM44" s="61" t="str">
        <f t="shared" si="3"/>
        <v>Sin meta para el segundo trimestre.</v>
      </c>
      <c r="AN44" s="63"/>
      <c r="AO44" s="64"/>
      <c r="AP44" s="65"/>
      <c r="AQ44" s="65"/>
      <c r="AR44" s="66"/>
      <c r="AS44" s="67"/>
      <c r="AT44" s="68"/>
      <c r="AU44" s="63"/>
      <c r="AV44" s="64"/>
      <c r="AW44" s="69"/>
      <c r="AX44" s="65"/>
      <c r="AY44" s="70"/>
      <c r="AZ44" s="71"/>
      <c r="BA44" s="72"/>
      <c r="BB44" s="73"/>
      <c r="BC44" s="64"/>
      <c r="BD44" s="69"/>
      <c r="BE44" s="65"/>
      <c r="BF44" s="66"/>
      <c r="BG44" s="71"/>
      <c r="BH44" s="72"/>
      <c r="BI44" s="74"/>
      <c r="BK44" s="5" t="str">
        <f t="shared" si="23"/>
        <v>-</v>
      </c>
      <c r="BM44" s="5"/>
    </row>
    <row r="45" ht="37.5" customHeight="1">
      <c r="A45" s="45"/>
      <c r="B45" s="46">
        <f>IFERROR(__xludf.DUMMYFUNCTION("""COMPUTED_VALUE"""),43.0)</f>
        <v>43</v>
      </c>
      <c r="C45" s="47" t="str">
        <f>IFERROR(__xludf.DUMMYFUNCTION("""COMPUTED_VALUE"""),"Gestión de la inspección y vigilancia")</f>
        <v>Gestión de la inspección y vigilancia</v>
      </c>
      <c r="D45" s="48" t="str">
        <f>IFERROR(__xludf.DUMMYFUNCTION("""COMPUTED_VALUE"""),"Dirección Técnica de Inspección y Vigilancia")</f>
        <v>Dirección Técnica de Inspección y Vigilancia</v>
      </c>
      <c r="E4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5" s="49">
        <f>IFERROR(__xludf.DUMMYFUNCTION("""COMPUTED_VALUE"""),2.019011000276E12)</f>
        <v>2019011000276</v>
      </c>
      <c r="G45" s="50" t="str">
        <f>IFERROR(__xludf.DUMMYFUNCTION("""COMPUTED_VALUE"""),"Inspección")</f>
        <v>Inspección</v>
      </c>
      <c r="H45" s="48" t="str">
        <f>IFERROR(__xludf.DUMMYFUNCTION("""COMPUTED_VALUE"""),"Fortalecer los mecanismos de seguimiento y control de la actividad pesquera y de la acuicultura.")</f>
        <v>Fortalecer los mecanismos de seguimiento y control de la actividad pesquera y de la acuicultura.</v>
      </c>
      <c r="I45" s="48" t="str">
        <f>IFERROR(__xludf.DUMMYFUNCTION("""COMPUTED_VALUE"""),"Servicio de inspección, vigilancia y control de la pesca y la acuicultura")</f>
        <v>Servicio de inspección, vigilancia y control de la pesca y la acuicultura</v>
      </c>
      <c r="J45" s="48" t="str">
        <f>IFERROR(__xludf.DUMMYFUNCTION("""COMPUTED_VALUE"""),"Realizar seguimiento y actualización al registro general de pesca.")</f>
        <v>Realizar seguimiento y actualización al registro general de pesca.</v>
      </c>
      <c r="K45" s="51" t="str">
        <f>IFERROR(__xludf.DUMMYFUNCTION("""COMPUTED_VALUE"""),"Gestión del área")</f>
        <v>Gestión del área</v>
      </c>
      <c r="L45" s="51" t="str">
        <f>IFERROR(__xludf.DUMMYFUNCTION("""COMPUTED_VALUE"""),"Eficacia")</f>
        <v>Eficacia</v>
      </c>
      <c r="M45" s="51" t="str">
        <f>IFERROR(__xludf.DUMMYFUNCTION("""COMPUTED_VALUE"""),"Número")</f>
        <v>Número</v>
      </c>
      <c r="N45" s="52" t="str">
        <f>IFERROR(__xludf.DUMMYFUNCTION("""COMPUTED_VALUE"""),"Actualizaciones realizadas a la base de datos del Registro General de Pesca.
")</f>
        <v>Actualizaciones realizadas a la base de datos del Registro General de Pesca.
</v>
      </c>
      <c r="O45" s="53"/>
      <c r="P45" s="54">
        <f>IFERROR(__xludf.DUMMYFUNCTION("""COMPUTED_VALUE"""),12.0)</f>
        <v>12</v>
      </c>
      <c r="Q45" s="55" t="str">
        <f>IFERROR(__xludf.DUMMYFUNCTION("""COMPUTED_VALUE"""),"Actualizar las bases de datos para el seguimiento de los permisionarios en el registro general de pesca - RGP")</f>
        <v>Actualizar las bases de datos para el seguimiento de los permisionarios en el registro general de pesca - RGP</v>
      </c>
      <c r="R45" s="14" t="str">
        <f>IFERROR(__xludf.DUMMYFUNCTION("""COMPUTED_VALUE"""),"Mensual")</f>
        <v>Mensual</v>
      </c>
      <c r="S45" s="54">
        <f>IFERROR(__xludf.DUMMYFUNCTION("""COMPUTED_VALUE"""),3.0)</f>
        <v>3</v>
      </c>
      <c r="T45" s="54">
        <f>IFERROR(__xludf.DUMMYFUNCTION("""COMPUTED_VALUE"""),3.0)</f>
        <v>3</v>
      </c>
      <c r="U45" s="54">
        <f>IFERROR(__xludf.DUMMYFUNCTION("""COMPUTED_VALUE"""),3.0)</f>
        <v>3</v>
      </c>
      <c r="V45" s="54">
        <f>IFERROR(__xludf.DUMMYFUNCTION("""COMPUTED_VALUE"""),3.0)</f>
        <v>3</v>
      </c>
      <c r="W45" s="56" t="str">
        <f>IFERROR(__xludf.DUMMYFUNCTION("""COMPUTED_VALUE"""),"Dirección Técnica de Inspección y Vigilancia")</f>
        <v>Dirección Técnica de Inspección y Vigilancia</v>
      </c>
      <c r="X45" s="57" t="str">
        <f>IFERROR(__xludf.DUMMYFUNCTION("""COMPUTED_VALUE"""),"Nelcy Villa")</f>
        <v>Nelcy Villa</v>
      </c>
      <c r="Y45" s="47" t="str">
        <f>IFERROR(__xludf.DUMMYFUNCTION("""COMPUTED_VALUE"""),"Directora técnica de inspección y vigilancia")</f>
        <v>Directora técnica de inspección y vigilancia</v>
      </c>
      <c r="Z45" s="57" t="str">
        <f>IFERROR(__xludf.DUMMYFUNCTION("""COMPUTED_VALUE"""),"nelcy.villa@aunap.gov.co")</f>
        <v>nelcy.villa@aunap.gov.co</v>
      </c>
      <c r="AA45" s="47" t="str">
        <f>IFERROR(__xludf.DUMMYFUNCTION("""COMPUTED_VALUE"""),"Humanos, Físicos, Financieros, Tecnológicos")</f>
        <v>Humanos, Físicos, Financieros, Tecnológicos</v>
      </c>
      <c r="AB45" s="47" t="str">
        <f>IFERROR(__xludf.DUMMYFUNCTION("""COMPUTED_VALUE"""),"No asociado")</f>
        <v>No asociado</v>
      </c>
      <c r="AC4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5" s="47" t="str">
        <f>IFERROR(__xludf.DUMMYFUNCTION("""COMPUTED_VALUE"""),"Gestión con valores para resultados")</f>
        <v>Gestión con valores para resultados</v>
      </c>
      <c r="AE45" s="47" t="str">
        <f>IFERROR(__xludf.DUMMYFUNCTION("""COMPUTED_VALUE"""),"Fortalecimiento Organizacional y Simplificación de Procesos")</f>
        <v>Fortalecimiento Organizacional y Simplificación de Procesos</v>
      </c>
      <c r="AF45" s="47" t="str">
        <f>IFERROR(__xludf.DUMMYFUNCTION("""COMPUTED_VALUE"""),"12. Producción y consumo responsable")</f>
        <v>12. Producción y consumo responsable</v>
      </c>
      <c r="AG45" s="58">
        <f>IFERROR(__xludf.DUMMYFUNCTION("""COMPUTED_VALUE"""),3.0)</f>
        <v>3</v>
      </c>
      <c r="AH45" s="59" t="str">
        <f>IFERROR(__xludf.DUMMYFUNCTION("""COMPUTED_VALUE"""),"se actualizó la base de datos para el seguimiento de los permisionarios en el registro general de pesca - RGP")</f>
        <v>se actualizó la base de datos para el seguimiento de los permisionarios en el registro general de pesca - RGP</v>
      </c>
      <c r="AI45" s="80" t="str">
        <f>IFERROR(__xludf.DUMMYFUNCTION("""COMPUTED_VALUE"""),"https://drive.google.com/drive/u/1/folders/19pCCLgtnRbtZ15L-ZJumE-RmLwRCTwnF")</f>
        <v>https://drive.google.com/drive/u/1/folders/19pCCLgtnRbtZ15L-ZJumE-RmLwRCTwnF</v>
      </c>
      <c r="AJ45" s="60">
        <f>IFERROR(__xludf.DUMMYFUNCTION("""COMPUTED_VALUE"""),44396.0)</f>
        <v>44396</v>
      </c>
      <c r="AK45" s="61" t="str">
        <f>IFERROR(IF((AL45+1)&lt;2,Alertas!$B$2&amp;TEXT(AL45,"0%")&amp;Alertas!$D$2, IF((AL45+1)=2,Alertas!$B$3,IF((AL45+1)&gt;2,Alertas!$B$4&amp;TEXT(AL45,"0%")&amp;Alertas!$D$4,AL45+1))),"Sin meta para el segundo trimestre")</f>
        <v>La ejecución de la meta registrada se encuentra acorde a la meta programada en la formulación del plan de acción para el segundo trimestre</v>
      </c>
      <c r="AL45" s="62">
        <f t="shared" si="2"/>
        <v>1</v>
      </c>
      <c r="AM45" s="61" t="str">
        <f t="shared" si="3"/>
        <v>La ejecución de la meta registrada se encuentra acorde a la meta programada en la formulación del plan de acción para el segundo trimestre.</v>
      </c>
      <c r="AN45" s="63"/>
      <c r="AO45" s="64"/>
      <c r="AP45" s="65"/>
      <c r="AQ45" s="65"/>
      <c r="AR45" s="66"/>
      <c r="AS45" s="67"/>
      <c r="AT45" s="68"/>
      <c r="AU45" s="63"/>
      <c r="AV45" s="64"/>
      <c r="AW45" s="69"/>
      <c r="AX45" s="65"/>
      <c r="AY45" s="70"/>
      <c r="AZ45" s="71"/>
      <c r="BA45" s="72"/>
      <c r="BB45" s="73"/>
      <c r="BC45" s="64"/>
      <c r="BD45" s="69"/>
      <c r="BE45" s="65"/>
      <c r="BF45" s="66"/>
      <c r="BG45" s="71"/>
      <c r="BH45" s="72"/>
      <c r="BI45" s="74"/>
      <c r="BK45" s="5" t="str">
        <f t="shared" si="23"/>
        <v>0</v>
      </c>
      <c r="BM45" s="5"/>
    </row>
    <row r="46" ht="37.5" customHeight="1">
      <c r="A46" s="45"/>
      <c r="B46" s="46">
        <f>IFERROR(__xludf.DUMMYFUNCTION("""COMPUTED_VALUE"""),44.0)</f>
        <v>44</v>
      </c>
      <c r="C46" s="47" t="str">
        <f>IFERROR(__xludf.DUMMYFUNCTION("""COMPUTED_VALUE"""),"Gestión de la inspección y vigilancia")</f>
        <v>Gestión de la inspección y vigilancia</v>
      </c>
      <c r="D46" s="48" t="str">
        <f>IFERROR(__xludf.DUMMYFUNCTION("""COMPUTED_VALUE"""),"Dirección Técnica de Inspección y Vigilancia")</f>
        <v>Dirección Técnica de Inspección y Vigilancia</v>
      </c>
      <c r="E46" s="48" t="str">
        <f>IFERROR(__xludf.DUMMYFUNCTION("""COMPUTED_VALUE"""),"Fortalecimiento del servicio estadístico pesquero colombiano a nivel nacional")</f>
        <v>Fortalecimiento del servicio estadístico pesquero colombiano a nivel nacional</v>
      </c>
      <c r="F46" s="49">
        <f>IFERROR(__xludf.DUMMYFUNCTION("""COMPUTED_VALUE"""),2.019011000275E12)</f>
        <v>2019011000275</v>
      </c>
      <c r="G46" s="50" t="str">
        <f>IFERROR(__xludf.DUMMYFUNCTION("""COMPUTED_VALUE"""),"Sepec")</f>
        <v>Sepec</v>
      </c>
      <c r="H46" s="48" t="str">
        <f>IFERROR(__xludf.DUMMYFUNCTION("""COMPUTED_VALUE"""),"Fortalecer los mecanismos de recolección y análisis de la información estadística de la actividad pesquera y de la acuicultura.")</f>
        <v>Fortalecer los mecanismos de recolección y análisis de la información estadística de la actividad pesquera y de la acuicultura.</v>
      </c>
      <c r="I46" s="48" t="str">
        <f>IFERROR(__xludf.DUMMYFUNCTION("""COMPUTED_VALUE"""),"_Servicio de análisis de Información para la planificación pesquera y de la acuicultura")</f>
        <v>_Servicio de análisis de Información para la planificación pesquera y de la acuicultura</v>
      </c>
      <c r="J46" s="48" t="str">
        <f>IFERROR(__xludf.DUMMYFUNCTION("""COMPUTED_VALUE"""),"Analizar la información estadística de la pesca y la acuicultura.")</f>
        <v>Analizar la información estadística de la pesca y la acuicultura.</v>
      </c>
      <c r="K46" s="51" t="str">
        <f>IFERROR(__xludf.DUMMYFUNCTION("""COMPUTED_VALUE"""),"Producto")</f>
        <v>Producto</v>
      </c>
      <c r="L46" s="51" t="str">
        <f>IFERROR(__xludf.DUMMYFUNCTION("""COMPUTED_VALUE"""),"Eficacia")</f>
        <v>Eficacia</v>
      </c>
      <c r="M46" s="51" t="str">
        <f>IFERROR(__xludf.DUMMYFUNCTION("""COMPUTED_VALUE"""),"Número")</f>
        <v>Número</v>
      </c>
      <c r="N46" s="52" t="str">
        <f>IFERROR(__xludf.DUMMYFUNCTION("""COMPUTED_VALUE"""),"Análisis generados")</f>
        <v>Análisis generados</v>
      </c>
      <c r="O46" s="53">
        <f>IFERROR(__xludf.DUMMYFUNCTION("""COMPUTED_VALUE"""),3.0)</f>
        <v>3</v>
      </c>
      <c r="P46" s="54">
        <f>IFERROR(__xludf.DUMMYFUNCTION("""COMPUTED_VALUE"""),5.0)</f>
        <v>5</v>
      </c>
      <c r="Q46" s="55" t="str">
        <f>IFERROR(__xludf.DUMMYFUNCTION("""COMPUTED_VALUE"""),"Realizar el seguimiento de la actualización a las bases de datos, análisis generados de los componentes del Servicio Estadístico Pesquero Colombiano - SEPEC")</f>
        <v>Realizar el seguimiento de la actualización a las bases de datos, análisis generados de los componentes del Servicio Estadístico Pesquero Colombiano - SEPEC</v>
      </c>
      <c r="R46" s="14" t="str">
        <f>IFERROR(__xludf.DUMMYFUNCTION("""COMPUTED_VALUE"""),"Bimestral")</f>
        <v>Bimestral</v>
      </c>
      <c r="S46" s="54">
        <f>IFERROR(__xludf.DUMMYFUNCTION("""COMPUTED_VALUE"""),1.0)</f>
        <v>1</v>
      </c>
      <c r="T46" s="54">
        <f>IFERROR(__xludf.DUMMYFUNCTION("""COMPUTED_VALUE"""),1.0)</f>
        <v>1</v>
      </c>
      <c r="U46" s="54">
        <f>IFERROR(__xludf.DUMMYFUNCTION("""COMPUTED_VALUE"""),2.0)</f>
        <v>2</v>
      </c>
      <c r="V46" s="54">
        <f>IFERROR(__xludf.DUMMYFUNCTION("""COMPUTED_VALUE"""),1.0)</f>
        <v>1</v>
      </c>
      <c r="W46" s="56" t="str">
        <f>IFERROR(__xludf.DUMMYFUNCTION("""COMPUTED_VALUE"""),"Dirección Técnica de Inspección y Vigilancia")</f>
        <v>Dirección Técnica de Inspección y Vigilancia</v>
      </c>
      <c r="X46" s="57" t="str">
        <f>IFERROR(__xludf.DUMMYFUNCTION("""COMPUTED_VALUE"""),"Nelcy Villa")</f>
        <v>Nelcy Villa</v>
      </c>
      <c r="Y46" s="47" t="str">
        <f>IFERROR(__xludf.DUMMYFUNCTION("""COMPUTED_VALUE"""),"Directora técnica de inspección y vigilancia")</f>
        <v>Directora técnica de inspección y vigilancia</v>
      </c>
      <c r="Z46" s="57" t="str">
        <f>IFERROR(__xludf.DUMMYFUNCTION("""COMPUTED_VALUE"""),"nelcy.villa@aunap.gov.co")</f>
        <v>nelcy.villa@aunap.gov.co</v>
      </c>
      <c r="AA46" s="47" t="str">
        <f>IFERROR(__xludf.DUMMYFUNCTION("""COMPUTED_VALUE"""),"Humanos, Físicos, Financieros, Tecnológicos")</f>
        <v>Humanos, Físicos, Financieros, Tecnológicos</v>
      </c>
      <c r="AB46" s="47" t="str">
        <f>IFERROR(__xludf.DUMMYFUNCTION("""COMPUTED_VALUE"""),"No asociado")</f>
        <v>No asociado</v>
      </c>
      <c r="AC4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6" s="47" t="str">
        <f>IFERROR(__xludf.DUMMYFUNCTION("""COMPUTED_VALUE"""),"Gestión con valores para resultados")</f>
        <v>Gestión con valores para resultados</v>
      </c>
      <c r="AE46" s="47" t="str">
        <f>IFERROR(__xludf.DUMMYFUNCTION("""COMPUTED_VALUE"""),"Fortalecimiento Organizacional y Simplificación de Procesos")</f>
        <v>Fortalecimiento Organizacional y Simplificación de Procesos</v>
      </c>
      <c r="AF46" s="47" t="str">
        <f>IFERROR(__xludf.DUMMYFUNCTION("""COMPUTED_VALUE"""),"12. Producción y consumo responsable")</f>
        <v>12. Producción y consumo responsable</v>
      </c>
      <c r="AG46" s="58">
        <f>IFERROR(__xludf.DUMMYFUNCTION("""COMPUTED_VALUE"""),1.0)</f>
        <v>1</v>
      </c>
      <c r="AH46" s="59" t="str">
        <f>IFERROR(__xludf.DUMMYFUNCTION("""COMPUTED_VALUE"""),"se realizó seguimiento de la actualización a las bases de datos, análisis generados de los componentes del Servicio Estadístico Pesquero Colombiano - SEPEC")</f>
        <v>se realizó seguimiento de la actualización a las bases de datos, análisis generados de los componentes del Servicio Estadístico Pesquero Colombiano - SEPEC</v>
      </c>
      <c r="AI46" s="81" t="str">
        <f>IFERROR(__xludf.DUMMYFUNCTION("""COMPUTED_VALUE"""),"https://drive.google.com/drive/u/1/folders/1fCg_caOR48Rxu54XDTZgbyi9lWjqEXPa")</f>
        <v>https://drive.google.com/drive/u/1/folders/1fCg_caOR48Rxu54XDTZgbyi9lWjqEXPa</v>
      </c>
      <c r="AJ46" s="60">
        <f>IFERROR(__xludf.DUMMYFUNCTION("""COMPUTED_VALUE"""),44396.0)</f>
        <v>44396</v>
      </c>
      <c r="AK46" s="61" t="str">
        <f>IFERROR(IF((AL46+1)&lt;2,Alertas!$B$2&amp;TEXT(AL46,"0%")&amp;Alertas!$D$2, IF((AL46+1)=2,Alertas!$B$3,IF((AL46+1)&gt;2,Alertas!$B$4&amp;TEXT(AL46,"0%")&amp;Alertas!$D$4,AL46+1))),"Sin meta para el segundo trimestre")</f>
        <v>La ejecución de la meta registrada se encuentra acorde a la meta programada en la formulación del plan de acción para el segundo trimestre</v>
      </c>
      <c r="AL46" s="62">
        <f t="shared" si="2"/>
        <v>1</v>
      </c>
      <c r="AM46" s="61" t="str">
        <f t="shared" si="3"/>
        <v>La ejecución de la meta registrada se encuentra acorde a la meta programada en la formulación del plan de acción para el segundo trimestre.</v>
      </c>
      <c r="AN46" s="63"/>
      <c r="AO46" s="64"/>
      <c r="AP46" s="65"/>
      <c r="AQ46" s="65"/>
      <c r="AR46" s="66"/>
      <c r="AS46" s="67"/>
      <c r="AT46" s="68"/>
      <c r="AU46" s="63"/>
      <c r="AV46" s="64"/>
      <c r="AW46" s="69"/>
      <c r="AX46" s="65"/>
      <c r="AY46" s="70"/>
      <c r="AZ46" s="71"/>
      <c r="BA46" s="72"/>
      <c r="BB46" s="73"/>
      <c r="BC46" s="64"/>
      <c r="BD46" s="69"/>
      <c r="BE46" s="65"/>
      <c r="BF46" s="66"/>
      <c r="BG46" s="71"/>
      <c r="BH46" s="72"/>
      <c r="BI46" s="74"/>
      <c r="BK46" s="5" t="str">
        <f t="shared" si="23"/>
        <v>0</v>
      </c>
      <c r="BM46" s="5"/>
    </row>
    <row r="47" ht="37.5" customHeight="1">
      <c r="A47" s="45"/>
      <c r="B47" s="46">
        <f>IFERROR(__xludf.DUMMYFUNCTION("""COMPUTED_VALUE"""),45.0)</f>
        <v>45</v>
      </c>
      <c r="C47" s="47" t="str">
        <f>IFERROR(__xludf.DUMMYFUNCTION("""COMPUTED_VALUE"""),"Gestión de la inspección y vigilancia")</f>
        <v>Gestión de la inspección y vigilancia</v>
      </c>
      <c r="D47" s="48" t="str">
        <f>IFERROR(__xludf.DUMMYFUNCTION("""COMPUTED_VALUE"""),"Dirección Técnica de Inspección y Vigilancia")</f>
        <v>Dirección Técnica de Inspección y Vigilancia</v>
      </c>
      <c r="E47"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7" s="49">
        <f>IFERROR(__xludf.DUMMYFUNCTION("""COMPUTED_VALUE"""),2.019011000276E12)</f>
        <v>2019011000276</v>
      </c>
      <c r="G47" s="50" t="str">
        <f>IFERROR(__xludf.DUMMYFUNCTION("""COMPUTED_VALUE"""),"Inspección")</f>
        <v>Inspección</v>
      </c>
      <c r="H47" s="48" t="str">
        <f>IFERROR(__xludf.DUMMYFUNCTION("""COMPUTED_VALUE"""),"Fortalecer los mecanismos de seguimiento y control de la actividad pesquera y de la acuicultura.")</f>
        <v>Fortalecer los mecanismos de seguimiento y control de la actividad pesquera y de la acuicultura.</v>
      </c>
      <c r="I47" s="48" t="str">
        <f>IFERROR(__xludf.DUMMYFUNCTION("""COMPUTED_VALUE"""),"Servicio de inspección, vigilancia y control de la pesca y la acuicultura")</f>
        <v>Servicio de inspección, vigilancia y control de la pesca y la acuicultura</v>
      </c>
      <c r="J47" s="48" t="str">
        <f>IFERROR(__xludf.DUMMYFUNCTION("""COMPUTED_VALUE"""),"Realizar seguimiento a los procesos y procedimientos del área.")</f>
        <v>Realizar seguimiento a los procesos y procedimientos del área.</v>
      </c>
      <c r="K47" s="51" t="str">
        <f>IFERROR(__xludf.DUMMYFUNCTION("""COMPUTED_VALUE"""),"Gestión del área")</f>
        <v>Gestión del área</v>
      </c>
      <c r="L47" s="51" t="str">
        <f>IFERROR(__xludf.DUMMYFUNCTION("""COMPUTED_VALUE"""),"Eficacia")</f>
        <v>Eficacia</v>
      </c>
      <c r="M47" s="51" t="str">
        <f>IFERROR(__xludf.DUMMYFUNCTION("""COMPUTED_VALUE"""),"Número")</f>
        <v>Número</v>
      </c>
      <c r="N47" s="52" t="str">
        <f>IFERROR(__xludf.DUMMYFUNCTION("""COMPUTED_VALUE"""),"Informes reportados a la oficina de comunicaciones sobre los operativos de inspección, vigilancia y control realizados.")</f>
        <v>Informes reportados a la oficina de comunicaciones sobre los operativos de inspección, vigilancia y control realizados.</v>
      </c>
      <c r="O47" s="53"/>
      <c r="P47" s="54">
        <f>IFERROR(__xludf.DUMMYFUNCTION("""COMPUTED_VALUE"""),8.0)</f>
        <v>8</v>
      </c>
      <c r="Q47" s="55" t="str">
        <f>IFERROR(__xludf.DUMMYFUNCTION("""COMPUTED_VALUE"""),"Reportar la información de los operativos de inspección, vigilancia y control realizados para su divulgacion.")</f>
        <v>Reportar la información de los operativos de inspección, vigilancia y control realizados para su divulgacion.</v>
      </c>
      <c r="R47" s="14" t="str">
        <f>IFERROR(__xludf.DUMMYFUNCTION("""COMPUTED_VALUE"""),"Mensual")</f>
        <v>Mensual</v>
      </c>
      <c r="S47" s="54">
        <f>IFERROR(__xludf.DUMMYFUNCTION("""COMPUTED_VALUE"""),1.0)</f>
        <v>1</v>
      </c>
      <c r="T47" s="54">
        <f>IFERROR(__xludf.DUMMYFUNCTION("""COMPUTED_VALUE"""),0.0)</f>
        <v>0</v>
      </c>
      <c r="U47" s="54">
        <f>IFERROR(__xludf.DUMMYFUNCTION("""COMPUTED_VALUE"""),4.0)</f>
        <v>4</v>
      </c>
      <c r="V47" s="54">
        <f>IFERROR(__xludf.DUMMYFUNCTION("""COMPUTED_VALUE"""),3.0)</f>
        <v>3</v>
      </c>
      <c r="W47" s="56" t="str">
        <f>IFERROR(__xludf.DUMMYFUNCTION("""COMPUTED_VALUE"""),"Dirección Técnica de Inspección y Vigilancia")</f>
        <v>Dirección Técnica de Inspección y Vigilancia</v>
      </c>
      <c r="X47" s="57" t="str">
        <f>IFERROR(__xludf.DUMMYFUNCTION("""COMPUTED_VALUE"""),"Nelcy Villa")</f>
        <v>Nelcy Villa</v>
      </c>
      <c r="Y47" s="47" t="str">
        <f>IFERROR(__xludf.DUMMYFUNCTION("""COMPUTED_VALUE"""),"Directora técnica de inspección y vigilancia")</f>
        <v>Directora técnica de inspección y vigilancia</v>
      </c>
      <c r="Z47" s="57" t="str">
        <f>IFERROR(__xludf.DUMMYFUNCTION("""COMPUTED_VALUE"""),"nelcy.villa@aunap.gov.co")</f>
        <v>nelcy.villa@aunap.gov.co</v>
      </c>
      <c r="AA47" s="47" t="str">
        <f>IFERROR(__xludf.DUMMYFUNCTION("""COMPUTED_VALUE"""),"Humanos, Físicos, Financieros, Tecnológicos")</f>
        <v>Humanos, Físicos, Financieros, Tecnológicos</v>
      </c>
      <c r="AB47" s="47" t="str">
        <f>IFERROR(__xludf.DUMMYFUNCTION("""COMPUTED_VALUE"""),"No asociado")</f>
        <v>No asociado</v>
      </c>
      <c r="AC4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7" s="47" t="str">
        <f>IFERROR(__xludf.DUMMYFUNCTION("""COMPUTED_VALUE"""),"Gestión con valores para resultados")</f>
        <v>Gestión con valores para resultados</v>
      </c>
      <c r="AE47" s="47" t="str">
        <f>IFERROR(__xludf.DUMMYFUNCTION("""COMPUTED_VALUE"""),"Fortalecimiento Organizacional y Simplificación de Procesos")</f>
        <v>Fortalecimiento Organizacional y Simplificación de Procesos</v>
      </c>
      <c r="AF47" s="47" t="str">
        <f>IFERROR(__xludf.DUMMYFUNCTION("""COMPUTED_VALUE"""),"12. Producción y consumo responsable")</f>
        <v>12. Producción y consumo responsable</v>
      </c>
      <c r="AG47" s="58">
        <f>IFERROR(__xludf.DUMMYFUNCTION("""COMPUTED_VALUE"""),0.0)</f>
        <v>0</v>
      </c>
      <c r="AH47" s="59" t="str">
        <f>IFERROR(__xludf.DUMMYFUNCTION("""COMPUTED_VALUE"""),"No se presentaron metas para este trimestre")</f>
        <v>No se presentaron metas para este trimestre</v>
      </c>
      <c r="AI47" s="59" t="str">
        <f>IFERROR(__xludf.DUMMYFUNCTION("""COMPUTED_VALUE"""),"N/A")</f>
        <v>N/A</v>
      </c>
      <c r="AJ47" s="60">
        <f>IFERROR(__xludf.DUMMYFUNCTION("""COMPUTED_VALUE"""),44396.0)</f>
        <v>44396</v>
      </c>
      <c r="AK47" s="61" t="str">
        <f>IFERROR(IF((AL47+1)&lt;2,Alertas!$B$2&amp;TEXT(AL47,"0%")&amp;Alertas!$D$2, IF((AL47+1)=2,Alertas!$B$3,IF((AL47+1)&gt;2,Alertas!$B$4&amp;TEXT(AL47,"0%")&amp;Alertas!$D$4,AL47+1))),"Sin meta para el segundo trimestre")</f>
        <v>Sin meta para el segundo trimestre</v>
      </c>
      <c r="AL47" s="62" t="str">
        <f t="shared" si="2"/>
        <v>-</v>
      </c>
      <c r="AM47" s="61" t="str">
        <f t="shared" si="3"/>
        <v>Sin meta para el segundo trimestre.</v>
      </c>
      <c r="AN47" s="63"/>
      <c r="AO47" s="64"/>
      <c r="AP47" s="65"/>
      <c r="AQ47" s="65"/>
      <c r="AR47" s="66"/>
      <c r="AS47" s="67"/>
      <c r="AT47" s="68"/>
      <c r="AU47" s="63"/>
      <c r="AV47" s="64"/>
      <c r="AW47" s="69"/>
      <c r="AX47" s="65"/>
      <c r="AY47" s="70"/>
      <c r="AZ47" s="71"/>
      <c r="BA47" s="72"/>
      <c r="BB47" s="73"/>
      <c r="BC47" s="64"/>
      <c r="BD47" s="69"/>
      <c r="BE47" s="65"/>
      <c r="BF47" s="66"/>
      <c r="BG47" s="71"/>
      <c r="BH47" s="72"/>
      <c r="BI47" s="74"/>
      <c r="BK47" s="5" t="str">
        <f t="shared" si="23"/>
        <v>-</v>
      </c>
      <c r="BM47" s="5"/>
    </row>
    <row r="48" ht="37.5" customHeight="1">
      <c r="A48" s="45"/>
      <c r="B48" s="46">
        <f>IFERROR(__xludf.DUMMYFUNCTION("""COMPUTED_VALUE"""),46.0)</f>
        <v>46</v>
      </c>
      <c r="C48" s="47" t="str">
        <f>IFERROR(__xludf.DUMMYFUNCTION("""COMPUTED_VALUE"""),"Gestión financiera")</f>
        <v>Gestión financiera</v>
      </c>
      <c r="D48" s="48" t="str">
        <f>IFERROR(__xludf.DUMMYFUNCTION("""COMPUTED_VALUE"""),"Financiera")</f>
        <v>Financiera</v>
      </c>
      <c r="E48" s="48" t="str">
        <f>IFERROR(__xludf.DUMMYFUNCTION("""COMPUTED_VALUE"""),"Fortalecimiento de la capacidad de gestión de la autoridad nacional de acuicultura y pesca - aunap nacional")</f>
        <v>Fortalecimiento de la capacidad de gestión de la autoridad nacional de acuicultura y pesca - aunap nacional</v>
      </c>
      <c r="F48" s="49">
        <f>IFERROR(__xludf.DUMMYFUNCTION("""COMPUTED_VALUE"""),2.018011000241E12)</f>
        <v>2018011000241</v>
      </c>
      <c r="G48" s="50" t="str">
        <f>IFERROR(__xludf.DUMMYFUNCTION("""COMPUTED_VALUE"""),"Fortalecimiento")</f>
        <v>Fortalecimiento</v>
      </c>
      <c r="H48" s="48" t="str">
        <f>IFERROR(__xludf.DUMMYFUNCTION("""COMPUTED_VALUE"""),"Fortalecer los sistemas de gestión de la Entidad")</f>
        <v>Fortalecer los sistemas de gestión de la Entidad</v>
      </c>
      <c r="I48" s="48" t="str">
        <f>IFERROR(__xludf.DUMMYFUNCTION("""COMPUTED_VALUE"""),"Servicio de Implementación Sistemas de Gestión")</f>
        <v>Servicio de Implementación Sistemas de Gestión</v>
      </c>
      <c r="J4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48" s="51" t="str">
        <f>IFERROR(__xludf.DUMMYFUNCTION("""COMPUTED_VALUE"""),"Gestión del área")</f>
        <v>Gestión del área</v>
      </c>
      <c r="L48" s="51" t="str">
        <f>IFERROR(__xludf.DUMMYFUNCTION("""COMPUTED_VALUE"""),"Eficacia")</f>
        <v>Eficacia</v>
      </c>
      <c r="M48" s="51" t="str">
        <f>IFERROR(__xludf.DUMMYFUNCTION("""COMPUTED_VALUE"""),"Número")</f>
        <v>Número</v>
      </c>
      <c r="N48" s="52" t="str">
        <f>IFERROR(__xludf.DUMMYFUNCTION("""COMPUTED_VALUE"""),"Número de estados financieros elaborados, presentados, transmitidos y publicados/Número de Estados financieros programados para elaboración, presentación, transmición y publicación")</f>
        <v>Número de estados financieros elaborados, presentados, transmitidos y publicados/Número de Estados financieros programados para elaboración, presentación, transmición y publicación</v>
      </c>
      <c r="O48" s="53"/>
      <c r="P48" s="54">
        <f>IFERROR(__xludf.DUMMYFUNCTION("""COMPUTED_VALUE"""),12.0)</f>
        <v>12</v>
      </c>
      <c r="Q48" s="55" t="str">
        <f>IFERROR(__xludf.DUMMYFUNCTION("""COMPUTED_VALUE"""),"Elaboración, presentación, transmisión y publicación de estados financieros con la periodicidad requerida, de conformidad con el nuevo Marco Normativo y Conceptual para Entidades de Gobierno, entes de control o terceros que lo requieran. Será publicado en"&amp;" pagina web. (Publicaciones)")</f>
        <v>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v>
      </c>
      <c r="R48" s="14" t="str">
        <f>IFERROR(__xludf.DUMMYFUNCTION("""COMPUTED_VALUE"""),"Mensual")</f>
        <v>Mensual</v>
      </c>
      <c r="S48" s="54">
        <f>IFERROR(__xludf.DUMMYFUNCTION("""COMPUTED_VALUE"""),3.0)</f>
        <v>3</v>
      </c>
      <c r="T48" s="54">
        <f>IFERROR(__xludf.DUMMYFUNCTION("""COMPUTED_VALUE"""),3.0)</f>
        <v>3</v>
      </c>
      <c r="U48" s="54">
        <f>IFERROR(__xludf.DUMMYFUNCTION("""COMPUTED_VALUE"""),3.0)</f>
        <v>3</v>
      </c>
      <c r="V48" s="54">
        <f>IFERROR(__xludf.DUMMYFUNCTION("""COMPUTED_VALUE"""),3.0)</f>
        <v>3</v>
      </c>
      <c r="W48" s="56" t="str">
        <f>IFERROR(__xludf.DUMMYFUNCTION("""COMPUTED_VALUE"""),"Financiera")</f>
        <v>Financiera</v>
      </c>
      <c r="X48" s="57" t="str">
        <f>IFERROR(__xludf.DUMMYFUNCTION("""COMPUTED_VALUE"""),"Sharol Natalia Mora")</f>
        <v>Sharol Natalia Mora</v>
      </c>
      <c r="Y48" s="47" t="str">
        <f>IFERROR(__xludf.DUMMYFUNCTION("""COMPUTED_VALUE"""),"Coordinador Financiero")</f>
        <v>Coordinador Financiero</v>
      </c>
      <c r="Z48" s="57" t="str">
        <f>IFERROR(__xludf.DUMMYFUNCTION("""COMPUTED_VALUE"""),"natalia.mora@aunap.gov.co")</f>
        <v>natalia.mora@aunap.gov.co</v>
      </c>
      <c r="AA48" s="47" t="str">
        <f>IFERROR(__xludf.DUMMYFUNCTION("""COMPUTED_VALUE"""),"Humanos, Físicos, Financieros, Tecnológicos")</f>
        <v>Humanos, Físicos, Financieros, Tecnológicos</v>
      </c>
      <c r="AB48" s="47" t="str">
        <f>IFERROR(__xludf.DUMMYFUNCTION("""COMPUTED_VALUE"""),"Plan Anticorrupción y de Atención al Ciudadano - PAAC")</f>
        <v>Plan Anticorrupción y de Atención al Ciudadano - PAAC</v>
      </c>
      <c r="AC48" s="47" t="str">
        <f>IFERROR(__xludf.DUMMYFUNCTION("""COMPUTED_VALUE"""),"Llegar con actividades de pesca y acuicultura a todas las regiones")</f>
        <v>Llegar con actividades de pesca y acuicultura a todas las regiones</v>
      </c>
      <c r="AD48" s="47" t="str">
        <f>IFERROR(__xludf.DUMMYFUNCTION("""COMPUTED_VALUE"""),"Información y comunicación")</f>
        <v>Información y comunicación</v>
      </c>
      <c r="AE48" s="47" t="str">
        <f>IFERROR(__xludf.DUMMYFUNCTION("""COMPUTED_VALUE"""),"Transparencia, acceso a la información pública y lucha contra la corrupción")</f>
        <v>Transparencia, acceso a la información pública y lucha contra la corrupción</v>
      </c>
      <c r="AF48" s="47" t="str">
        <f>IFERROR(__xludf.DUMMYFUNCTION("""COMPUTED_VALUE"""),"16. Paz, justicia e instituciones sólidas")</f>
        <v>16. Paz, justicia e instituciones sólidas</v>
      </c>
      <c r="AG48" s="58">
        <f>IFERROR(__xludf.DUMMYFUNCTION("""COMPUTED_VALUE"""),3.0)</f>
        <v>3</v>
      </c>
      <c r="AH48" s="59" t="str">
        <f>IFERROR(__xludf.DUMMYFUNCTION("""COMPUTED_VALUE"""),"Se cumplió con el avance de la actividad de acuerdo al tiempo establecido y la normatividad vigente. ")</f>
        <v>Se cumplió con el avance de la actividad de acuerdo al tiempo establecido y la normatividad vigente. </v>
      </c>
      <c r="AI48" s="81" t="str">
        <f>IFERROR(__xludf.DUMMYFUNCTION("""COMPUTED_VALUE"""),"https://www.aunap.gov.co/index.php/secretraria-general/financiera#estados-financieros")</f>
        <v>https://www.aunap.gov.co/index.php/secretraria-general/financiera#estados-financieros</v>
      </c>
      <c r="AJ48" s="60">
        <f>IFERROR(__xludf.DUMMYFUNCTION("""COMPUTED_VALUE"""),44396.0)</f>
        <v>44396</v>
      </c>
      <c r="AK48" s="61" t="str">
        <f>IFERROR(IF((AL48+1)&lt;2,Alertas!$B$2&amp;TEXT(AL48,"0%")&amp;Alertas!$D$2, IF((AL48+1)=2,Alertas!$B$3,IF((AL48+1)&gt;2,Alertas!$B$4&amp;TEXT(AL48,"0%")&amp;Alertas!$D$4,AL48+1))),"Sin meta para el segundo trimestre")</f>
        <v>La ejecución de la meta registrada se encuentra acorde a la meta programada en la formulación del plan de acción para el segundo trimestre</v>
      </c>
      <c r="AL48" s="62">
        <f t="shared" si="2"/>
        <v>1</v>
      </c>
      <c r="AM48" s="61" t="str">
        <f t="shared" si="3"/>
        <v>La ejecución de la meta registrada se encuentra acorde a la meta programada en la formulación del plan de acción para el segundo trimestre.</v>
      </c>
      <c r="AN48" s="63"/>
      <c r="AO48" s="64"/>
      <c r="AP48" s="65"/>
      <c r="AQ48" s="65"/>
      <c r="AR48" s="66"/>
      <c r="AS48" s="67"/>
      <c r="AT48" s="68"/>
      <c r="AU48" s="63"/>
      <c r="AV48" s="64"/>
      <c r="AW48" s="69"/>
      <c r="AX48" s="65"/>
      <c r="AY48" s="70"/>
      <c r="AZ48" s="71"/>
      <c r="BA48" s="72"/>
      <c r="BB48" s="73"/>
      <c r="BC48" s="64"/>
      <c r="BD48" s="69"/>
      <c r="BE48" s="65"/>
      <c r="BF48" s="66"/>
      <c r="BG48" s="71"/>
      <c r="BH48" s="72"/>
      <c r="BI48" s="74"/>
      <c r="BK48" s="5" t="str">
        <f t="shared" si="23"/>
        <v>0</v>
      </c>
      <c r="BM48" s="5"/>
    </row>
    <row r="49" ht="37.5" customHeight="1">
      <c r="A49" s="45"/>
      <c r="B49" s="46">
        <f>IFERROR(__xludf.DUMMYFUNCTION("""COMPUTED_VALUE"""),47.0)</f>
        <v>47</v>
      </c>
      <c r="C49" s="47" t="str">
        <f>IFERROR(__xludf.DUMMYFUNCTION("""COMPUTED_VALUE"""),"Gestión financiera")</f>
        <v>Gestión financiera</v>
      </c>
      <c r="D49" s="48" t="str">
        <f>IFERROR(__xludf.DUMMYFUNCTION("""COMPUTED_VALUE"""),"Financiera")</f>
        <v>Financiera</v>
      </c>
      <c r="E49" s="48" t="str">
        <f>IFERROR(__xludf.DUMMYFUNCTION("""COMPUTED_VALUE"""),"Fortalecimiento de la capacidad de gestión de la autoridad nacional de acuicultura y pesca - aunap nacional")</f>
        <v>Fortalecimiento de la capacidad de gestión de la autoridad nacional de acuicultura y pesca - aunap nacional</v>
      </c>
      <c r="F49" s="49">
        <f>IFERROR(__xludf.DUMMYFUNCTION("""COMPUTED_VALUE"""),2.018011000241E12)</f>
        <v>2018011000241</v>
      </c>
      <c r="G49" s="50" t="str">
        <f>IFERROR(__xludf.DUMMYFUNCTION("""COMPUTED_VALUE"""),"Fortalecimiento")</f>
        <v>Fortalecimiento</v>
      </c>
      <c r="H49" s="48" t="str">
        <f>IFERROR(__xludf.DUMMYFUNCTION("""COMPUTED_VALUE"""),"Fortalecer los sistemas de gestión de la Entidad")</f>
        <v>Fortalecer los sistemas de gestión de la Entidad</v>
      </c>
      <c r="I49" s="48" t="str">
        <f>IFERROR(__xludf.DUMMYFUNCTION("""COMPUTED_VALUE"""),"Servicio de Implementación Sistemas de Gestión")</f>
        <v>Servicio de Implementación Sistemas de Gestión</v>
      </c>
      <c r="J4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49" s="51" t="str">
        <f>IFERROR(__xludf.DUMMYFUNCTION("""COMPUTED_VALUE"""),"Gestión del área")</f>
        <v>Gestión del área</v>
      </c>
      <c r="L49" s="51" t="str">
        <f>IFERROR(__xludf.DUMMYFUNCTION("""COMPUTED_VALUE"""),"Eficacia")</f>
        <v>Eficacia</v>
      </c>
      <c r="M49" s="51" t="str">
        <f>IFERROR(__xludf.DUMMYFUNCTION("""COMPUTED_VALUE"""),"Número")</f>
        <v>Número</v>
      </c>
      <c r="N49" s="52" t="str">
        <f>IFERROR(__xludf.DUMMYFUNCTION("""COMPUTED_VALUE"""),"Número de publicaciones  de estados financieros realizadas")</f>
        <v>Número de publicaciones  de estados financieros realizadas</v>
      </c>
      <c r="O49" s="53"/>
      <c r="P49" s="54">
        <f>IFERROR(__xludf.DUMMYFUNCTION("""COMPUTED_VALUE"""),12.0)</f>
        <v>12</v>
      </c>
      <c r="Q49" s="55" t="str">
        <f>IFERROR(__xludf.DUMMYFUNCTION("""COMPUTED_VALUE"""),"Elaboración, presentación, transmisión y publicación de estados financieros con la periodicidad requerida, de conformidad con el nuevo Marco Normativo y Conceptual para Entidades de Gobierno, entes de control o terceros que lo requieran. Será publicado en"&amp;" pagina web. (Publicaciones)")</f>
        <v>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v>
      </c>
      <c r="R49" s="14" t="str">
        <f>IFERROR(__xludf.DUMMYFUNCTION("""COMPUTED_VALUE"""),"Mensual")</f>
        <v>Mensual</v>
      </c>
      <c r="S49" s="54">
        <f>IFERROR(__xludf.DUMMYFUNCTION("""COMPUTED_VALUE"""),3.0)</f>
        <v>3</v>
      </c>
      <c r="T49" s="54">
        <f>IFERROR(__xludf.DUMMYFUNCTION("""COMPUTED_VALUE"""),3.0)</f>
        <v>3</v>
      </c>
      <c r="U49" s="54">
        <f>IFERROR(__xludf.DUMMYFUNCTION("""COMPUTED_VALUE"""),3.0)</f>
        <v>3</v>
      </c>
      <c r="V49" s="54">
        <f>IFERROR(__xludf.DUMMYFUNCTION("""COMPUTED_VALUE"""),3.0)</f>
        <v>3</v>
      </c>
      <c r="W49" s="56" t="str">
        <f>IFERROR(__xludf.DUMMYFUNCTION("""COMPUTED_VALUE"""),"Financiera")</f>
        <v>Financiera</v>
      </c>
      <c r="X49" s="57" t="str">
        <f>IFERROR(__xludf.DUMMYFUNCTION("""COMPUTED_VALUE"""),"Sharol Natalia Mora")</f>
        <v>Sharol Natalia Mora</v>
      </c>
      <c r="Y49" s="47" t="str">
        <f>IFERROR(__xludf.DUMMYFUNCTION("""COMPUTED_VALUE"""),"Coordinador Financiero")</f>
        <v>Coordinador Financiero</v>
      </c>
      <c r="Z49" s="57" t="str">
        <f>IFERROR(__xludf.DUMMYFUNCTION("""COMPUTED_VALUE"""),"natalia.mora@aunap.gov.co")</f>
        <v>natalia.mora@aunap.gov.co</v>
      </c>
      <c r="AA49" s="47" t="str">
        <f>IFERROR(__xludf.DUMMYFUNCTION("""COMPUTED_VALUE"""),"Humanos, Físicos, Financieros, Tecnológicos")</f>
        <v>Humanos, Físicos, Financieros, Tecnológicos</v>
      </c>
      <c r="AB49" s="47" t="str">
        <f>IFERROR(__xludf.DUMMYFUNCTION("""COMPUTED_VALUE"""),"Plan Anticorrupción y de Atención al Ciudadano - PAAC")</f>
        <v>Plan Anticorrupción y de Atención al Ciudadano - PAAC</v>
      </c>
      <c r="AC49" s="47" t="str">
        <f>IFERROR(__xludf.DUMMYFUNCTION("""COMPUTED_VALUE"""),"Llegar con actividades de pesca y acuicultura a todas las regiones")</f>
        <v>Llegar con actividades de pesca y acuicultura a todas las regiones</v>
      </c>
      <c r="AD49" s="47" t="str">
        <f>IFERROR(__xludf.DUMMYFUNCTION("""COMPUTED_VALUE"""),"Información y comunicación")</f>
        <v>Información y comunicación</v>
      </c>
      <c r="AE49" s="47" t="str">
        <f>IFERROR(__xludf.DUMMYFUNCTION("""COMPUTED_VALUE"""),"Transparencia, acceso a la información pública y lucha contra la corrupción")</f>
        <v>Transparencia, acceso a la información pública y lucha contra la corrupción</v>
      </c>
      <c r="AF49" s="47" t="str">
        <f>IFERROR(__xludf.DUMMYFUNCTION("""COMPUTED_VALUE"""),"16. Paz, justicia e instituciones sólidas")</f>
        <v>16. Paz, justicia e instituciones sólidas</v>
      </c>
      <c r="AG49" s="58">
        <f>IFERROR(__xludf.DUMMYFUNCTION("""COMPUTED_VALUE"""),3.0)</f>
        <v>3</v>
      </c>
      <c r="AH49" s="59" t="str">
        <f>IFERROR(__xludf.DUMMYFUNCTION("""COMPUTED_VALUE"""),"Se cumplió con el avance de la actividad de acuerdo al tiempo establecido y la normatividad vigente. ")</f>
        <v>Se cumplió con el avance de la actividad de acuerdo al tiempo establecido y la normatividad vigente. </v>
      </c>
      <c r="AI49" s="81" t="str">
        <f>IFERROR(__xludf.DUMMYFUNCTION("""COMPUTED_VALUE"""),"https://www.aunap.gov.co/index.php/secretraria-general/financiera#estados-financieros")</f>
        <v>https://www.aunap.gov.co/index.php/secretraria-general/financiera#estados-financieros</v>
      </c>
      <c r="AJ49" s="60">
        <f>IFERROR(__xludf.DUMMYFUNCTION("""COMPUTED_VALUE"""),44396.0)</f>
        <v>44396</v>
      </c>
      <c r="AK49" s="61" t="str">
        <f>IFERROR(IF((AL49+1)&lt;2,Alertas!$B$2&amp;TEXT(AL49,"0%")&amp;Alertas!$D$2, IF((AL49+1)=2,Alertas!$B$3,IF((AL49+1)&gt;2,Alertas!$B$4&amp;TEXT(AL49,"0%")&amp;Alertas!$D$4,AL49+1))),"Sin meta para el segundo trimestre")</f>
        <v>La ejecución de la meta registrada se encuentra acorde a la meta programada en la formulación del plan de acción para el segundo trimestre</v>
      </c>
      <c r="AL49" s="62">
        <f t="shared" si="2"/>
        <v>1</v>
      </c>
      <c r="AM49" s="61" t="str">
        <f t="shared" si="3"/>
        <v>La ejecución de la meta registrada se encuentra acorde a la meta programada en la formulación del plan de acción para el segundo trimestre.</v>
      </c>
      <c r="AN49" s="63"/>
      <c r="AO49" s="64"/>
      <c r="AP49" s="65"/>
      <c r="AQ49" s="65"/>
      <c r="AR49" s="66"/>
      <c r="AS49" s="67"/>
      <c r="AT49" s="68"/>
      <c r="AU49" s="63"/>
      <c r="AV49" s="64"/>
      <c r="AW49" s="69"/>
      <c r="AX49" s="65"/>
      <c r="AY49" s="70"/>
      <c r="AZ49" s="71"/>
      <c r="BA49" s="72"/>
      <c r="BB49" s="73"/>
      <c r="BC49" s="64"/>
      <c r="BD49" s="69"/>
      <c r="BE49" s="65"/>
      <c r="BF49" s="66"/>
      <c r="BG49" s="71"/>
      <c r="BH49" s="72"/>
      <c r="BI49" s="74"/>
      <c r="BK49" s="5" t="str">
        <f t="shared" si="23"/>
        <v>0</v>
      </c>
      <c r="BM49" s="5"/>
    </row>
    <row r="50" ht="37.5" customHeight="1">
      <c r="A50" s="45"/>
      <c r="B50" s="46">
        <f>IFERROR(__xludf.DUMMYFUNCTION("""COMPUTED_VALUE"""),48.0)</f>
        <v>48</v>
      </c>
      <c r="C50" s="47" t="str">
        <f>IFERROR(__xludf.DUMMYFUNCTION("""COMPUTED_VALUE"""),"Gestión financiera")</f>
        <v>Gestión financiera</v>
      </c>
      <c r="D50" s="48" t="str">
        <f>IFERROR(__xludf.DUMMYFUNCTION("""COMPUTED_VALUE"""),"Financiera")</f>
        <v>Financiera</v>
      </c>
      <c r="E50" s="48" t="str">
        <f>IFERROR(__xludf.DUMMYFUNCTION("""COMPUTED_VALUE"""),"Fortalecimiento de la capacidad de gestión de la autoridad nacional de acuicultura y pesca - aunap nacional")</f>
        <v>Fortalecimiento de la capacidad de gestión de la autoridad nacional de acuicultura y pesca - aunap nacional</v>
      </c>
      <c r="F50" s="49">
        <f>IFERROR(__xludf.DUMMYFUNCTION("""COMPUTED_VALUE"""),2.018011000241E12)</f>
        <v>2018011000241</v>
      </c>
      <c r="G50" s="50" t="str">
        <f>IFERROR(__xludf.DUMMYFUNCTION("""COMPUTED_VALUE"""),"Fortalecimiento")</f>
        <v>Fortalecimiento</v>
      </c>
      <c r="H50" s="48" t="str">
        <f>IFERROR(__xludf.DUMMYFUNCTION("""COMPUTED_VALUE"""),"Fortalecer los sistemas de gestión de la Entidad")</f>
        <v>Fortalecer los sistemas de gestión de la Entidad</v>
      </c>
      <c r="I50" s="48" t="str">
        <f>IFERROR(__xludf.DUMMYFUNCTION("""COMPUTED_VALUE"""),"Servicio de Implementación Sistemas de Gestión")</f>
        <v>Servicio de Implementación Sistemas de Gestión</v>
      </c>
      <c r="J5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0" s="51" t="str">
        <f>IFERROR(__xludf.DUMMYFUNCTION("""COMPUTED_VALUE"""),"Gestión del área")</f>
        <v>Gestión del área</v>
      </c>
      <c r="L50" s="51" t="str">
        <f>IFERROR(__xludf.DUMMYFUNCTION("""COMPUTED_VALUE"""),"Eficacia")</f>
        <v>Eficacia</v>
      </c>
      <c r="M50" s="51" t="str">
        <f>IFERROR(__xludf.DUMMYFUNCTION("""COMPUTED_VALUE"""),"Número")</f>
        <v>Número</v>
      </c>
      <c r="N50" s="52" t="str">
        <f>IFERROR(__xludf.DUMMYFUNCTION("""COMPUTED_VALUE"""),"Número de controles de ejecución presupuestal realizados")</f>
        <v>Número de controles de ejecución presupuestal realizados</v>
      </c>
      <c r="O50" s="53"/>
      <c r="P50" s="54">
        <f>IFERROR(__xludf.DUMMYFUNCTION("""COMPUTED_VALUE"""),12.0)</f>
        <v>12</v>
      </c>
      <c r="Q50" s="55" t="str">
        <f>IFERROR(__xludf.DUMMYFUNCTION("""COMPUTED_VALUE"""),"Realizar el  control y registro de las operaciones financieras de acuerdo con los recursos disponibles de la entidad. Integra las actividades relacionadas con la adquisición de bienes y servicios, la gestión de proyectos de inversión  y el registro de la "&amp;"ejecución del presupuesto.(publicaciones )")</f>
        <v>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v>
      </c>
      <c r="R50" s="14" t="str">
        <f>IFERROR(__xludf.DUMMYFUNCTION("""COMPUTED_VALUE"""),"Mensual")</f>
        <v>Mensual</v>
      </c>
      <c r="S50" s="54">
        <f>IFERROR(__xludf.DUMMYFUNCTION("""COMPUTED_VALUE"""),3.0)</f>
        <v>3</v>
      </c>
      <c r="T50" s="54">
        <f>IFERROR(__xludf.DUMMYFUNCTION("""COMPUTED_VALUE"""),3.0)</f>
        <v>3</v>
      </c>
      <c r="U50" s="54">
        <f>IFERROR(__xludf.DUMMYFUNCTION("""COMPUTED_VALUE"""),3.0)</f>
        <v>3</v>
      </c>
      <c r="V50" s="54">
        <f>IFERROR(__xludf.DUMMYFUNCTION("""COMPUTED_VALUE"""),3.0)</f>
        <v>3</v>
      </c>
      <c r="W50" s="56" t="str">
        <f>IFERROR(__xludf.DUMMYFUNCTION("""COMPUTED_VALUE"""),"Financiera")</f>
        <v>Financiera</v>
      </c>
      <c r="X50" s="57" t="str">
        <f>IFERROR(__xludf.DUMMYFUNCTION("""COMPUTED_VALUE"""),"Sharol Natalia Mora")</f>
        <v>Sharol Natalia Mora</v>
      </c>
      <c r="Y50" s="47" t="str">
        <f>IFERROR(__xludf.DUMMYFUNCTION("""COMPUTED_VALUE"""),"Coordinador Financiero")</f>
        <v>Coordinador Financiero</v>
      </c>
      <c r="Z50" s="57" t="str">
        <f>IFERROR(__xludf.DUMMYFUNCTION("""COMPUTED_VALUE"""),"natalia.mora@aunap.gov.co")</f>
        <v>natalia.mora@aunap.gov.co</v>
      </c>
      <c r="AA50" s="47" t="str">
        <f>IFERROR(__xludf.DUMMYFUNCTION("""COMPUTED_VALUE"""),"Humanos, Físicos, Financieros, Tecnológicos")</f>
        <v>Humanos, Físicos, Financieros, Tecnológicos</v>
      </c>
      <c r="AB50" s="47" t="str">
        <f>IFERROR(__xludf.DUMMYFUNCTION("""COMPUTED_VALUE"""),"Plan Anticorrupción y de Atención al Ciudadano - PAAC")</f>
        <v>Plan Anticorrupción y de Atención al Ciudadano - PAAC</v>
      </c>
      <c r="AC50" s="47" t="str">
        <f>IFERROR(__xludf.DUMMYFUNCTION("""COMPUTED_VALUE"""),"Llegar con actividades de pesca y acuicultura a todas las regiones")</f>
        <v>Llegar con actividades de pesca y acuicultura a todas las regiones</v>
      </c>
      <c r="AD50" s="47" t="str">
        <f>IFERROR(__xludf.DUMMYFUNCTION("""COMPUTED_VALUE"""),"Información y comunicación")</f>
        <v>Información y comunicación</v>
      </c>
      <c r="AE50" s="47" t="str">
        <f>IFERROR(__xludf.DUMMYFUNCTION("""COMPUTED_VALUE"""),"Gestión Presupuestal y Eficiencia del Gasto Público")</f>
        <v>Gestión Presupuestal y Eficiencia del Gasto Público</v>
      </c>
      <c r="AF50" s="47" t="str">
        <f>IFERROR(__xludf.DUMMYFUNCTION("""COMPUTED_VALUE"""),"16. Paz, justicia e instituciones sólidas")</f>
        <v>16. Paz, justicia e instituciones sólidas</v>
      </c>
      <c r="AG50" s="58">
        <f>IFERROR(__xludf.DUMMYFUNCTION("""COMPUTED_VALUE"""),3.0)</f>
        <v>3</v>
      </c>
      <c r="AH50" s="59" t="str">
        <f>IFERROR(__xludf.DUMMYFUNCTION("""COMPUTED_VALUE"""),"Se cumplió con el avance de la actividad de acuerdo al tiempo establecido y la normatividad vigente. ")</f>
        <v>Se cumplió con el avance de la actividad de acuerdo al tiempo establecido y la normatividad vigente. </v>
      </c>
      <c r="AI50" s="80" t="str">
        <f>IFERROR(__xludf.DUMMYFUNCTION("""COMPUTED_VALUE"""),"https://www.aunap.gov.co/index.php/secretraria-general/financiera")</f>
        <v>https://www.aunap.gov.co/index.php/secretraria-general/financiera</v>
      </c>
      <c r="AJ50" s="60">
        <f>IFERROR(__xludf.DUMMYFUNCTION("""COMPUTED_VALUE"""),44396.0)</f>
        <v>44396</v>
      </c>
      <c r="AK50" s="61" t="str">
        <f>IFERROR(IF((AL50+1)&lt;2,Alertas!$B$2&amp;TEXT(AL50,"0%")&amp;Alertas!$D$2, IF((AL50+1)=2,Alertas!$B$3,IF((AL50+1)&gt;2,Alertas!$B$4&amp;TEXT(AL50,"0%")&amp;Alertas!$D$4,AL50+1))),"Sin meta para el segundo trimestre")</f>
        <v>La ejecución de la meta registrada se encuentra acorde a la meta programada en la formulación del plan de acción para el segundo trimestre</v>
      </c>
      <c r="AL50" s="62">
        <f t="shared" si="2"/>
        <v>1</v>
      </c>
      <c r="AM50" s="61" t="str">
        <f t="shared" si="3"/>
        <v>La ejecución de la meta registrada se encuentra acorde a la meta programada en la formulación del plan de acción para el segundo trimestre.</v>
      </c>
      <c r="AN50" s="63"/>
      <c r="AO50" s="64"/>
      <c r="AP50" s="65"/>
      <c r="AQ50" s="65"/>
      <c r="AR50" s="66"/>
      <c r="AS50" s="67"/>
      <c r="AT50" s="68"/>
      <c r="AU50" s="63"/>
      <c r="AV50" s="64"/>
      <c r="AW50" s="69"/>
      <c r="AX50" s="65"/>
      <c r="AY50" s="70"/>
      <c r="AZ50" s="71"/>
      <c r="BA50" s="72"/>
      <c r="BB50" s="73"/>
      <c r="BC50" s="64"/>
      <c r="BD50" s="69"/>
      <c r="BE50" s="65"/>
      <c r="BF50" s="66"/>
      <c r="BG50" s="71"/>
      <c r="BH50" s="72"/>
      <c r="BI50" s="74"/>
      <c r="BK50" s="5" t="str">
        <f t="shared" si="23"/>
        <v>0</v>
      </c>
      <c r="BM50" s="5"/>
    </row>
    <row r="51" ht="37.5" customHeight="1">
      <c r="A51" s="45"/>
      <c r="B51" s="46">
        <f>IFERROR(__xludf.DUMMYFUNCTION("""COMPUTED_VALUE"""),49.0)</f>
        <v>49</v>
      </c>
      <c r="C51" s="47" t="str">
        <f>IFERROR(__xludf.DUMMYFUNCTION("""COMPUTED_VALUE"""),"Gestión documental")</f>
        <v>Gestión documental</v>
      </c>
      <c r="D51" s="48" t="str">
        <f>IFERROR(__xludf.DUMMYFUNCTION("""COMPUTED_VALUE"""),"Gestión Documental")</f>
        <v>Gestión Documental</v>
      </c>
      <c r="E51" s="48" t="str">
        <f>IFERROR(__xludf.DUMMYFUNCTION("""COMPUTED_VALUE"""),"Fortalecimiento de la capacidad de gestión de la autoridad nacional de acuicultura y pesca - aunap nacional")</f>
        <v>Fortalecimiento de la capacidad de gestión de la autoridad nacional de acuicultura y pesca - aunap nacional</v>
      </c>
      <c r="F51" s="49">
        <f>IFERROR(__xludf.DUMMYFUNCTION("""COMPUTED_VALUE"""),2.018011000241E12)</f>
        <v>2018011000241</v>
      </c>
      <c r="G51" s="50" t="str">
        <f>IFERROR(__xludf.DUMMYFUNCTION("""COMPUTED_VALUE"""),"Fortalecimiento")</f>
        <v>Fortalecimiento</v>
      </c>
      <c r="H51" s="48" t="str">
        <f>IFERROR(__xludf.DUMMYFUNCTION("""COMPUTED_VALUE"""),"Fortalecer los sistemas de gestión de la Entidad")</f>
        <v>Fortalecer los sistemas de gestión de la Entidad</v>
      </c>
      <c r="I51" s="48" t="str">
        <f>IFERROR(__xludf.DUMMYFUNCTION("""COMPUTED_VALUE"""),"Servicio de Gestión Documental")</f>
        <v>Servicio de Gestión Documental</v>
      </c>
      <c r="J51" s="48" t="str">
        <f>IFERROR(__xludf.DUMMYFUNCTION("""COMPUTED_VALUE"""),"Actualizar y mantener el Sistema de Gestión Documental")</f>
        <v>Actualizar y mantener el Sistema de Gestión Documental</v>
      </c>
      <c r="K51" s="51" t="str">
        <f>IFERROR(__xludf.DUMMYFUNCTION("""COMPUTED_VALUE"""),"Gestión del área")</f>
        <v>Gestión del área</v>
      </c>
      <c r="L51" s="51" t="str">
        <f>IFERROR(__xludf.DUMMYFUNCTION("""COMPUTED_VALUE"""),"Eficacia")</f>
        <v>Eficacia</v>
      </c>
      <c r="M51" s="51" t="str">
        <f>IFERROR(__xludf.DUMMYFUNCTION("""COMPUTED_VALUE"""),"Número")</f>
        <v>Número</v>
      </c>
      <c r="N51" s="52" t="str">
        <f>IFERROR(__xludf.DUMMYFUNCTION("""COMPUTED_VALUE"""),"Numero de intervenciones realizadas/Numero de intervenciones programadas")</f>
        <v>Numero de intervenciones realizadas/Numero de intervenciones programadas</v>
      </c>
      <c r="O51" s="53"/>
      <c r="P51" s="54">
        <f>IFERROR(__xludf.DUMMYFUNCTION("""COMPUTED_VALUE"""),2.0)</f>
        <v>2</v>
      </c>
      <c r="Q51" s="55" t="str">
        <f>IFERROR(__xludf.DUMMYFUNCTION("""COMPUTED_VALUE"""),"Realizar los inventarios de Archivo de Nivel Central")</f>
        <v>Realizar los inventarios de Archivo de Nivel Central</v>
      </c>
      <c r="R51" s="14" t="str">
        <f>IFERROR(__xludf.DUMMYFUNCTION("""COMPUTED_VALUE"""),"Semestral")</f>
        <v>Semestral</v>
      </c>
      <c r="S51" s="54">
        <f>IFERROR(__xludf.DUMMYFUNCTION("""COMPUTED_VALUE"""),0.0)</f>
        <v>0</v>
      </c>
      <c r="T51" s="54">
        <f>IFERROR(__xludf.DUMMYFUNCTION("""COMPUTED_VALUE"""),1.0)</f>
        <v>1</v>
      </c>
      <c r="U51" s="54">
        <f>IFERROR(__xludf.DUMMYFUNCTION("""COMPUTED_VALUE"""),0.0)</f>
        <v>0</v>
      </c>
      <c r="V51" s="54">
        <f>IFERROR(__xludf.DUMMYFUNCTION("""COMPUTED_VALUE"""),1.0)</f>
        <v>1</v>
      </c>
      <c r="W51" s="56" t="str">
        <f>IFERROR(__xludf.DUMMYFUNCTION("""COMPUTED_VALUE"""),"Gestión Documental")</f>
        <v>Gestión Documental</v>
      </c>
      <c r="X51" s="57" t="str">
        <f>IFERROR(__xludf.DUMMYFUNCTION("""COMPUTED_VALUE"""),"Gustavo Polo")</f>
        <v>Gustavo Polo</v>
      </c>
      <c r="Y51" s="47" t="str">
        <f>IFERROR(__xludf.DUMMYFUNCTION("""COMPUTED_VALUE"""),"Funcionario")</f>
        <v>Funcionario</v>
      </c>
      <c r="Z51" s="57" t="str">
        <f>IFERROR(__xludf.DUMMYFUNCTION("""COMPUTED_VALUE"""),"gustavo.polo@aunap.gov.co")</f>
        <v>gustavo.polo@aunap.gov.co</v>
      </c>
      <c r="AA51" s="47" t="str">
        <f>IFERROR(__xludf.DUMMYFUNCTION("""COMPUTED_VALUE"""),"Talento humano")</f>
        <v>Talento humano</v>
      </c>
      <c r="AB51" s="47" t="str">
        <f>IFERROR(__xludf.DUMMYFUNCTION("""COMPUTED_VALUE"""),"Plan Institucional de Archivos de la Entidad -PINAR")</f>
        <v>Plan Institucional de Archivos de la Entidad -PINAR</v>
      </c>
      <c r="AC51" s="47" t="str">
        <f>IFERROR(__xludf.DUMMYFUNCTION("""COMPUTED_VALUE"""),"Llegar con actividades de pesca y acuicultura a todas las regiones")</f>
        <v>Llegar con actividades de pesca y acuicultura a todas las regiones</v>
      </c>
      <c r="AD51" s="47" t="str">
        <f>IFERROR(__xludf.DUMMYFUNCTION("""COMPUTED_VALUE"""),"Información y comunicación")</f>
        <v>Información y comunicación</v>
      </c>
      <c r="AE51" s="47" t="str">
        <f>IFERROR(__xludf.DUMMYFUNCTION("""COMPUTED_VALUE"""),"Gestión Documental")</f>
        <v>Gestión Documental</v>
      </c>
      <c r="AF51" s="47" t="str">
        <f>IFERROR(__xludf.DUMMYFUNCTION("""COMPUTED_VALUE"""),"16. Paz, justicia e instituciones sólidas")</f>
        <v>16. Paz, justicia e instituciones sólidas</v>
      </c>
      <c r="AG51" s="58">
        <f>IFERROR(__xludf.DUMMYFUNCTION("""COMPUTED_VALUE"""),1.0)</f>
        <v>1</v>
      </c>
      <c r="AH51" s="59" t="str">
        <f>IFERROR(__xludf.DUMMYFUNCTION("""COMPUTED_VALUE"""),"Se realizó los inventarios documentales de las àreas de Administrativa, Contratos, Fomento y Financiera ")</f>
        <v>Se realizó los inventarios documentales de las àreas de Administrativa, Contratos, Fomento y Financiera </v>
      </c>
      <c r="AI51" s="80" t="str">
        <f>IFERROR(__xludf.DUMMYFUNCTION("""COMPUTED_VALUE"""),"https://drive.google.com/drive/folders/1d7sseEbkAHVJiq9umaS9rpxBcrF6Qbf3?usp=sharing")</f>
        <v>https://drive.google.com/drive/folders/1d7sseEbkAHVJiq9umaS9rpxBcrF6Qbf3?usp=sharing</v>
      </c>
      <c r="AJ51" s="60">
        <f>IFERROR(__xludf.DUMMYFUNCTION("""COMPUTED_VALUE"""),44396.0)</f>
        <v>44396</v>
      </c>
      <c r="AK51" s="61" t="str">
        <f>IFERROR(IF((AL51+1)&lt;2,Alertas!$B$2&amp;TEXT(AL51,"0%")&amp;Alertas!$D$2, IF((AL51+1)=2,Alertas!$B$3,IF((AL51+1)&gt;2,Alertas!$B$4&amp;TEXT(AL51,"0%")&amp;Alertas!$D$4,AL51+1))),"Sin meta para el segundo trimestre")</f>
        <v>La ejecución de la meta registrada se encuentra acorde a la meta programada en la formulación del plan de acción para el segundo trimestre</v>
      </c>
      <c r="AL51" s="62">
        <f t="shared" si="2"/>
        <v>1</v>
      </c>
      <c r="AM51" s="61" t="str">
        <f t="shared" si="3"/>
        <v>La ejecución de la meta registrada se encuentra acorde a la meta programada en la formulación del plan de acción para el segundo trimestre.</v>
      </c>
      <c r="AN51" s="63"/>
      <c r="AO51" s="64"/>
      <c r="AP51" s="65"/>
      <c r="AQ51" s="65"/>
      <c r="AR51" s="66"/>
      <c r="AS51" s="67"/>
      <c r="AT51" s="68"/>
      <c r="AU51" s="63"/>
      <c r="AV51" s="64"/>
      <c r="AW51" s="69"/>
      <c r="AX51" s="65"/>
      <c r="AY51" s="70"/>
      <c r="AZ51" s="71"/>
      <c r="BA51" s="72"/>
      <c r="BB51" s="73"/>
      <c r="BC51" s="64"/>
      <c r="BD51" s="69"/>
      <c r="BE51" s="65"/>
      <c r="BF51" s="66"/>
      <c r="BG51" s="71"/>
      <c r="BH51" s="72"/>
      <c r="BI51" s="74"/>
      <c r="BK51" s="5" t="str">
        <f t="shared" si="23"/>
        <v>0</v>
      </c>
      <c r="BM51" s="5"/>
    </row>
    <row r="52" ht="37.5" customHeight="1">
      <c r="A52" s="45"/>
      <c r="B52" s="46">
        <f>IFERROR(__xludf.DUMMYFUNCTION("""COMPUTED_VALUE"""),50.0)</f>
        <v>50</v>
      </c>
      <c r="C52" s="47" t="str">
        <f>IFERROR(__xludf.DUMMYFUNCTION("""COMPUTED_VALUE"""),"Gestión documental")</f>
        <v>Gestión documental</v>
      </c>
      <c r="D52" s="48" t="str">
        <f>IFERROR(__xludf.DUMMYFUNCTION("""COMPUTED_VALUE"""),"Gestión Documental")</f>
        <v>Gestión Documental</v>
      </c>
      <c r="E52" s="48" t="str">
        <f>IFERROR(__xludf.DUMMYFUNCTION("""COMPUTED_VALUE"""),"Fortalecimiento de la capacidad de gestión de la autoridad nacional de acuicultura y pesca - aunap nacional")</f>
        <v>Fortalecimiento de la capacidad de gestión de la autoridad nacional de acuicultura y pesca - aunap nacional</v>
      </c>
      <c r="F52" s="49">
        <f>IFERROR(__xludf.DUMMYFUNCTION("""COMPUTED_VALUE"""),2.018011000241E12)</f>
        <v>2018011000241</v>
      </c>
      <c r="G52" s="50" t="str">
        <f>IFERROR(__xludf.DUMMYFUNCTION("""COMPUTED_VALUE"""),"Fortalecimiento")</f>
        <v>Fortalecimiento</v>
      </c>
      <c r="H52" s="48" t="str">
        <f>IFERROR(__xludf.DUMMYFUNCTION("""COMPUTED_VALUE"""),"Fortalecer los sistemas de gestión de la Entidad")</f>
        <v>Fortalecer los sistemas de gestión de la Entidad</v>
      </c>
      <c r="I52" s="48" t="str">
        <f>IFERROR(__xludf.DUMMYFUNCTION("""COMPUTED_VALUE"""),"Servicio de Gestión Documental")</f>
        <v>Servicio de Gestión Documental</v>
      </c>
      <c r="J52" s="48" t="str">
        <f>IFERROR(__xludf.DUMMYFUNCTION("""COMPUTED_VALUE"""),"Actualizar y mantener el Sistema de Gestión Documental")</f>
        <v>Actualizar y mantener el Sistema de Gestión Documental</v>
      </c>
      <c r="K52" s="51" t="str">
        <f>IFERROR(__xludf.DUMMYFUNCTION("""COMPUTED_VALUE"""),"Gestión del área")</f>
        <v>Gestión del área</v>
      </c>
      <c r="L52" s="51" t="str">
        <f>IFERROR(__xludf.DUMMYFUNCTION("""COMPUTED_VALUE"""),"Eficacia")</f>
        <v>Eficacia</v>
      </c>
      <c r="M52" s="51" t="str">
        <f>IFERROR(__xludf.DUMMYFUNCTION("""COMPUTED_VALUE"""),"Número")</f>
        <v>Número</v>
      </c>
      <c r="N52" s="52" t="str">
        <f>IFERROR(__xludf.DUMMYFUNCTION("""COMPUTED_VALUE"""),"Numero de intervenciones realizadas/Numero de intervenciones programadas")</f>
        <v>Numero de intervenciones realizadas/Numero de intervenciones programadas</v>
      </c>
      <c r="O52" s="53"/>
      <c r="P52" s="54">
        <f>IFERROR(__xludf.DUMMYFUNCTION("""COMPUTED_VALUE"""),2.0)</f>
        <v>2</v>
      </c>
      <c r="Q52" s="55" t="str">
        <f>IFERROR(__xludf.DUMMYFUNCTION("""COMPUTED_VALUE"""),"Realizar la organizacion de los archivos de Gestion")</f>
        <v>Realizar la organizacion de los archivos de Gestion</v>
      </c>
      <c r="R52" s="14" t="str">
        <f>IFERROR(__xludf.DUMMYFUNCTION("""COMPUTED_VALUE"""),"Semestral")</f>
        <v>Semestral</v>
      </c>
      <c r="S52" s="54">
        <f>IFERROR(__xludf.DUMMYFUNCTION("""COMPUTED_VALUE"""),0.0)</f>
        <v>0</v>
      </c>
      <c r="T52" s="54">
        <f>IFERROR(__xludf.DUMMYFUNCTION("""COMPUTED_VALUE"""),1.0)</f>
        <v>1</v>
      </c>
      <c r="U52" s="54">
        <f>IFERROR(__xludf.DUMMYFUNCTION("""COMPUTED_VALUE"""),0.0)</f>
        <v>0</v>
      </c>
      <c r="V52" s="54">
        <f>IFERROR(__xludf.DUMMYFUNCTION("""COMPUTED_VALUE"""),1.0)</f>
        <v>1</v>
      </c>
      <c r="W52" s="56" t="str">
        <f>IFERROR(__xludf.DUMMYFUNCTION("""COMPUTED_VALUE"""),"Gestión Documental")</f>
        <v>Gestión Documental</v>
      </c>
      <c r="X52" s="57" t="str">
        <f>IFERROR(__xludf.DUMMYFUNCTION("""COMPUTED_VALUE"""),"Gustavo Polo")</f>
        <v>Gustavo Polo</v>
      </c>
      <c r="Y52" s="47" t="str">
        <f>IFERROR(__xludf.DUMMYFUNCTION("""COMPUTED_VALUE"""),"Funcionario")</f>
        <v>Funcionario</v>
      </c>
      <c r="Z52" s="57" t="str">
        <f>IFERROR(__xludf.DUMMYFUNCTION("""COMPUTED_VALUE"""),"gustavo.polo@aunap.gov.co")</f>
        <v>gustavo.polo@aunap.gov.co</v>
      </c>
      <c r="AA52" s="47" t="str">
        <f>IFERROR(__xludf.DUMMYFUNCTION("""COMPUTED_VALUE"""),"Talento humano")</f>
        <v>Talento humano</v>
      </c>
      <c r="AB52" s="47" t="str">
        <f>IFERROR(__xludf.DUMMYFUNCTION("""COMPUTED_VALUE"""),"Plan Institucional de Archivos de la Entidad -PINAR")</f>
        <v>Plan Institucional de Archivos de la Entidad -PINAR</v>
      </c>
      <c r="AC52" s="47" t="str">
        <f>IFERROR(__xludf.DUMMYFUNCTION("""COMPUTED_VALUE"""),"Llegar con actividades de pesca y acuicultura a todas las regiones")</f>
        <v>Llegar con actividades de pesca y acuicultura a todas las regiones</v>
      </c>
      <c r="AD52" s="47" t="str">
        <f>IFERROR(__xludf.DUMMYFUNCTION("""COMPUTED_VALUE"""),"Información y comunicación")</f>
        <v>Información y comunicación</v>
      </c>
      <c r="AE52" s="47" t="str">
        <f>IFERROR(__xludf.DUMMYFUNCTION("""COMPUTED_VALUE"""),"Gestión Documental")</f>
        <v>Gestión Documental</v>
      </c>
      <c r="AF52" s="47" t="str">
        <f>IFERROR(__xludf.DUMMYFUNCTION("""COMPUTED_VALUE"""),"16. Paz, justicia e instituciones sólidas")</f>
        <v>16. Paz, justicia e instituciones sólidas</v>
      </c>
      <c r="AG52" s="58">
        <f>IFERROR(__xludf.DUMMYFUNCTION("""COMPUTED_VALUE"""),1.0)</f>
        <v>1</v>
      </c>
      <c r="AH52" s="59" t="str">
        <f>IFERROR(__xludf.DUMMYFUNCTION("""COMPUTED_VALUE"""),"Se realizo la organizaciòn documental a las areas de Administrativa, Contratos, Fomento y Financiera")</f>
        <v>Se realizo la organizaciòn documental a las areas de Administrativa, Contratos, Fomento y Financiera</v>
      </c>
      <c r="AI52" s="80" t="str">
        <f>IFERROR(__xludf.DUMMYFUNCTION("""COMPUTED_VALUE"""),"https://drive.google.com/drive/folders/1LjChXYjNNyxc9TolNsp0MwhDwhlsJH8p?usp=sharing")</f>
        <v>https://drive.google.com/drive/folders/1LjChXYjNNyxc9TolNsp0MwhDwhlsJH8p?usp=sharing</v>
      </c>
      <c r="AJ52" s="60">
        <f>IFERROR(__xludf.DUMMYFUNCTION("""COMPUTED_VALUE"""),44396.0)</f>
        <v>44396</v>
      </c>
      <c r="AK52" s="61" t="str">
        <f>IFERROR(IF((AL52+1)&lt;2,Alertas!$B$2&amp;TEXT(AL52,"0%")&amp;Alertas!$D$2, IF((AL52+1)=2,Alertas!$B$3,IF((AL52+1)&gt;2,Alertas!$B$4&amp;TEXT(AL52,"0%")&amp;Alertas!$D$4,AL52+1))),"Sin meta para el segundo trimestre")</f>
        <v>La ejecución de la meta registrada se encuentra acorde a la meta programada en la formulación del plan de acción para el segundo trimestre</v>
      </c>
      <c r="AL52" s="62">
        <f t="shared" si="2"/>
        <v>1</v>
      </c>
      <c r="AM52" s="61" t="str">
        <f t="shared" si="3"/>
        <v>La ejecución de la meta registrada se encuentra acorde a la meta programada en la formulación del plan de acción para el segundo trimestre.</v>
      </c>
      <c r="AN52" s="63"/>
      <c r="AO52" s="64"/>
      <c r="AP52" s="65"/>
      <c r="AQ52" s="65"/>
      <c r="AR52" s="66"/>
      <c r="AS52" s="67"/>
      <c r="AT52" s="68"/>
      <c r="AU52" s="63"/>
      <c r="AV52" s="64"/>
      <c r="AW52" s="69"/>
      <c r="AX52" s="65"/>
      <c r="AY52" s="70"/>
      <c r="AZ52" s="71"/>
      <c r="BA52" s="72"/>
      <c r="BB52" s="73"/>
      <c r="BC52" s="64"/>
      <c r="BD52" s="69"/>
      <c r="BE52" s="65"/>
      <c r="BF52" s="66"/>
      <c r="BG52" s="71"/>
      <c r="BH52" s="72"/>
      <c r="BI52" s="74"/>
      <c r="BK52" s="5" t="str">
        <f t="shared" si="23"/>
        <v>0</v>
      </c>
      <c r="BM52" s="5"/>
    </row>
    <row r="53" ht="37.5" customHeight="1">
      <c r="A53" s="45"/>
      <c r="B53" s="46">
        <f>IFERROR(__xludf.DUMMYFUNCTION("""COMPUTED_VALUE"""),51.0)</f>
        <v>51</v>
      </c>
      <c r="C53" s="47" t="str">
        <f>IFERROR(__xludf.DUMMYFUNCTION("""COMPUTED_VALUE"""),"Gestión documental")</f>
        <v>Gestión documental</v>
      </c>
      <c r="D53" s="48" t="str">
        <f>IFERROR(__xludf.DUMMYFUNCTION("""COMPUTED_VALUE"""),"Gestión Documental")</f>
        <v>Gestión Documental</v>
      </c>
      <c r="E53" s="48" t="str">
        <f>IFERROR(__xludf.DUMMYFUNCTION("""COMPUTED_VALUE"""),"Fortalecimiento de la capacidad de gestión de la autoridad nacional de acuicultura y pesca - aunap nacional")</f>
        <v>Fortalecimiento de la capacidad de gestión de la autoridad nacional de acuicultura y pesca - aunap nacional</v>
      </c>
      <c r="F53" s="49">
        <f>IFERROR(__xludf.DUMMYFUNCTION("""COMPUTED_VALUE"""),2.018011000241E12)</f>
        <v>2018011000241</v>
      </c>
      <c r="G53" s="50" t="str">
        <f>IFERROR(__xludf.DUMMYFUNCTION("""COMPUTED_VALUE"""),"Fortalecimiento")</f>
        <v>Fortalecimiento</v>
      </c>
      <c r="H53" s="48" t="str">
        <f>IFERROR(__xludf.DUMMYFUNCTION("""COMPUTED_VALUE"""),"Fortalecer los sistemas de gestión de la Entidad")</f>
        <v>Fortalecer los sistemas de gestión de la Entidad</v>
      </c>
      <c r="I53" s="48" t="str">
        <f>IFERROR(__xludf.DUMMYFUNCTION("""COMPUTED_VALUE"""),"Servicio de Gestión Documental")</f>
        <v>Servicio de Gestión Documental</v>
      </c>
      <c r="J53" s="48" t="str">
        <f>IFERROR(__xludf.DUMMYFUNCTION("""COMPUTED_VALUE"""),"Actualizar y mantener el Sistema de Gestión Documental")</f>
        <v>Actualizar y mantener el Sistema de Gestión Documental</v>
      </c>
      <c r="K53" s="51" t="str">
        <f>IFERROR(__xludf.DUMMYFUNCTION("""COMPUTED_VALUE"""),"Gestión del área")</f>
        <v>Gestión del área</v>
      </c>
      <c r="L53" s="51" t="str">
        <f>IFERROR(__xludf.DUMMYFUNCTION("""COMPUTED_VALUE"""),"Eficacia")</f>
        <v>Eficacia</v>
      </c>
      <c r="M53" s="51" t="str">
        <f>IFERROR(__xludf.DUMMYFUNCTION("""COMPUTED_VALUE"""),"Número")</f>
        <v>Número</v>
      </c>
      <c r="N53" s="52" t="str">
        <f>IFERROR(__xludf.DUMMYFUNCTION("""COMPUTED_VALUE"""),"Numero de intervenciones realizadas/Numero de intervenciones programadas")</f>
        <v>Numero de intervenciones realizadas/Numero de intervenciones programadas</v>
      </c>
      <c r="O53" s="53"/>
      <c r="P53" s="54">
        <f>IFERROR(__xludf.DUMMYFUNCTION("""COMPUTED_VALUE"""),4.0)</f>
        <v>4</v>
      </c>
      <c r="Q53" s="55" t="str">
        <f>IFERROR(__xludf.DUMMYFUNCTION("""COMPUTED_VALUE"""),"Sensibilizacion a las areas de la AUNAP")</f>
        <v>Sensibilizacion a las areas de la AUNAP</v>
      </c>
      <c r="R53" s="14" t="str">
        <f>IFERROR(__xludf.DUMMYFUNCTION("""COMPUTED_VALUE"""),"Trimestral")</f>
        <v>Trimestral</v>
      </c>
      <c r="S53" s="54">
        <f>IFERROR(__xludf.DUMMYFUNCTION("""COMPUTED_VALUE"""),1.0)</f>
        <v>1</v>
      </c>
      <c r="T53" s="54">
        <f>IFERROR(__xludf.DUMMYFUNCTION("""COMPUTED_VALUE"""),1.0)</f>
        <v>1</v>
      </c>
      <c r="U53" s="54">
        <f>IFERROR(__xludf.DUMMYFUNCTION("""COMPUTED_VALUE"""),1.0)</f>
        <v>1</v>
      </c>
      <c r="V53" s="54">
        <f>IFERROR(__xludf.DUMMYFUNCTION("""COMPUTED_VALUE"""),1.0)</f>
        <v>1</v>
      </c>
      <c r="W53" s="56" t="str">
        <f>IFERROR(__xludf.DUMMYFUNCTION("""COMPUTED_VALUE"""),"Gestión Documental")</f>
        <v>Gestión Documental</v>
      </c>
      <c r="X53" s="57" t="str">
        <f>IFERROR(__xludf.DUMMYFUNCTION("""COMPUTED_VALUE"""),"Gustavo Polo")</f>
        <v>Gustavo Polo</v>
      </c>
      <c r="Y53" s="47" t="str">
        <f>IFERROR(__xludf.DUMMYFUNCTION("""COMPUTED_VALUE"""),"Funcionario")</f>
        <v>Funcionario</v>
      </c>
      <c r="Z53" s="57" t="str">
        <f>IFERROR(__xludf.DUMMYFUNCTION("""COMPUTED_VALUE"""),"gustavo.polo@aunap.gov.co")</f>
        <v>gustavo.polo@aunap.gov.co</v>
      </c>
      <c r="AA53" s="47" t="str">
        <f>IFERROR(__xludf.DUMMYFUNCTION("""COMPUTED_VALUE"""),"Talento humano")</f>
        <v>Talento humano</v>
      </c>
      <c r="AB53" s="47" t="str">
        <f>IFERROR(__xludf.DUMMYFUNCTION("""COMPUTED_VALUE"""),"Plan Institucional de Archivos de la Entidad -PINAR")</f>
        <v>Plan Institucional de Archivos de la Entidad -PINAR</v>
      </c>
      <c r="AC53" s="47" t="str">
        <f>IFERROR(__xludf.DUMMYFUNCTION("""COMPUTED_VALUE"""),"Llegar con actividades de pesca y acuicultura a todas las regiones")</f>
        <v>Llegar con actividades de pesca y acuicultura a todas las regiones</v>
      </c>
      <c r="AD53" s="47" t="str">
        <f>IFERROR(__xludf.DUMMYFUNCTION("""COMPUTED_VALUE"""),"Información y comunicación")</f>
        <v>Información y comunicación</v>
      </c>
      <c r="AE53" s="47" t="str">
        <f>IFERROR(__xludf.DUMMYFUNCTION("""COMPUTED_VALUE"""),"Gestión Documental")</f>
        <v>Gestión Documental</v>
      </c>
      <c r="AF53" s="47" t="str">
        <f>IFERROR(__xludf.DUMMYFUNCTION("""COMPUTED_VALUE"""),"16. Paz, justicia e instituciones sólidas")</f>
        <v>16. Paz, justicia e instituciones sólidas</v>
      </c>
      <c r="AG53" s="58">
        <f>IFERROR(__xludf.DUMMYFUNCTION("""COMPUTED_VALUE"""),1.0)</f>
        <v>1</v>
      </c>
      <c r="AH53" s="59" t="str">
        <f>IFERROR(__xludf.DUMMYFUNCTION("""COMPUTED_VALUE"""),"Se realizó la sensibilización a las Regionales de Bogotá, Barranquilla, Barranca y Villavicencio. Las inducciones e reinducciones a los funcionarios de la entidad con cooperacion de Talento Humano")</f>
        <v>Se realizó la sensibilización a las Regionales de Bogotá, Barranquilla, Barranca y Villavicencio. Las inducciones e reinducciones a los funcionarios de la entidad con cooperacion de Talento Humano</v>
      </c>
      <c r="AI53" s="80" t="str">
        <f>IFERROR(__xludf.DUMMYFUNCTION("""COMPUTED_VALUE"""),"https://drive.google.com/drive/folders/1lRP69se5VGe85jyEwV6HiATudccwhcj1?usp=sharing")</f>
        <v>https://drive.google.com/drive/folders/1lRP69se5VGe85jyEwV6HiATudccwhcj1?usp=sharing</v>
      </c>
      <c r="AJ53" s="60">
        <f>IFERROR(__xludf.DUMMYFUNCTION("""COMPUTED_VALUE"""),44396.0)</f>
        <v>44396</v>
      </c>
      <c r="AK53" s="61" t="str">
        <f>IFERROR(IF((AL53+1)&lt;2,Alertas!$B$2&amp;TEXT(AL53,"0%")&amp;Alertas!$D$2, IF((AL53+1)=2,Alertas!$B$3,IF((AL53+1)&gt;2,Alertas!$B$4&amp;TEXT(AL53,"0%")&amp;Alertas!$D$4,AL53+1))),"Sin meta para el segundo trimestre")</f>
        <v>La ejecución de la meta registrada se encuentra acorde a la meta programada en la formulación del plan de acción para el segundo trimestre</v>
      </c>
      <c r="AL53" s="62">
        <f t="shared" si="2"/>
        <v>1</v>
      </c>
      <c r="AM53" s="61" t="str">
        <f t="shared" si="3"/>
        <v>La ejecución de la meta registrada se encuentra acorde a la meta programada en la formulación del plan de acción para el segundo trimestre.</v>
      </c>
      <c r="AN53" s="63"/>
      <c r="AO53" s="64"/>
      <c r="AP53" s="65"/>
      <c r="AQ53" s="65"/>
      <c r="AR53" s="66"/>
      <c r="AS53" s="67"/>
      <c r="AT53" s="68"/>
      <c r="AU53" s="63"/>
      <c r="AV53" s="64"/>
      <c r="AW53" s="69"/>
      <c r="AX53" s="65"/>
      <c r="AY53" s="70"/>
      <c r="AZ53" s="71"/>
      <c r="BA53" s="72"/>
      <c r="BB53" s="73"/>
      <c r="BC53" s="64"/>
      <c r="BD53" s="69"/>
      <c r="BE53" s="65"/>
      <c r="BF53" s="66"/>
      <c r="BG53" s="71"/>
      <c r="BH53" s="72"/>
      <c r="BI53" s="74"/>
      <c r="BK53" s="5" t="str">
        <f t="shared" si="23"/>
        <v>0</v>
      </c>
      <c r="BM53" s="5"/>
    </row>
    <row r="54" ht="37.5" customHeight="1">
      <c r="A54" s="45"/>
      <c r="B54" s="46">
        <f>IFERROR(__xludf.DUMMYFUNCTION("""COMPUTED_VALUE"""),52.0)</f>
        <v>52</v>
      </c>
      <c r="C54" s="47" t="str">
        <f>IFERROR(__xludf.DUMMYFUNCTION("""COMPUTED_VALUE"""),"Gestión jurídica")</f>
        <v>Gestión jurídica</v>
      </c>
      <c r="D54" s="48" t="str">
        <f>IFERROR(__xludf.DUMMYFUNCTION("""COMPUTED_VALUE"""),"Oficina Asesor Jurídica")</f>
        <v>Oficina Asesor Jurídica</v>
      </c>
      <c r="E54" s="48" t="str">
        <f>IFERROR(__xludf.DUMMYFUNCTION("""COMPUTED_VALUE"""),"Fortalecimiento de la capacidad de gestión de la autoridad nacional de acuicultura y pesca - aunap nacional")</f>
        <v>Fortalecimiento de la capacidad de gestión de la autoridad nacional de acuicultura y pesca - aunap nacional</v>
      </c>
      <c r="F54" s="49">
        <f>IFERROR(__xludf.DUMMYFUNCTION("""COMPUTED_VALUE"""),2.018011000241E12)</f>
        <v>2018011000241</v>
      </c>
      <c r="G54" s="50" t="str">
        <f>IFERROR(__xludf.DUMMYFUNCTION("""COMPUTED_VALUE"""),"Fortalecimiento")</f>
        <v>Fortalecimiento</v>
      </c>
      <c r="H54" s="48" t="str">
        <f>IFERROR(__xludf.DUMMYFUNCTION("""COMPUTED_VALUE"""),"Fortalecer los sistemas de gestión de la Entidad")</f>
        <v>Fortalecer los sistemas de gestión de la Entidad</v>
      </c>
      <c r="I54" s="48" t="str">
        <f>IFERROR(__xludf.DUMMYFUNCTION("""COMPUTED_VALUE"""),"Servicio de Implementación Sistemas de Gestión")</f>
        <v>Servicio de Implementación Sistemas de Gestión</v>
      </c>
      <c r="J54"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4" s="51" t="str">
        <f>IFERROR(__xludf.DUMMYFUNCTION("""COMPUTED_VALUE"""),"Gestión del área")</f>
        <v>Gestión del área</v>
      </c>
      <c r="L54" s="51" t="str">
        <f>IFERROR(__xludf.DUMMYFUNCTION("""COMPUTED_VALUE"""),"Efectividad")</f>
        <v>Efectividad</v>
      </c>
      <c r="M54" s="51" t="str">
        <f>IFERROR(__xludf.DUMMYFUNCTION("""COMPUTED_VALUE"""),"Porcentaje")</f>
        <v>Porcentaje</v>
      </c>
      <c r="N54" s="52" t="str">
        <f>IFERROR(__xludf.DUMMYFUNCTION("""COMPUTED_VALUE"""),"(Número de respuestas atendidas oportunamente a los procesos judiciales, PQRS y actuaciónes judiciales ./Número procesos judicales, PQRS, consultas, actuaciónes judiciales radicadas en la OAJ*100")</f>
        <v>(Número de respuestas atendidas oportunamente a los procesos judiciales, PQRS y actuaciónes judiciales ./Número procesos judicales, PQRS, consultas, actuaciónes judiciales radicadas en la OAJ*100</v>
      </c>
      <c r="O54" s="53"/>
      <c r="P54" s="54">
        <f>IFERROR(__xludf.DUMMYFUNCTION("""COMPUTED_VALUE"""),1.0)</f>
        <v>1</v>
      </c>
      <c r="Q54" s="55" t="str">
        <f>IFERROR(__xludf.DUMMYFUNCTION("""COMPUTED_VALUE"""),"Atender  oportunamente la representación judicial y extrajudicial en los procesos y actuaciones que se instauren en su contra o que esta deba promover  la entidad, las PQRS, consultas, actuaciónes judiciales radicadas en la OAJ.")</f>
        <v>Atender  oportunamente la representación judicial y extrajudicial en los procesos y actuaciones que se instauren en su contra o que esta deba promover  la entidad, las PQRS, consultas, actuaciónes judiciales radicadas en la OAJ.</v>
      </c>
      <c r="R54" s="14" t="str">
        <f>IFERROR(__xludf.DUMMYFUNCTION("""COMPUTED_VALUE"""),"Trimestral")</f>
        <v>Trimestral</v>
      </c>
      <c r="S54" s="54">
        <f>IFERROR(__xludf.DUMMYFUNCTION("""COMPUTED_VALUE"""),1.0)</f>
        <v>1</v>
      </c>
      <c r="T54" s="54">
        <f>IFERROR(__xludf.DUMMYFUNCTION("""COMPUTED_VALUE"""),1.0)</f>
        <v>1</v>
      </c>
      <c r="U54" s="54">
        <f>IFERROR(__xludf.DUMMYFUNCTION("""COMPUTED_VALUE"""),1.0)</f>
        <v>1</v>
      </c>
      <c r="V54" s="54">
        <f>IFERROR(__xludf.DUMMYFUNCTION("""COMPUTED_VALUE"""),1.0)</f>
        <v>1</v>
      </c>
      <c r="W54" s="56" t="str">
        <f>IFERROR(__xludf.DUMMYFUNCTION("""COMPUTED_VALUE"""),"Oficina Asesoria Juridica")</f>
        <v>Oficina Asesoria Juridica</v>
      </c>
      <c r="X54" s="57" t="str">
        <f>IFERROR(__xludf.DUMMYFUNCTION("""COMPUTED_VALUE"""),"Miguel Angel Ardila")</f>
        <v>Miguel Angel Ardila</v>
      </c>
      <c r="Y54" s="47" t="str">
        <f>IFERROR(__xludf.DUMMYFUNCTION("""COMPUTED_VALUE"""),"Jefe Oficina Asesora Juridica")</f>
        <v>Jefe Oficina Asesora Juridica</v>
      </c>
      <c r="Z54" s="57" t="str">
        <f>IFERROR(__xludf.DUMMYFUNCTION("""COMPUTED_VALUE"""),"miguel.ardila@aunap.gov.co")</f>
        <v>miguel.ardila@aunap.gov.co</v>
      </c>
      <c r="AA54" s="47" t="str">
        <f>IFERROR(__xludf.DUMMYFUNCTION("""COMPUTED_VALUE"""),"Humanos, Físicos, Financieros, Tecnológicos")</f>
        <v>Humanos, Físicos, Financieros, Tecnológicos</v>
      </c>
      <c r="AB54" s="47" t="str">
        <f>IFERROR(__xludf.DUMMYFUNCTION("""COMPUTED_VALUE"""),"No asociado")</f>
        <v>No asociado</v>
      </c>
      <c r="AC54" s="47" t="str">
        <f>IFERROR(__xludf.DUMMYFUNCTION("""COMPUTED_VALUE"""),"Propiciar la formalización de la pesca y la acuicultura")</f>
        <v>Propiciar la formalización de la pesca y la acuicultura</v>
      </c>
      <c r="AD54" s="47" t="str">
        <f>IFERROR(__xludf.DUMMYFUNCTION("""COMPUTED_VALUE"""),"Gestión con valores para resultados")</f>
        <v>Gestión con valores para resultados</v>
      </c>
      <c r="AE54" s="47" t="str">
        <f>IFERROR(__xludf.DUMMYFUNCTION("""COMPUTED_VALUE"""),"Defensa Jurídica")</f>
        <v>Defensa Jurídica</v>
      </c>
      <c r="AF54" s="47" t="str">
        <f>IFERROR(__xludf.DUMMYFUNCTION("""COMPUTED_VALUE"""),"16. Paz, justicia e instituciones sólidas")</f>
        <v>16. Paz, justicia e instituciones sólidas</v>
      </c>
      <c r="AG54" s="79">
        <f>IFERROR(__xludf.DUMMYFUNCTION("""COMPUTED_VALUE"""),1.0)</f>
        <v>1</v>
      </c>
      <c r="AH54" s="59" t="str">
        <f>IFERROR(__xludf.DUMMYFUNCTION("""COMPUTED_VALUE"""),"OPORTUNIDAD EN LAS RESPUESTAS DE LOS DERECHOS DE PETICIÓN EN LOS TÉRMINOS ESTABLECIDOS LEGALMENTE, ASI MISMO VIGILANCIA A LOS PROCESOS JUDICIALES POR PARTE DE LOS APODERADOS DE LA OAJ")</f>
        <v>OPORTUNIDAD EN LAS RESPUESTAS DE LOS DERECHOS DE PETICIÓN EN LOS TÉRMINOS ESTABLECIDOS LEGALMENTE, ASI MISMO VIGILANCIA A LOS PROCESOS JUDICIALES POR PARTE DE LOS APODERADOS DE LA OAJ</v>
      </c>
      <c r="AI54" s="80" t="str">
        <f>IFERROR(__xludf.DUMMYFUNCTION("""COMPUTED_VALUE"""),"https://drive.google.com/drive/folders/1Yx7PgLI7Gm1EpLH64uLTGnWI3LCamwFn")</f>
        <v>https://drive.google.com/drive/folders/1Yx7PgLI7Gm1EpLH64uLTGnWI3LCamwFn</v>
      </c>
      <c r="AJ54" s="60">
        <f>IFERROR(__xludf.DUMMYFUNCTION("""COMPUTED_VALUE"""),44396.0)</f>
        <v>44396</v>
      </c>
      <c r="AK54" s="61" t="str">
        <f>IFERROR(IF((AL54+1)&lt;2,Alertas!$B$2&amp;TEXT(AL54,"0%")&amp;Alertas!$D$2, IF((AL54+1)=2,Alertas!$B$3,IF((AL54+1)&gt;2,Alertas!$B$4&amp;TEXT(AL54,"0%")&amp;Alertas!$D$4,AL54+1))),"Sin meta para el segundo trimestre")</f>
        <v>La ejecución de la meta registrada se encuentra acorde a la meta programada en la formulación del plan de acción para el segundo trimestre</v>
      </c>
      <c r="AL54" s="62">
        <f t="shared" si="2"/>
        <v>1</v>
      </c>
      <c r="AM54" s="61" t="str">
        <f t="shared" si="3"/>
        <v>La ejecución de la meta registrada se encuentra acorde a la meta programada en la formulación del plan de acción para el segundo trimestre.</v>
      </c>
      <c r="AN54" s="63"/>
      <c r="AO54" s="64"/>
      <c r="AP54" s="65"/>
      <c r="AQ54" s="65"/>
      <c r="AR54" s="66"/>
      <c r="AS54" s="67"/>
      <c r="AT54" s="68"/>
      <c r="AU54" s="63"/>
      <c r="AV54" s="64"/>
      <c r="AW54" s="69"/>
      <c r="AX54" s="65"/>
      <c r="AY54" s="70"/>
      <c r="AZ54" s="71"/>
      <c r="BA54" s="72"/>
      <c r="BB54" s="73"/>
      <c r="BC54" s="64"/>
      <c r="BD54" s="69"/>
      <c r="BE54" s="65"/>
      <c r="BF54" s="66"/>
      <c r="BG54" s="71"/>
      <c r="BH54" s="72"/>
      <c r="BI54" s="74"/>
      <c r="BK54" s="5" t="str">
        <f t="shared" si="23"/>
        <v>0</v>
      </c>
      <c r="BM54" s="5"/>
    </row>
    <row r="55" ht="37.5" customHeight="1">
      <c r="A55" s="45"/>
      <c r="B55" s="46">
        <f>IFERROR(__xludf.DUMMYFUNCTION("""COMPUTED_VALUE"""),53.0)</f>
        <v>53</v>
      </c>
      <c r="C55" s="47" t="str">
        <f>IFERROR(__xludf.DUMMYFUNCTION("""COMPUTED_VALUE"""),"Gestión jurídica")</f>
        <v>Gestión jurídica</v>
      </c>
      <c r="D55" s="48" t="str">
        <f>IFERROR(__xludf.DUMMYFUNCTION("""COMPUTED_VALUE"""),"Oficina Asesor Jurídica")</f>
        <v>Oficina Asesor Jurídica</v>
      </c>
      <c r="E55" s="48" t="str">
        <f>IFERROR(__xludf.DUMMYFUNCTION("""COMPUTED_VALUE"""),"Fortalecimiento de la capacidad de gestión de la autoridad nacional de acuicultura y pesca - aunap nacional")</f>
        <v>Fortalecimiento de la capacidad de gestión de la autoridad nacional de acuicultura y pesca - aunap nacional</v>
      </c>
      <c r="F55" s="49">
        <f>IFERROR(__xludf.DUMMYFUNCTION("""COMPUTED_VALUE"""),2.018011000241E12)</f>
        <v>2018011000241</v>
      </c>
      <c r="G55" s="50" t="str">
        <f>IFERROR(__xludf.DUMMYFUNCTION("""COMPUTED_VALUE"""),"Fortalecimiento")</f>
        <v>Fortalecimiento</v>
      </c>
      <c r="H55" s="48" t="str">
        <f>IFERROR(__xludf.DUMMYFUNCTION("""COMPUTED_VALUE"""),"Fortalecer los sistemas de gestión de la Entidad")</f>
        <v>Fortalecer los sistemas de gestión de la Entidad</v>
      </c>
      <c r="I55" s="48" t="str">
        <f>IFERROR(__xludf.DUMMYFUNCTION("""COMPUTED_VALUE"""),"Servicio de Implementación Sistemas de Gestión")</f>
        <v>Servicio de Implementación Sistemas de Gestión</v>
      </c>
      <c r="J5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5" s="51" t="str">
        <f>IFERROR(__xludf.DUMMYFUNCTION("""COMPUTED_VALUE"""),"Gestión del área")</f>
        <v>Gestión del área</v>
      </c>
      <c r="L55" s="51" t="str">
        <f>IFERROR(__xludf.DUMMYFUNCTION("""COMPUTED_VALUE"""),"Eficacia")</f>
        <v>Eficacia</v>
      </c>
      <c r="M55" s="51" t="str">
        <f>IFERROR(__xludf.DUMMYFUNCTION("""COMPUTED_VALUE"""),"Porcentaje")</f>
        <v>Porcentaje</v>
      </c>
      <c r="N55" s="52" t="str">
        <f>IFERROR(__xludf.DUMMYFUNCTION("""COMPUTED_VALUE"""),"Número de cobro persuasivo y/o coactivo atendidos/Número de procesos allegados a la OAJ por ente coactivo *100")</f>
        <v>Número de cobro persuasivo y/o coactivo atendidos/Número de procesos allegados a la OAJ por ente coactivo *100</v>
      </c>
      <c r="O55" s="53"/>
      <c r="P55" s="54">
        <f>IFERROR(__xludf.DUMMYFUNCTION("""COMPUTED_VALUE"""),1.0)</f>
        <v>1</v>
      </c>
      <c r="Q55" s="55" t="str">
        <f>IFERROR(__xludf.DUMMYFUNCTION("""COMPUTED_VALUE"""),"Coordinar el proceso de cobro persuasivo y/o coactivo de conformidad a la Resolucion 1708 del 5 de octubre de 2016 ""Reglamento Interno de Cartera y Manual de Cobro Coactivo"" suscrito por la Oficina Asesora Jurídica.")</f>
        <v>Coordinar el proceso de cobro persuasivo y/o coactivo de conformidad a la Resolucion 1708 del 5 de octubre de 2016 "Reglamento Interno de Cartera y Manual de Cobro Coactivo" suscrito por la Oficina Asesora Jurídica.</v>
      </c>
      <c r="R55" s="14" t="str">
        <f>IFERROR(__xludf.DUMMYFUNCTION("""COMPUTED_VALUE"""),"Trimestral")</f>
        <v>Trimestral</v>
      </c>
      <c r="S55" s="54">
        <f>IFERROR(__xludf.DUMMYFUNCTION("""COMPUTED_VALUE"""),1.0)</f>
        <v>1</v>
      </c>
      <c r="T55" s="54">
        <f>IFERROR(__xludf.DUMMYFUNCTION("""COMPUTED_VALUE"""),1.0)</f>
        <v>1</v>
      </c>
      <c r="U55" s="54">
        <f>IFERROR(__xludf.DUMMYFUNCTION("""COMPUTED_VALUE"""),1.0)</f>
        <v>1</v>
      </c>
      <c r="V55" s="54">
        <f>IFERROR(__xludf.DUMMYFUNCTION("""COMPUTED_VALUE"""),1.0)</f>
        <v>1</v>
      </c>
      <c r="W55" s="56" t="str">
        <f>IFERROR(__xludf.DUMMYFUNCTION("""COMPUTED_VALUE"""),"Oficina Asesoria Juridica")</f>
        <v>Oficina Asesoria Juridica</v>
      </c>
      <c r="X55" s="57" t="str">
        <f>IFERROR(__xludf.DUMMYFUNCTION("""COMPUTED_VALUE"""),"Miguel Angel Ardila")</f>
        <v>Miguel Angel Ardila</v>
      </c>
      <c r="Y55" s="47" t="str">
        <f>IFERROR(__xludf.DUMMYFUNCTION("""COMPUTED_VALUE"""),"Jefe Oficina Asesora Juridica")</f>
        <v>Jefe Oficina Asesora Juridica</v>
      </c>
      <c r="Z55" s="57" t="str">
        <f>IFERROR(__xludf.DUMMYFUNCTION("""COMPUTED_VALUE"""),"miguel.ardila@aunap.gov.co")</f>
        <v>miguel.ardila@aunap.gov.co</v>
      </c>
      <c r="AA55" s="47" t="str">
        <f>IFERROR(__xludf.DUMMYFUNCTION("""COMPUTED_VALUE"""),"Humanos, Físicos, Financieros, Tecnológicos")</f>
        <v>Humanos, Físicos, Financieros, Tecnológicos</v>
      </c>
      <c r="AB55" s="47" t="str">
        <f>IFERROR(__xludf.DUMMYFUNCTION("""COMPUTED_VALUE"""),"No asociado")</f>
        <v>No asociado</v>
      </c>
      <c r="AC5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55" s="47" t="str">
        <f>IFERROR(__xludf.DUMMYFUNCTION("""COMPUTED_VALUE"""),"Gestión con valores para resultados")</f>
        <v>Gestión con valores para resultados</v>
      </c>
      <c r="AE55" s="47" t="str">
        <f>IFERROR(__xludf.DUMMYFUNCTION("""COMPUTED_VALUE"""),"Defensa Jurídica")</f>
        <v>Defensa Jurídica</v>
      </c>
      <c r="AF55" s="47" t="str">
        <f>IFERROR(__xludf.DUMMYFUNCTION("""COMPUTED_VALUE"""),"16. Paz, justicia e instituciones sólidas")</f>
        <v>16. Paz, justicia e instituciones sólidas</v>
      </c>
      <c r="AG55" s="79">
        <f>IFERROR(__xludf.DUMMYFUNCTION("""COMPUTED_VALUE"""),1.0)</f>
        <v>1</v>
      </c>
      <c r="AH55" s="59" t="str">
        <f>IFERROR(__xludf.DUMMYFUNCTION("""COMPUTED_VALUE"""),"ATENCION OPORTUNA Y SEGUIMIENTO EN CADA UNA DE LAS ETAPAS DEL PROCESO COACTIVO.")</f>
        <v>ATENCION OPORTUNA Y SEGUIMIENTO EN CADA UNA DE LAS ETAPAS DEL PROCESO COACTIVO.</v>
      </c>
      <c r="AI55" s="81" t="str">
        <f>IFERROR(__xludf.DUMMYFUNCTION("""COMPUTED_VALUE"""),"https://drive.google.com/drive/folders/1Yx7PgLI7Gm1EpLH64uLTGnWI3LCamwFn")</f>
        <v>https://drive.google.com/drive/folders/1Yx7PgLI7Gm1EpLH64uLTGnWI3LCamwFn</v>
      </c>
      <c r="AJ55" s="60">
        <f>IFERROR(__xludf.DUMMYFUNCTION("""COMPUTED_VALUE"""),44396.0)</f>
        <v>44396</v>
      </c>
      <c r="AK55" s="61" t="str">
        <f>IFERROR(IF((AL55+1)&lt;2,Alertas!$B$2&amp;TEXT(AL55,"0%")&amp;Alertas!$D$2, IF((AL55+1)=2,Alertas!$B$3,IF((AL55+1)&gt;2,Alertas!$B$4&amp;TEXT(AL55,"0%")&amp;Alertas!$D$4,AL55+1))),"Sin meta para el segundo trimestre")</f>
        <v>La ejecución de la meta registrada se encuentra acorde a la meta programada en la formulación del plan de acción para el segundo trimestre</v>
      </c>
      <c r="AL55" s="62">
        <f t="shared" si="2"/>
        <v>1</v>
      </c>
      <c r="AM55" s="61" t="str">
        <f t="shared" si="3"/>
        <v>La ejecución de la meta registrada se encuentra acorde a la meta programada en la formulación del plan de acción para el segundo trimestre.</v>
      </c>
      <c r="AN55" s="63"/>
      <c r="AO55" s="64"/>
      <c r="AP55" s="65"/>
      <c r="AQ55" s="65"/>
      <c r="AR55" s="66"/>
      <c r="AS55" s="67"/>
      <c r="AT55" s="68"/>
      <c r="AU55" s="63"/>
      <c r="AV55" s="64"/>
      <c r="AW55" s="69"/>
      <c r="AX55" s="65"/>
      <c r="AY55" s="70"/>
      <c r="AZ55" s="71"/>
      <c r="BA55" s="72"/>
      <c r="BB55" s="73"/>
      <c r="BC55" s="64"/>
      <c r="BD55" s="69"/>
      <c r="BE55" s="65"/>
      <c r="BF55" s="66"/>
      <c r="BG55" s="71"/>
      <c r="BH55" s="72"/>
      <c r="BI55" s="74"/>
      <c r="BK55" s="5" t="str">
        <f t="shared" si="23"/>
        <v>0</v>
      </c>
      <c r="BM55" s="5"/>
    </row>
    <row r="56" ht="37.5" customHeight="1">
      <c r="A56" s="45"/>
      <c r="B56" s="46">
        <f>IFERROR(__xludf.DUMMYFUNCTION("""COMPUTED_VALUE"""),54.0)</f>
        <v>54</v>
      </c>
      <c r="C56" s="47" t="str">
        <f>IFERROR(__xludf.DUMMYFUNCTION("""COMPUTED_VALUE"""),"Gestión jurídica")</f>
        <v>Gestión jurídica</v>
      </c>
      <c r="D56" s="48" t="str">
        <f>IFERROR(__xludf.DUMMYFUNCTION("""COMPUTED_VALUE"""),"Oficina Asesor Jurídica")</f>
        <v>Oficina Asesor Jurídica</v>
      </c>
      <c r="E56" s="48" t="str">
        <f>IFERROR(__xludf.DUMMYFUNCTION("""COMPUTED_VALUE"""),"Fortalecimiento de la capacidad de gestión de la autoridad nacional de acuicultura y pesca - aunap nacional")</f>
        <v>Fortalecimiento de la capacidad de gestión de la autoridad nacional de acuicultura y pesca - aunap nacional</v>
      </c>
      <c r="F56" s="49">
        <f>IFERROR(__xludf.DUMMYFUNCTION("""COMPUTED_VALUE"""),2.018011000241E12)</f>
        <v>2018011000241</v>
      </c>
      <c r="G56" s="50" t="str">
        <f>IFERROR(__xludf.DUMMYFUNCTION("""COMPUTED_VALUE"""),"Fortalecimiento")</f>
        <v>Fortalecimiento</v>
      </c>
      <c r="H56" s="48" t="str">
        <f>IFERROR(__xludf.DUMMYFUNCTION("""COMPUTED_VALUE"""),"Fortalecer los sistemas de gestión de la Entidad")</f>
        <v>Fortalecer los sistemas de gestión de la Entidad</v>
      </c>
      <c r="I56" s="48" t="str">
        <f>IFERROR(__xludf.DUMMYFUNCTION("""COMPUTED_VALUE"""),"Servicio de Implementación Sistemas de Gestión")</f>
        <v>Servicio de Implementación Sistemas de Gestión</v>
      </c>
      <c r="J56"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6" s="51" t="str">
        <f>IFERROR(__xludf.DUMMYFUNCTION("""COMPUTED_VALUE"""),"Gestión del área")</f>
        <v>Gestión del área</v>
      </c>
      <c r="L56" s="51" t="str">
        <f>IFERROR(__xludf.DUMMYFUNCTION("""COMPUTED_VALUE"""),"Eficacia")</f>
        <v>Eficacia</v>
      </c>
      <c r="M56" s="51" t="str">
        <f>IFERROR(__xludf.DUMMYFUNCTION("""COMPUTED_VALUE"""),"Porcentaje")</f>
        <v>Porcentaje</v>
      </c>
      <c r="N56" s="52" t="str">
        <f>IFERROR(__xludf.DUMMYFUNCTION("""COMPUTED_VALUE"""),"Número de actos administrativos  revisados y Proyectados/ Número de solicitudes de revisión y proyección de actos administrativos por parte de la Dirección General y  demas areas AUNAP*100")</f>
        <v>Número de actos administrativos  revisados y Proyectados/ Número de solicitudes de revisión y proyección de actos administrativos por parte de la Dirección General y  demas areas AUNAP*100</v>
      </c>
      <c r="O56" s="53"/>
      <c r="P56" s="54">
        <f>IFERROR(__xludf.DUMMYFUNCTION("""COMPUTED_VALUE"""),1.0)</f>
        <v>1</v>
      </c>
      <c r="Q56" s="55" t="str">
        <f>IFERROR(__xludf.DUMMYFUNCTION("""COMPUTED_VALUE"""),"Proyectar y revisar los actos administrativos segun solicitud de la Dirección General, igualmente apoyo y acompañamiento juridico a las demas àreas de la entidad.")</f>
        <v>Proyectar y revisar los actos administrativos segun solicitud de la Dirección General, igualmente apoyo y acompañamiento juridico a las demas àreas de la entidad.</v>
      </c>
      <c r="R56" s="14" t="str">
        <f>IFERROR(__xludf.DUMMYFUNCTION("""COMPUTED_VALUE"""),"Trimestral")</f>
        <v>Trimestral</v>
      </c>
      <c r="S56" s="54">
        <f>IFERROR(__xludf.DUMMYFUNCTION("""COMPUTED_VALUE"""),1.0)</f>
        <v>1</v>
      </c>
      <c r="T56" s="54">
        <f>IFERROR(__xludf.DUMMYFUNCTION("""COMPUTED_VALUE"""),1.0)</f>
        <v>1</v>
      </c>
      <c r="U56" s="54">
        <f>IFERROR(__xludf.DUMMYFUNCTION("""COMPUTED_VALUE"""),1.0)</f>
        <v>1</v>
      </c>
      <c r="V56" s="54">
        <f>IFERROR(__xludf.DUMMYFUNCTION("""COMPUTED_VALUE"""),1.0)</f>
        <v>1</v>
      </c>
      <c r="W56" s="56" t="str">
        <f>IFERROR(__xludf.DUMMYFUNCTION("""COMPUTED_VALUE"""),"Oficina Asesoria Juridica")</f>
        <v>Oficina Asesoria Juridica</v>
      </c>
      <c r="X56" s="57" t="str">
        <f>IFERROR(__xludf.DUMMYFUNCTION("""COMPUTED_VALUE"""),"Miguel Angel Ardila")</f>
        <v>Miguel Angel Ardila</v>
      </c>
      <c r="Y56" s="47" t="str">
        <f>IFERROR(__xludf.DUMMYFUNCTION("""COMPUTED_VALUE"""),"Jefe Oficina Asesora Juridica")</f>
        <v>Jefe Oficina Asesora Juridica</v>
      </c>
      <c r="Z56" s="57" t="str">
        <f>IFERROR(__xludf.DUMMYFUNCTION("""COMPUTED_VALUE"""),"miguel.ardila@aunap.gov.co")</f>
        <v>miguel.ardila@aunap.gov.co</v>
      </c>
      <c r="AA56" s="47" t="str">
        <f>IFERROR(__xludf.DUMMYFUNCTION("""COMPUTED_VALUE"""),"Humanos, Físicos, Financieros, Tecnológicos")</f>
        <v>Humanos, Físicos, Financieros, Tecnológicos</v>
      </c>
      <c r="AB56" s="47" t="str">
        <f>IFERROR(__xludf.DUMMYFUNCTION("""COMPUTED_VALUE"""),"No asociado")</f>
        <v>No asociado</v>
      </c>
      <c r="AC56" s="47" t="str">
        <f>IFERROR(__xludf.DUMMYFUNCTION("""COMPUTED_VALUE"""),"Propiciar la formalización de la pesca y la acuicultura")</f>
        <v>Propiciar la formalización de la pesca y la acuicultura</v>
      </c>
      <c r="AD56" s="47" t="str">
        <f>IFERROR(__xludf.DUMMYFUNCTION("""COMPUTED_VALUE"""),"Gestión con valores para resultados")</f>
        <v>Gestión con valores para resultados</v>
      </c>
      <c r="AE56" s="47" t="str">
        <f>IFERROR(__xludf.DUMMYFUNCTION("""COMPUTED_VALUE"""),"Defensa Jurídica")</f>
        <v>Defensa Jurídica</v>
      </c>
      <c r="AF56" s="47" t="str">
        <f>IFERROR(__xludf.DUMMYFUNCTION("""COMPUTED_VALUE"""),"16. Paz, justicia e instituciones sólidas")</f>
        <v>16. Paz, justicia e instituciones sólidas</v>
      </c>
      <c r="AG56" s="79">
        <f>IFERROR(__xludf.DUMMYFUNCTION("""COMPUTED_VALUE"""),1.0)</f>
        <v>1</v>
      </c>
      <c r="AH56" s="59" t="str">
        <f>IFERROR(__xludf.DUMMYFUNCTION("""COMPUTED_VALUE"""),"EJECUCIÓN  EN TIEMPOS, REVISIÓN Y ASISTENCIA DE LOS ACTOS ADMINISTRATIVOS JURIDICAMENTE  DANDO CUMPLIMIENTO A LAS FUNCIONES DE LA OAJ")</f>
        <v>EJECUCIÓN  EN TIEMPOS, REVISIÓN Y ASISTENCIA DE LOS ACTOS ADMINISTRATIVOS JURIDICAMENTE  DANDO CUMPLIMIENTO A LAS FUNCIONES DE LA OAJ</v>
      </c>
      <c r="AI56" s="80" t="str">
        <f>IFERROR(__xludf.DUMMYFUNCTION("""COMPUTED_VALUE"""),"https://drive.google.com/drive/folders/1Yx7PgLI7Gm1EpLH64uLTGnWI3LCamwFn")</f>
        <v>https://drive.google.com/drive/folders/1Yx7PgLI7Gm1EpLH64uLTGnWI3LCamwFn</v>
      </c>
      <c r="AJ56" s="60">
        <f>IFERROR(__xludf.DUMMYFUNCTION("""COMPUTED_VALUE"""),44396.0)</f>
        <v>44396</v>
      </c>
      <c r="AK56" s="61" t="str">
        <f>IFERROR(IF((AL56+1)&lt;2,Alertas!$B$2&amp;TEXT(AL56,"0%")&amp;Alertas!$D$2, IF((AL56+1)=2,Alertas!$B$3,IF((AL56+1)&gt;2,Alertas!$B$4&amp;TEXT(AL56,"0%")&amp;Alertas!$D$4,AL56+1))),"Sin meta para el segundo trimestre")</f>
        <v>La ejecución de la meta registrada se encuentra acorde a la meta programada en la formulación del plan de acción para el segundo trimestre</v>
      </c>
      <c r="AL56" s="62">
        <f t="shared" si="2"/>
        <v>1</v>
      </c>
      <c r="AM56" s="61" t="str">
        <f t="shared" si="3"/>
        <v>La ejecución de la meta registrada se encuentra acorde a la meta programada en la formulación del plan de acción para el segundo trimestre.</v>
      </c>
      <c r="AN56" s="63"/>
      <c r="AO56" s="64"/>
      <c r="AP56" s="65"/>
      <c r="AQ56" s="65"/>
      <c r="AR56" s="66"/>
      <c r="AS56" s="67"/>
      <c r="AT56" s="68"/>
      <c r="AU56" s="63"/>
      <c r="AV56" s="64"/>
      <c r="AW56" s="69"/>
      <c r="AX56" s="65"/>
      <c r="AY56" s="70"/>
      <c r="AZ56" s="71"/>
      <c r="BA56" s="72"/>
      <c r="BB56" s="73"/>
      <c r="BC56" s="64"/>
      <c r="BD56" s="69"/>
      <c r="BE56" s="65"/>
      <c r="BF56" s="66"/>
      <c r="BG56" s="71"/>
      <c r="BH56" s="72"/>
      <c r="BI56" s="74"/>
      <c r="BK56" s="5" t="str">
        <f t="shared" si="23"/>
        <v>0</v>
      </c>
      <c r="BM56" s="5"/>
    </row>
    <row r="57" ht="37.5" customHeight="1">
      <c r="A57" s="45"/>
      <c r="B57" s="46">
        <f>IFERROR(__xludf.DUMMYFUNCTION("""COMPUTED_VALUE"""),55.0)</f>
        <v>55</v>
      </c>
      <c r="C57" s="47" t="str">
        <f>IFERROR(__xludf.DUMMYFUNCTION("""COMPUTED_VALUE"""),"Gestión jurídica")</f>
        <v>Gestión jurídica</v>
      </c>
      <c r="D57" s="48" t="str">
        <f>IFERROR(__xludf.DUMMYFUNCTION("""COMPUTED_VALUE"""),"Oficina Asesor Jurídica")</f>
        <v>Oficina Asesor Jurídica</v>
      </c>
      <c r="E57" s="48" t="str">
        <f>IFERROR(__xludf.DUMMYFUNCTION("""COMPUTED_VALUE"""),"Fortalecimiento de la sostenibilidad del sector pesquero y de la acuicultura en el territorio nacional")</f>
        <v>Fortalecimiento de la sostenibilidad del sector pesquero y de la acuicultura en el territorio nacional</v>
      </c>
      <c r="F57" s="49">
        <f>IFERROR(__xludf.DUMMYFUNCTION("""COMPUTED_VALUE"""),2.01901100028E12)</f>
        <v>2019011000280</v>
      </c>
      <c r="G57" s="50" t="str">
        <f>IFERROR(__xludf.DUMMYFUNCTION("""COMPUTED_VALUE"""),"Sostenibilidad")</f>
        <v>Sostenibilidad</v>
      </c>
      <c r="H57" s="48" t="str">
        <f>IFERROR(__xludf.DUMMYFUNCTION("""COMPUTED_VALUE"""),"Mejorar las prácticas de pesca y de acuicultura.")</f>
        <v>Mejorar las prácticas de pesca y de acuicultura.</v>
      </c>
      <c r="I57" s="48" t="str">
        <f>IFERROR(__xludf.DUMMYFUNCTION("""COMPUTED_VALUE"""),"Servicios de apoyo al fomento de la pesca y la acuicultura")</f>
        <v>Servicios de apoyo al fomento de la pesca y la acuicultura</v>
      </c>
      <c r="J57" s="48" t="str">
        <f>IFERROR(__xludf.DUMMYFUNCTION("""COMPUTED_VALUE"""),"Generar acciones de fomento para la pesca, la acuicultura y sus actividades conexas.")</f>
        <v>Generar acciones de fomento para la pesca, la acuicultura y sus actividades conexas.</v>
      </c>
      <c r="K57" s="51" t="str">
        <f>IFERROR(__xludf.DUMMYFUNCTION("""COMPUTED_VALUE"""),"Gestión del área")</f>
        <v>Gestión del área</v>
      </c>
      <c r="L57" s="51" t="str">
        <f>IFERROR(__xludf.DUMMYFUNCTION("""COMPUTED_VALUE"""),"Eficacia")</f>
        <v>Eficacia</v>
      </c>
      <c r="M57" s="51" t="str">
        <f>IFERROR(__xludf.DUMMYFUNCTION("""COMPUTED_VALUE"""),"Porcentaje")</f>
        <v>Porcentaje</v>
      </c>
      <c r="N57" s="52" t="str">
        <f>IFERROR(__xludf.DUMMYFUNCTION("""COMPUTED_VALUE"""),"Número de proyectos de ley, conceptos o materias legales/Número revision y elaboracion de proyectos de ley , coceptos o materias legales * 100")</f>
        <v>Número de proyectos de ley, conceptos o materias legales/Número revision y elaboracion de proyectos de ley , coceptos o materias legales * 100</v>
      </c>
      <c r="O57" s="53"/>
      <c r="P57" s="54">
        <f>IFERROR(__xludf.DUMMYFUNCTION("""COMPUTED_VALUE"""),1.0)</f>
        <v>1</v>
      </c>
      <c r="Q57" s="55" t="str">
        <f>IFERROR(__xludf.DUMMYFUNCTION("""COMPUTED_VALUE"""),"Acompañamiento juridico en la elaboraciòn de los proyectos de ley, conceptos o materias legales y asesorar juridicamente al Director General y demàs istancias de la entidad")</f>
        <v>Acompañamiento juridico en la elaboraciòn de los proyectos de ley, conceptos o materias legales y asesorar juridicamente al Director General y demàs istancias de la entidad</v>
      </c>
      <c r="R57" s="14" t="str">
        <f>IFERROR(__xludf.DUMMYFUNCTION("""COMPUTED_VALUE"""),"Trimestral")</f>
        <v>Trimestral</v>
      </c>
      <c r="S57" s="54">
        <f>IFERROR(__xludf.DUMMYFUNCTION("""COMPUTED_VALUE"""),1.0)</f>
        <v>1</v>
      </c>
      <c r="T57" s="54">
        <f>IFERROR(__xludf.DUMMYFUNCTION("""COMPUTED_VALUE"""),1.0)</f>
        <v>1</v>
      </c>
      <c r="U57" s="54">
        <f>IFERROR(__xludf.DUMMYFUNCTION("""COMPUTED_VALUE"""),1.0)</f>
        <v>1</v>
      </c>
      <c r="V57" s="54">
        <f>IFERROR(__xludf.DUMMYFUNCTION("""COMPUTED_VALUE"""),1.0)</f>
        <v>1</v>
      </c>
      <c r="W57" s="56" t="str">
        <f>IFERROR(__xludf.DUMMYFUNCTION("""COMPUTED_VALUE"""),"Oficina Asesoria Juridica")</f>
        <v>Oficina Asesoria Juridica</v>
      </c>
      <c r="X57" s="57" t="str">
        <f>IFERROR(__xludf.DUMMYFUNCTION("""COMPUTED_VALUE"""),"Miguel Angel Ardila")</f>
        <v>Miguel Angel Ardila</v>
      </c>
      <c r="Y57" s="47" t="str">
        <f>IFERROR(__xludf.DUMMYFUNCTION("""COMPUTED_VALUE"""),"Jefe Oficina Asesora Juridica")</f>
        <v>Jefe Oficina Asesora Juridica</v>
      </c>
      <c r="Z57" s="57" t="str">
        <f>IFERROR(__xludf.DUMMYFUNCTION("""COMPUTED_VALUE"""),"miguel.ardila@aunap.gov.co")</f>
        <v>miguel.ardila@aunap.gov.co</v>
      </c>
      <c r="AA57" s="47" t="str">
        <f>IFERROR(__xludf.DUMMYFUNCTION("""COMPUTED_VALUE"""),"Humanos, Físicos, Financieros, Tecnológicos")</f>
        <v>Humanos, Físicos, Financieros, Tecnológicos</v>
      </c>
      <c r="AB57" s="47" t="str">
        <f>IFERROR(__xludf.DUMMYFUNCTION("""COMPUTED_VALUE"""),"No asociado")</f>
        <v>No asociado</v>
      </c>
      <c r="AC57" s="47" t="str">
        <f>IFERROR(__xludf.DUMMYFUNCTION("""COMPUTED_VALUE"""),"Propiciar la formalización de la pesca y la acuicultura")</f>
        <v>Propiciar la formalización de la pesca y la acuicultura</v>
      </c>
      <c r="AD57" s="47" t="str">
        <f>IFERROR(__xludf.DUMMYFUNCTION("""COMPUTED_VALUE"""),"Gestión con valores para resultados")</f>
        <v>Gestión con valores para resultados</v>
      </c>
      <c r="AE57" s="47" t="str">
        <f>IFERROR(__xludf.DUMMYFUNCTION("""COMPUTED_VALUE"""),"Defensa Jurídica")</f>
        <v>Defensa Jurídica</v>
      </c>
      <c r="AF57" s="47" t="str">
        <f>IFERROR(__xludf.DUMMYFUNCTION("""COMPUTED_VALUE"""),"16. Paz, justicia e instituciones sólidas")</f>
        <v>16. Paz, justicia e instituciones sólidas</v>
      </c>
      <c r="AG57" s="79">
        <f>IFERROR(__xludf.DUMMYFUNCTION("""COMPUTED_VALUE"""),1.0)</f>
        <v>1</v>
      </c>
      <c r="AH57" s="59" t="str">
        <f>IFERROR(__xludf.DUMMYFUNCTION("""COMPUTED_VALUE"""),"CUMPLIMIENTO JURIDICO A LA DIRECCIÓN GENERAL Y DEMÁS ÁREAS DE LA AUTORIDAD JURIDICAMENTE.")</f>
        <v>CUMPLIMIENTO JURIDICO A LA DIRECCIÓN GENERAL Y DEMÁS ÁREAS DE LA AUTORIDAD JURIDICAMENTE.</v>
      </c>
      <c r="AI57" s="80" t="str">
        <f>IFERROR(__xludf.DUMMYFUNCTION("""COMPUTED_VALUE"""),"https://drive.google.com/drive/folders/1Yx7PgLI7Gm1EpLH64uLTGnWI3LCamwFn
")</f>
        <v>https://drive.google.com/drive/folders/1Yx7PgLI7Gm1EpLH64uLTGnWI3LCamwFn
</v>
      </c>
      <c r="AJ57" s="60">
        <f>IFERROR(__xludf.DUMMYFUNCTION("""COMPUTED_VALUE"""),44396.0)</f>
        <v>44396</v>
      </c>
      <c r="AK57" s="61" t="str">
        <f>IFERROR(IF((AL57+1)&lt;2,Alertas!$B$2&amp;TEXT(AL57,"0%")&amp;Alertas!$D$2, IF((AL57+1)=2,Alertas!$B$3,IF((AL57+1)&gt;2,Alertas!$B$4&amp;TEXT(AL57,"0%")&amp;Alertas!$D$4,AL57+1))),"Sin meta para el segundo trimestre")</f>
        <v>La ejecución de la meta registrada se encuentra acorde a la meta programada en la formulación del plan de acción para el segundo trimestre</v>
      </c>
      <c r="AL57" s="62">
        <f t="shared" si="2"/>
        <v>1</v>
      </c>
      <c r="AM57" s="61" t="str">
        <f t="shared" si="3"/>
        <v>La ejecución de la meta registrada se encuentra acorde a la meta programada en la formulación del plan de acción para el segundo trimestre.</v>
      </c>
      <c r="AN57" s="63"/>
      <c r="AO57" s="64"/>
      <c r="AP57" s="65"/>
      <c r="AQ57" s="65"/>
      <c r="AR57" s="66"/>
      <c r="AS57" s="67"/>
      <c r="AT57" s="68"/>
      <c r="AU57" s="63"/>
      <c r="AV57" s="64"/>
      <c r="AW57" s="69"/>
      <c r="AX57" s="65"/>
      <c r="AY57" s="70"/>
      <c r="AZ57" s="71"/>
      <c r="BA57" s="72"/>
      <c r="BB57" s="73"/>
      <c r="BC57" s="64"/>
      <c r="BD57" s="69"/>
      <c r="BE57" s="65"/>
      <c r="BF57" s="66"/>
      <c r="BG57" s="71"/>
      <c r="BH57" s="72"/>
      <c r="BI57" s="74"/>
      <c r="BK57" s="5" t="str">
        <f t="shared" si="23"/>
        <v>0</v>
      </c>
      <c r="BM57" s="5"/>
    </row>
    <row r="58" ht="37.5" customHeight="1">
      <c r="A58" s="45"/>
      <c r="B58" s="46">
        <f>IFERROR(__xludf.DUMMYFUNCTION("""COMPUTED_VALUE"""),56.0)</f>
        <v>56</v>
      </c>
      <c r="C58" s="47" t="str">
        <f>IFERROR(__xludf.DUMMYFUNCTION("""COMPUTED_VALUE"""),"Gestión jurídica")</f>
        <v>Gestión jurídica</v>
      </c>
      <c r="D58" s="48" t="str">
        <f>IFERROR(__xludf.DUMMYFUNCTION("""COMPUTED_VALUE"""),"Oficina Asesor Jurídica")</f>
        <v>Oficina Asesor Jurídica</v>
      </c>
      <c r="E58" s="48" t="str">
        <f>IFERROR(__xludf.DUMMYFUNCTION("""COMPUTED_VALUE"""),"Fortalecimiento de la capacidad de gestión de la autoridad nacional de acuicultura y pesca - aunap nacional")</f>
        <v>Fortalecimiento de la capacidad de gestión de la autoridad nacional de acuicultura y pesca - aunap nacional</v>
      </c>
      <c r="F58" s="49">
        <f>IFERROR(__xludf.DUMMYFUNCTION("""COMPUTED_VALUE"""),2.018011000241E12)</f>
        <v>2018011000241</v>
      </c>
      <c r="G58" s="50" t="str">
        <f>IFERROR(__xludf.DUMMYFUNCTION("""COMPUTED_VALUE"""),"Fortalecimiento")</f>
        <v>Fortalecimiento</v>
      </c>
      <c r="H58" s="48" t="str">
        <f>IFERROR(__xludf.DUMMYFUNCTION("""COMPUTED_VALUE"""),"Fortalecer los sistemas de gestión de la Entidad")</f>
        <v>Fortalecer los sistemas de gestión de la Entidad</v>
      </c>
      <c r="I58" s="48" t="str">
        <f>IFERROR(__xludf.DUMMYFUNCTION("""COMPUTED_VALUE"""),"Servicio de Implementación Sistemas de Gestión")</f>
        <v>Servicio de Implementación Sistemas de Gestión</v>
      </c>
      <c r="J5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8" s="51" t="str">
        <f>IFERROR(__xludf.DUMMYFUNCTION("""COMPUTED_VALUE"""),"Gestión del área")</f>
        <v>Gestión del área</v>
      </c>
      <c r="L58" s="51" t="str">
        <f>IFERROR(__xludf.DUMMYFUNCTION("""COMPUTED_VALUE"""),"Eficacia")</f>
        <v>Eficacia</v>
      </c>
      <c r="M58" s="51" t="str">
        <f>IFERROR(__xludf.DUMMYFUNCTION("""COMPUTED_VALUE"""),"Porcentaje")</f>
        <v>Porcentaje</v>
      </c>
      <c r="N58" s="52" t="str">
        <f>IFERROR(__xludf.DUMMYFUNCTION("""COMPUTED_VALUE"""),"Porcentaje del Sistema Unico de Gestión e Información de Actividad Litigiosa del Estado - eKOGUI actualizado con las piezas procesales.")</f>
        <v>Porcentaje del Sistema Unico de Gestión e Información de Actividad Litigiosa del Estado - eKOGUI actualizado con las piezas procesales.</v>
      </c>
      <c r="O58" s="53"/>
      <c r="P58" s="77">
        <f>IFERROR(__xludf.DUMMYFUNCTION("""COMPUTED_VALUE"""),1.0)</f>
        <v>1</v>
      </c>
      <c r="Q58" s="78" t="str">
        <f>IFERROR(__xludf.DUMMYFUNCTION("""COMPUTED_VALUE"""),"Seguimiento y actualizacion de las piezas procesales, provisiones y riesgos de cada uno de los procesos en la plataforma Sistema Unico de Gestión e Información de Actividad Litigiosa del Estado - eKOGUI. Asi mismo, participacion y toma de decisiones en el"&amp;" Comite de Conciliacion de la entidad.")</f>
        <v>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v>
      </c>
      <c r="R58" s="78" t="str">
        <f>IFERROR(__xludf.DUMMYFUNCTION("""COMPUTED_VALUE"""),"Trimestral")</f>
        <v>Trimestral</v>
      </c>
      <c r="S58" s="77">
        <f>IFERROR(__xludf.DUMMYFUNCTION("""COMPUTED_VALUE"""),1.0)</f>
        <v>1</v>
      </c>
      <c r="T58" s="77">
        <f>IFERROR(__xludf.DUMMYFUNCTION("""COMPUTED_VALUE"""),1.0)</f>
        <v>1</v>
      </c>
      <c r="U58" s="77">
        <f>IFERROR(__xludf.DUMMYFUNCTION("""COMPUTED_VALUE"""),1.0)</f>
        <v>1</v>
      </c>
      <c r="V58" s="77">
        <f>IFERROR(__xludf.DUMMYFUNCTION("""COMPUTED_VALUE"""),1.0)</f>
        <v>1</v>
      </c>
      <c r="W58" s="56" t="str">
        <f>IFERROR(__xludf.DUMMYFUNCTION("""COMPUTED_VALUE"""),"Oficina Asesoria Juridica")</f>
        <v>Oficina Asesoria Juridica</v>
      </c>
      <c r="X58" s="57" t="str">
        <f>IFERROR(__xludf.DUMMYFUNCTION("""COMPUTED_VALUE"""),"Miguel Angel Ardila")</f>
        <v>Miguel Angel Ardila</v>
      </c>
      <c r="Y58" s="47" t="str">
        <f>IFERROR(__xludf.DUMMYFUNCTION("""COMPUTED_VALUE"""),"Jefe Oficina Asesora Juridica")</f>
        <v>Jefe Oficina Asesora Juridica</v>
      </c>
      <c r="Z58" s="57" t="str">
        <f>IFERROR(__xludf.DUMMYFUNCTION("""COMPUTED_VALUE"""),"miguel.ardila@aunap.gov.co")</f>
        <v>miguel.ardila@aunap.gov.co</v>
      </c>
      <c r="AA58" s="47" t="str">
        <f>IFERROR(__xludf.DUMMYFUNCTION("""COMPUTED_VALUE"""),"Humanos, Físicos, Financieros, Tecnológicos")</f>
        <v>Humanos, Físicos, Financieros, Tecnológicos</v>
      </c>
      <c r="AB58" s="47" t="str">
        <f>IFERROR(__xludf.DUMMYFUNCTION("""COMPUTED_VALUE"""),"No asociado")</f>
        <v>No asociado</v>
      </c>
      <c r="AC58" s="47" t="str">
        <f>IFERROR(__xludf.DUMMYFUNCTION("""COMPUTED_VALUE"""),"Propiciar la formalización de la pesca y la acuicultura")</f>
        <v>Propiciar la formalización de la pesca y la acuicultura</v>
      </c>
      <c r="AD58" s="47" t="str">
        <f>IFERROR(__xludf.DUMMYFUNCTION("""COMPUTED_VALUE"""),"Gestión con valores para resultados")</f>
        <v>Gestión con valores para resultados</v>
      </c>
      <c r="AE58" s="47" t="str">
        <f>IFERROR(__xludf.DUMMYFUNCTION("""COMPUTED_VALUE"""),"Defensa Jurídica")</f>
        <v>Defensa Jurídica</v>
      </c>
      <c r="AF58" s="47" t="str">
        <f>IFERROR(__xludf.DUMMYFUNCTION("""COMPUTED_VALUE"""),"16. Paz, justicia e instituciones sólidas")</f>
        <v>16. Paz, justicia e instituciones sólidas</v>
      </c>
      <c r="AG58" s="79">
        <f>IFERROR(__xludf.DUMMYFUNCTION("""COMPUTED_VALUE"""),1.0)</f>
        <v>1</v>
      </c>
      <c r="AH58" s="59" t="str">
        <f>IFERROR(__xludf.DUMMYFUNCTION("""COMPUTED_VALUE"""),"ATENCIÓN OPURTUNA POR PARTE DE LOS APODERADOS ASIGNADOS EN LOS PROCESOS JUDICIALES EN LA ALIMENTACIÓN DE LA PLATAFORMA EKOGUI.")</f>
        <v>ATENCIÓN OPURTUNA POR PARTE DE LOS APODERADOS ASIGNADOS EN LOS PROCESOS JUDICIALES EN LA ALIMENTACIÓN DE LA PLATAFORMA EKOGUI.</v>
      </c>
      <c r="AI58" s="80" t="str">
        <f>IFERROR(__xludf.DUMMYFUNCTION("""COMPUTED_VALUE"""),"https://www.defensajuridica.gov.co/Paginas/Default.aspx")</f>
        <v>https://www.defensajuridica.gov.co/Paginas/Default.aspx</v>
      </c>
      <c r="AJ58" s="60">
        <f>IFERROR(__xludf.DUMMYFUNCTION("""COMPUTED_VALUE"""),44396.0)</f>
        <v>44396</v>
      </c>
      <c r="AK58" s="61" t="str">
        <f>IFERROR(IF((AL58+1)&lt;2,Alertas!$B$2&amp;TEXT(AL58,"0%")&amp;Alertas!$D$2, IF((AL58+1)=2,Alertas!$B$3,IF((AL58+1)&gt;2,Alertas!$B$4&amp;TEXT(AL58,"0%")&amp;Alertas!$D$4,AL58+1))),"Sin meta para el segundo trimestre")</f>
        <v>La ejecución de la meta registrada se encuentra acorde a la meta programada en la formulación del plan de acción para el segundo trimestre</v>
      </c>
      <c r="AL58" s="62">
        <f t="shared" si="2"/>
        <v>1</v>
      </c>
      <c r="AM58" s="61" t="str">
        <f t="shared" si="3"/>
        <v>La ejecución de la meta registrada se encuentra acorde a la meta programada en la formulación del plan de acción para el segundo trimestre.</v>
      </c>
      <c r="AN58" s="63"/>
      <c r="AO58" s="64"/>
      <c r="AP58" s="65"/>
      <c r="AQ58" s="65"/>
      <c r="AR58" s="66"/>
      <c r="AS58" s="67"/>
      <c r="AT58" s="68"/>
      <c r="AU58" s="63"/>
      <c r="AV58" s="64"/>
      <c r="AW58" s="69"/>
      <c r="AX58" s="65"/>
      <c r="AY58" s="70"/>
      <c r="AZ58" s="71"/>
      <c r="BA58" s="72"/>
      <c r="BB58" s="73"/>
      <c r="BC58" s="64"/>
      <c r="BD58" s="69"/>
      <c r="BE58" s="65"/>
      <c r="BF58" s="66"/>
      <c r="BG58" s="71"/>
      <c r="BH58" s="72"/>
      <c r="BI58" s="74"/>
      <c r="BK58" s="5" t="str">
        <f t="shared" si="23"/>
        <v>0</v>
      </c>
      <c r="BM58" s="5"/>
    </row>
    <row r="59" ht="37.5" customHeight="1">
      <c r="A59" s="45"/>
      <c r="B59" s="46">
        <f>IFERROR(__xludf.DUMMYFUNCTION("""COMPUTED_VALUE"""),57.0)</f>
        <v>57</v>
      </c>
      <c r="C59" s="47" t="str">
        <f>IFERROR(__xludf.DUMMYFUNCTION("""COMPUTED_VALUE"""),"Gestión de la información y generación del conocimiento")</f>
        <v>Gestión de la información y generación del conocimiento</v>
      </c>
      <c r="D59" s="48" t="str">
        <f>IFERROR(__xludf.DUMMYFUNCTION("""COMPUTED_VALUE"""),"Oficina de Generación del Conocimiento y la Información")</f>
        <v>Oficina de Generación del Conocimiento y la Información</v>
      </c>
      <c r="E5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59" s="49">
        <f>IFERROR(__xludf.DUMMYFUNCTION("""COMPUTED_VALUE"""),2.019011000277E12)</f>
        <v>2019011000277</v>
      </c>
      <c r="G59" s="50" t="str">
        <f>IFERROR(__xludf.DUMMYFUNCTION("""COMPUTED_VALUE"""),"Investigación")</f>
        <v>Investigación</v>
      </c>
      <c r="H5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59" s="48" t="str">
        <f>IFERROR(__xludf.DUMMYFUNCTION("""COMPUTED_VALUE"""),"Documentos de investigación")</f>
        <v>Documentos de investigación</v>
      </c>
      <c r="J59" s="48" t="str">
        <f>IFERROR(__xludf.DUMMYFUNCTION("""COMPUTED_VALUE"""),"Realizar cruceros de prospección, ubicación y potencialidad de recursos pesqueros marinos pelágicos y demersales en el pacífico y mar caribe")</f>
        <v>Realizar cruceros de prospección, ubicación y potencialidad de recursos pesqueros marinos pelágicos y demersales en el pacífico y mar caribe</v>
      </c>
      <c r="K59" s="51" t="str">
        <f>IFERROR(__xludf.DUMMYFUNCTION("""COMPUTED_VALUE"""),"Producto")</f>
        <v>Producto</v>
      </c>
      <c r="L59" s="51" t="str">
        <f>IFERROR(__xludf.DUMMYFUNCTION("""COMPUTED_VALUE"""),"Eficacia")</f>
        <v>Eficacia</v>
      </c>
      <c r="M59" s="51" t="str">
        <f>IFERROR(__xludf.DUMMYFUNCTION("""COMPUTED_VALUE"""),"Número")</f>
        <v>Número</v>
      </c>
      <c r="N59" s="52" t="str">
        <f>IFERROR(__xludf.DUMMYFUNCTION("""COMPUTED_VALUE"""),"Documentos de investigación elaborados")</f>
        <v>Documentos de investigación elaborados</v>
      </c>
      <c r="O59" s="53">
        <f>IFERROR(__xludf.DUMMYFUNCTION("""COMPUTED_VALUE"""),3.0)</f>
        <v>3</v>
      </c>
      <c r="P59" s="77">
        <f>IFERROR(__xludf.DUMMYFUNCTION("""COMPUTED_VALUE"""),3.0)</f>
        <v>3</v>
      </c>
      <c r="Q59" s="78" t="str">
        <f>IFERROR(__xludf.DUMMYFUNCTION("""COMPUTED_VALUE"""),"Construcción de documentos de investigacion con el fin de generar conocimiento sobre la evaluacion del recurso pesquero y de la actividad pesquera, realizadas desde la OGCI")</f>
        <v>Construcción de documentos de investigacion con el fin de generar conocimiento sobre la evaluacion del recurso pesquero y de la actividad pesquera, realizadas desde la OGCI</v>
      </c>
      <c r="R59" s="78" t="str">
        <f>IFERROR(__xludf.DUMMYFUNCTION("""COMPUTED_VALUE"""),"Anual")</f>
        <v>Anual</v>
      </c>
      <c r="S59" s="77">
        <f>IFERROR(__xludf.DUMMYFUNCTION("""COMPUTED_VALUE"""),0.0)</f>
        <v>0</v>
      </c>
      <c r="T59" s="77">
        <f>IFERROR(__xludf.DUMMYFUNCTION("""COMPUTED_VALUE"""),0.0)</f>
        <v>0</v>
      </c>
      <c r="U59" s="77">
        <f>IFERROR(__xludf.DUMMYFUNCTION("""COMPUTED_VALUE"""),0.0)</f>
        <v>0</v>
      </c>
      <c r="V59" s="77">
        <f>IFERROR(__xludf.DUMMYFUNCTION("""COMPUTED_VALUE"""),3.0)</f>
        <v>3</v>
      </c>
      <c r="W59" s="56" t="str">
        <f>IFERROR(__xludf.DUMMYFUNCTION("""COMPUTED_VALUE"""),"Oficina de Generación del Conocimiento y la Información")</f>
        <v>Oficina de Generación del Conocimiento y la Información</v>
      </c>
      <c r="X59" s="57" t="str">
        <f>IFERROR(__xludf.DUMMYFUNCTION("""COMPUTED_VALUE"""),"Maria Angarita Peñaranda")</f>
        <v>Maria Angarita Peñaranda</v>
      </c>
      <c r="Y59" s="47" t="str">
        <f>IFERROR(__xludf.DUMMYFUNCTION("""COMPUTED_VALUE"""),"Jefe Oficina")</f>
        <v>Jefe Oficina</v>
      </c>
      <c r="Z59" s="57" t="str">
        <f>IFERROR(__xludf.DUMMYFUNCTION("""COMPUTED_VALUE"""),"maria.angarita@aunap.gov.co")</f>
        <v>maria.angarita@aunap.gov.co</v>
      </c>
      <c r="AA59" s="47" t="str">
        <f>IFERROR(__xludf.DUMMYFUNCTION("""COMPUTED_VALUE"""),"Humanos, fisicos, financieros y tecnologicos")</f>
        <v>Humanos, fisicos, financieros y tecnologicos</v>
      </c>
      <c r="AB59" s="47" t="str">
        <f>IFERROR(__xludf.DUMMYFUNCTION("""COMPUTED_VALUE"""),"No asociado")</f>
        <v>No asociado</v>
      </c>
      <c r="AC5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59" s="47" t="str">
        <f>IFERROR(__xludf.DUMMYFUNCTION("""COMPUTED_VALUE"""),"Gestión del conocimiento")</f>
        <v>Gestión del conocimiento</v>
      </c>
      <c r="AE59" s="47" t="str">
        <f>IFERROR(__xludf.DUMMYFUNCTION("""COMPUTED_VALUE"""),"Gestión del Conocimiento y la Innovación")</f>
        <v>Gestión del Conocimiento y la Innovación</v>
      </c>
      <c r="AF59" s="47" t="str">
        <f>IFERROR(__xludf.DUMMYFUNCTION("""COMPUTED_VALUE"""),"12. Producción y consumo responsable")</f>
        <v>12. Producción y consumo responsable</v>
      </c>
      <c r="AG59" s="79">
        <f>IFERROR(__xludf.DUMMYFUNCTION("""COMPUTED_VALUE"""),0.0)</f>
        <v>0</v>
      </c>
      <c r="AH59" s="59" t="str">
        <f>IFERROR(__xludf.DUMMYFUNCTION("""COMPUTED_VALUE"""),"El reporte de esta actividad es anual, por ende no se reporta en este trimestre")</f>
        <v>El reporte de esta actividad es anual, por ende no se reporta en este trimestre</v>
      </c>
      <c r="AI59" s="59"/>
      <c r="AJ59" s="60">
        <f>IFERROR(__xludf.DUMMYFUNCTION("""COMPUTED_VALUE"""),44396.0)</f>
        <v>44396</v>
      </c>
      <c r="AK59" s="61" t="str">
        <f>IFERROR(IF((AL59+1)&lt;2,Alertas!$B$2&amp;TEXT(AL59,"0%")&amp;Alertas!$D$2, IF((AL59+1)=2,Alertas!$B$3,IF((AL59+1)&gt;2,Alertas!$B$4&amp;TEXT(AL59,"0%")&amp;Alertas!$D$4,AL59+1))),"Sin meta para el segundo trimestre")</f>
        <v>Sin meta para el segundo trimestre</v>
      </c>
      <c r="AL59" s="62" t="str">
        <f t="shared" si="2"/>
        <v>-</v>
      </c>
      <c r="AM59" s="61" t="str">
        <f t="shared" si="3"/>
        <v>Sin meta para el segundo trimestre.</v>
      </c>
      <c r="AN59" s="63"/>
      <c r="AO59" s="64"/>
      <c r="AP59" s="65"/>
      <c r="AQ59" s="65"/>
      <c r="AR59" s="66"/>
      <c r="AS59" s="67"/>
      <c r="AT59" s="68"/>
      <c r="AU59" s="63"/>
      <c r="AV59" s="64"/>
      <c r="AW59" s="69"/>
      <c r="AX59" s="65"/>
      <c r="AY59" s="70"/>
      <c r="AZ59" s="71"/>
      <c r="BA59" s="72"/>
      <c r="BB59" s="73"/>
      <c r="BC59" s="64"/>
      <c r="BD59" s="69"/>
      <c r="BE59" s="65"/>
      <c r="BF59" s="66"/>
      <c r="BG59" s="71"/>
      <c r="BH59" s="72"/>
      <c r="BI59" s="74"/>
      <c r="BK59" s="5" t="str">
        <f t="shared" si="23"/>
        <v>-</v>
      </c>
      <c r="BM59" s="5"/>
    </row>
    <row r="60" ht="37.5" customHeight="1">
      <c r="A60" s="45"/>
      <c r="B60" s="46">
        <f>IFERROR(__xludf.DUMMYFUNCTION("""COMPUTED_VALUE"""),58.0)</f>
        <v>58</v>
      </c>
      <c r="C60" s="47" t="str">
        <f>IFERROR(__xludf.DUMMYFUNCTION("""COMPUTED_VALUE"""),"Gestión de la información y generación del conocimiento")</f>
        <v>Gestión de la información y generación del conocimiento</v>
      </c>
      <c r="D60" s="48" t="str">
        <f>IFERROR(__xludf.DUMMYFUNCTION("""COMPUTED_VALUE"""),"Oficina de Generación del Conocimiento y la Información")</f>
        <v>Oficina de Generación del Conocimiento y la Información</v>
      </c>
      <c r="E60"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0" s="49">
        <f>IFERROR(__xludf.DUMMYFUNCTION("""COMPUTED_VALUE"""),2.019011000277E12)</f>
        <v>2019011000277</v>
      </c>
      <c r="G60" s="50" t="str">
        <f>IFERROR(__xludf.DUMMYFUNCTION("""COMPUTED_VALUE"""),"Investigación")</f>
        <v>Investigación</v>
      </c>
      <c r="H60"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0" s="48" t="str">
        <f>IFERROR(__xludf.DUMMYFUNCTION("""COMPUTED_VALUE"""),"Documentos de investigación")</f>
        <v>Documentos de investigación</v>
      </c>
      <c r="J60"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0" s="51" t="str">
        <f>IFERROR(__xludf.DUMMYFUNCTION("""COMPUTED_VALUE"""),"Producto")</f>
        <v>Producto</v>
      </c>
      <c r="L60" s="51" t="str">
        <f>IFERROR(__xludf.DUMMYFUNCTION("""COMPUTED_VALUE"""),"Eficacia")</f>
        <v>Eficacia</v>
      </c>
      <c r="M60" s="51" t="str">
        <f>IFERROR(__xludf.DUMMYFUNCTION("""COMPUTED_VALUE"""),"Número")</f>
        <v>Número</v>
      </c>
      <c r="N60" s="52" t="str">
        <f>IFERROR(__xludf.DUMMYFUNCTION("""COMPUTED_VALUE"""),"Documentos de investigación elaborados")</f>
        <v>Documentos de investigación elaborados</v>
      </c>
      <c r="O60" s="53">
        <f>IFERROR(__xludf.DUMMYFUNCTION("""COMPUTED_VALUE"""),3.0)</f>
        <v>3</v>
      </c>
      <c r="P60" s="77">
        <f>IFERROR(__xludf.DUMMYFUNCTION("""COMPUTED_VALUE"""),3.0)</f>
        <v>3</v>
      </c>
      <c r="Q60" s="78" t="str">
        <f>IFERROR(__xludf.DUMMYFUNCTION("""COMPUTED_VALUE"""),"Construcción de documentos de investigacion con el fin de generar conocimiento sobre la evaluacion del recurso pesquero y de la actividad pesquera, realizadas desde la OGCI")</f>
        <v>Construcción de documentos de investigacion con el fin de generar conocimiento sobre la evaluacion del recurso pesquero y de la actividad pesquera, realizadas desde la OGCI</v>
      </c>
      <c r="R60" s="78" t="str">
        <f>IFERROR(__xludf.DUMMYFUNCTION("""COMPUTED_VALUE"""),"Anual")</f>
        <v>Anual</v>
      </c>
      <c r="S60" s="77">
        <f>IFERROR(__xludf.DUMMYFUNCTION("""COMPUTED_VALUE"""),0.0)</f>
        <v>0</v>
      </c>
      <c r="T60" s="77">
        <f>IFERROR(__xludf.DUMMYFUNCTION("""COMPUTED_VALUE"""),0.0)</f>
        <v>0</v>
      </c>
      <c r="U60" s="77">
        <f>IFERROR(__xludf.DUMMYFUNCTION("""COMPUTED_VALUE"""),0.0)</f>
        <v>0</v>
      </c>
      <c r="V60" s="77">
        <f>IFERROR(__xludf.DUMMYFUNCTION("""COMPUTED_VALUE"""),3.0)</f>
        <v>3</v>
      </c>
      <c r="W60" s="56" t="str">
        <f>IFERROR(__xludf.DUMMYFUNCTION("""COMPUTED_VALUE"""),"Oficina de Generación del Conocimiento y la Información")</f>
        <v>Oficina de Generación del Conocimiento y la Información</v>
      </c>
      <c r="X60" s="57" t="str">
        <f>IFERROR(__xludf.DUMMYFUNCTION("""COMPUTED_VALUE"""),"Maria Angarita Peñaranda")</f>
        <v>Maria Angarita Peñaranda</v>
      </c>
      <c r="Y60" s="47" t="str">
        <f>IFERROR(__xludf.DUMMYFUNCTION("""COMPUTED_VALUE"""),"Jefe Oficina")</f>
        <v>Jefe Oficina</v>
      </c>
      <c r="Z60" s="57" t="str">
        <f>IFERROR(__xludf.DUMMYFUNCTION("""COMPUTED_VALUE"""),"maria.angarita@aunap.gov.co")</f>
        <v>maria.angarita@aunap.gov.co</v>
      </c>
      <c r="AA60" s="47" t="str">
        <f>IFERROR(__xludf.DUMMYFUNCTION("""COMPUTED_VALUE"""),"Humanos, fisicos, financieros y tecnologicos")</f>
        <v>Humanos, fisicos, financieros y tecnologicos</v>
      </c>
      <c r="AB60" s="47" t="str">
        <f>IFERROR(__xludf.DUMMYFUNCTION("""COMPUTED_VALUE"""),"No asociado")</f>
        <v>No asociado</v>
      </c>
      <c r="AC6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0" s="47" t="str">
        <f>IFERROR(__xludf.DUMMYFUNCTION("""COMPUTED_VALUE"""),"Gestión del conocimiento")</f>
        <v>Gestión del conocimiento</v>
      </c>
      <c r="AE60" s="47" t="str">
        <f>IFERROR(__xludf.DUMMYFUNCTION("""COMPUTED_VALUE"""),"Gestión del Conocimiento y la Innovación")</f>
        <v>Gestión del Conocimiento y la Innovación</v>
      </c>
      <c r="AF60" s="47" t="str">
        <f>IFERROR(__xludf.DUMMYFUNCTION("""COMPUTED_VALUE"""),"12. Producción y consumo responsable")</f>
        <v>12. Producción y consumo responsable</v>
      </c>
      <c r="AG60" s="79">
        <f>IFERROR(__xludf.DUMMYFUNCTION("""COMPUTED_VALUE"""),0.0)</f>
        <v>0</v>
      </c>
      <c r="AH60" s="59" t="str">
        <f>IFERROR(__xludf.DUMMYFUNCTION("""COMPUTED_VALUE"""),"El reporte de esta actividad es anual, por ende no se reporta en este trimestre")</f>
        <v>El reporte de esta actividad es anual, por ende no se reporta en este trimestre</v>
      </c>
      <c r="AI60" s="59"/>
      <c r="AJ60" s="60">
        <f>IFERROR(__xludf.DUMMYFUNCTION("""COMPUTED_VALUE"""),44396.0)</f>
        <v>44396</v>
      </c>
      <c r="AK60" s="61" t="str">
        <f>IFERROR(IF((AL60+1)&lt;2,Alertas!$B$2&amp;TEXT(AL60,"0%")&amp;Alertas!$D$2, IF((AL60+1)=2,Alertas!$B$3,IF((AL60+1)&gt;2,Alertas!$B$4&amp;TEXT(AL60,"0%")&amp;Alertas!$D$4,AL60+1))),"Sin meta para el segundo trimestre")</f>
        <v>Sin meta para el segundo trimestre</v>
      </c>
      <c r="AL60" s="62" t="str">
        <f t="shared" si="2"/>
        <v>-</v>
      </c>
      <c r="AM60" s="61" t="str">
        <f t="shared" si="3"/>
        <v>Sin meta para el segundo trimestre.</v>
      </c>
      <c r="AN60" s="63"/>
      <c r="AO60" s="64"/>
      <c r="AP60" s="65"/>
      <c r="AQ60" s="65"/>
      <c r="AR60" s="66"/>
      <c r="AS60" s="67"/>
      <c r="AT60" s="68"/>
      <c r="AU60" s="63"/>
      <c r="AV60" s="64"/>
      <c r="AW60" s="69"/>
      <c r="AX60" s="65"/>
      <c r="AY60" s="70"/>
      <c r="AZ60" s="71"/>
      <c r="BA60" s="72"/>
      <c r="BB60" s="73"/>
      <c r="BC60" s="64"/>
      <c r="BD60" s="69"/>
      <c r="BE60" s="65"/>
      <c r="BF60" s="66"/>
      <c r="BG60" s="71"/>
      <c r="BH60" s="72"/>
      <c r="BI60" s="74"/>
      <c r="BK60" s="5" t="str">
        <f t="shared" si="23"/>
        <v>-</v>
      </c>
      <c r="BM60" s="5"/>
    </row>
    <row r="61" ht="37.5" customHeight="1">
      <c r="A61" s="45"/>
      <c r="B61" s="46">
        <f>IFERROR(__xludf.DUMMYFUNCTION("""COMPUTED_VALUE"""),59.0)</f>
        <v>59</v>
      </c>
      <c r="C61" s="47" t="str">
        <f>IFERROR(__xludf.DUMMYFUNCTION("""COMPUTED_VALUE"""),"Gestión de la información y generación del conocimiento")</f>
        <v>Gestión de la información y generación del conocimiento</v>
      </c>
      <c r="D61" s="48" t="str">
        <f>IFERROR(__xludf.DUMMYFUNCTION("""COMPUTED_VALUE"""),"Oficina de Generación del Conocimiento y la Información")</f>
        <v>Oficina de Generación del Conocimiento y la Información</v>
      </c>
      <c r="E61"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1" s="49">
        <f>IFERROR(__xludf.DUMMYFUNCTION("""COMPUTED_VALUE"""),2.019011000277E12)</f>
        <v>2019011000277</v>
      </c>
      <c r="G61" s="50" t="str">
        <f>IFERROR(__xludf.DUMMYFUNCTION("""COMPUTED_VALUE"""),"Investigación")</f>
        <v>Investigación</v>
      </c>
      <c r="H61"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1" s="48" t="str">
        <f>IFERROR(__xludf.DUMMYFUNCTION("""COMPUTED_VALUE"""),"Documentos de investigación")</f>
        <v>Documentos de investigación</v>
      </c>
      <c r="J61"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1" s="51" t="str">
        <f>IFERROR(__xludf.DUMMYFUNCTION("""COMPUTED_VALUE"""),"Gestión del área")</f>
        <v>Gestión del área</v>
      </c>
      <c r="L61" s="51" t="str">
        <f>IFERROR(__xludf.DUMMYFUNCTION("""COMPUTED_VALUE"""),"Eficacia")</f>
        <v>Eficacia</v>
      </c>
      <c r="M61" s="51" t="str">
        <f>IFERROR(__xludf.DUMMYFUNCTION("""COMPUTED_VALUE"""),"Porcentaje")</f>
        <v>Porcentaje</v>
      </c>
      <c r="N61" s="52" t="str">
        <f>IFERROR(__xludf.DUMMYFUNCTION("""COMPUTED_VALUE"""),"Conceptos técnicos atendidos/Conceptos tecnicos solicitados")</f>
        <v>Conceptos técnicos atendidos/Conceptos tecnicos solicitados</v>
      </c>
      <c r="O61" s="53">
        <f>IFERROR(__xludf.DUMMYFUNCTION("""COMPUTED_VALUE"""),1.0)</f>
        <v>1</v>
      </c>
      <c r="P61" s="77">
        <f>IFERROR(__xludf.DUMMYFUNCTION("""COMPUTED_VALUE"""),1.0)</f>
        <v>1</v>
      </c>
      <c r="Q61" s="78" t="str">
        <f>IFERROR(__xludf.DUMMYFUNCTION("""COMPUTED_VALUE"""),"Emitir conceptos técnicos relacionados con la pesca, atendidos de acuerdo con las solicitudes recibidas.")</f>
        <v>Emitir conceptos técnicos relacionados con la pesca, atendidos de acuerdo con las solicitudes recibidas.</v>
      </c>
      <c r="R61" s="78" t="str">
        <f>IFERROR(__xludf.DUMMYFUNCTION("""COMPUTED_VALUE"""),"Trimestral")</f>
        <v>Trimestral</v>
      </c>
      <c r="S61" s="77">
        <f>IFERROR(__xludf.DUMMYFUNCTION("""COMPUTED_VALUE"""),1.0)</f>
        <v>1</v>
      </c>
      <c r="T61" s="77">
        <f>IFERROR(__xludf.DUMMYFUNCTION("""COMPUTED_VALUE"""),1.0)</f>
        <v>1</v>
      </c>
      <c r="U61" s="77">
        <f>IFERROR(__xludf.DUMMYFUNCTION("""COMPUTED_VALUE"""),1.0)</f>
        <v>1</v>
      </c>
      <c r="V61" s="77">
        <f>IFERROR(__xludf.DUMMYFUNCTION("""COMPUTED_VALUE"""),1.0)</f>
        <v>1</v>
      </c>
      <c r="W61" s="56" t="str">
        <f>IFERROR(__xludf.DUMMYFUNCTION("""COMPUTED_VALUE"""),"Oficina de Generación del Conocimiento y la Información")</f>
        <v>Oficina de Generación del Conocimiento y la Información</v>
      </c>
      <c r="X61" s="57" t="str">
        <f>IFERROR(__xludf.DUMMYFUNCTION("""COMPUTED_VALUE"""),"Maria Angarita Peñaranda")</f>
        <v>Maria Angarita Peñaranda</v>
      </c>
      <c r="Y61" s="47" t="str">
        <f>IFERROR(__xludf.DUMMYFUNCTION("""COMPUTED_VALUE"""),"Jefe Oficina")</f>
        <v>Jefe Oficina</v>
      </c>
      <c r="Z61" s="57" t="str">
        <f>IFERROR(__xludf.DUMMYFUNCTION("""COMPUTED_VALUE"""),"maria.angarita@aunap.gov.co")</f>
        <v>maria.angarita@aunap.gov.co</v>
      </c>
      <c r="AA61" s="47" t="str">
        <f>IFERROR(__xludf.DUMMYFUNCTION("""COMPUTED_VALUE"""),"Humanos, fisicos, financieros y tecnologicos")</f>
        <v>Humanos, fisicos, financieros y tecnologicos</v>
      </c>
      <c r="AB61" s="47" t="str">
        <f>IFERROR(__xludf.DUMMYFUNCTION("""COMPUTED_VALUE"""),"No asociado")</f>
        <v>No asociado</v>
      </c>
      <c r="AC6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1" s="47" t="str">
        <f>IFERROR(__xludf.DUMMYFUNCTION("""COMPUTED_VALUE"""),"Gestión del conocimiento")</f>
        <v>Gestión del conocimiento</v>
      </c>
      <c r="AE61" s="47" t="str">
        <f>IFERROR(__xludf.DUMMYFUNCTION("""COMPUTED_VALUE"""),"Gestión del Conocimiento y la Innovación")</f>
        <v>Gestión del Conocimiento y la Innovación</v>
      </c>
      <c r="AF61" s="47" t="str">
        <f>IFERROR(__xludf.DUMMYFUNCTION("""COMPUTED_VALUE"""),"12. Producción y consumo responsable")</f>
        <v>12. Producción y consumo responsable</v>
      </c>
      <c r="AG61" s="79">
        <f>IFERROR(__xludf.DUMMYFUNCTION("""COMPUTED_VALUE"""),1.0)</f>
        <v>1</v>
      </c>
      <c r="AH61" s="59" t="str">
        <f>IFERROR(__xludf.DUMMYFUNCTION("""COMPUTED_VALUE"""),"Para este trimestre se solicitaron 6 conceptos tecnicos y se atendieron todos estos 6 conceptos")</f>
        <v>Para este trimestre se solicitaron 6 conceptos tecnicos y se atendieron todos estos 6 conceptos</v>
      </c>
      <c r="AI61" s="81" t="str">
        <f>IFERROR(__xludf.DUMMYFUNCTION("""COMPUTED_VALUE"""),"https://drive.google.com/drive/folders/1Lzbc6bv79N5mKIlEosXVba2x-pNxEF2U?usp=sharing")</f>
        <v>https://drive.google.com/drive/folders/1Lzbc6bv79N5mKIlEosXVba2x-pNxEF2U?usp=sharing</v>
      </c>
      <c r="AJ61" s="60">
        <f>IFERROR(__xludf.DUMMYFUNCTION("""COMPUTED_VALUE"""),44396.0)</f>
        <v>44396</v>
      </c>
      <c r="AK61" s="61" t="str">
        <f>IFERROR(IF((AL61+1)&lt;2,Alertas!$B$2&amp;TEXT(AL61,"0%")&amp;Alertas!$D$2, IF((AL61+1)=2,Alertas!$B$3,IF((AL61+1)&gt;2,Alertas!$B$4&amp;TEXT(AL61,"0%")&amp;Alertas!$D$4,AL61+1))),"Sin meta para el segundo trimestre")</f>
        <v>La ejecución de la meta registrada se encuentra acorde a la meta programada en la formulación del plan de acción para el segundo trimestre</v>
      </c>
      <c r="AL61" s="62">
        <f t="shared" si="2"/>
        <v>1</v>
      </c>
      <c r="AM61" s="61" t="str">
        <f t="shared" si="3"/>
        <v>La ejecución de la meta registrada se encuentra acorde a la meta programada en la formulación del plan de acción para el segundo trimestre.</v>
      </c>
      <c r="AN61" s="63"/>
      <c r="AO61" s="64"/>
      <c r="AP61" s="65"/>
      <c r="AQ61" s="65"/>
      <c r="AR61" s="66"/>
      <c r="AS61" s="67"/>
      <c r="AT61" s="68"/>
      <c r="AU61" s="63"/>
      <c r="AV61" s="64"/>
      <c r="AW61" s="69"/>
      <c r="AX61" s="65"/>
      <c r="AY61" s="70"/>
      <c r="AZ61" s="71"/>
      <c r="BA61" s="72"/>
      <c r="BB61" s="73"/>
      <c r="BC61" s="64"/>
      <c r="BD61" s="69"/>
      <c r="BE61" s="65"/>
      <c r="BF61" s="66"/>
      <c r="BG61" s="71"/>
      <c r="BH61" s="72"/>
      <c r="BI61" s="74"/>
      <c r="BK61" s="5" t="str">
        <f t="shared" si="23"/>
        <v>0</v>
      </c>
      <c r="BM61" s="5"/>
    </row>
    <row r="62" ht="37.5" customHeight="1">
      <c r="A62" s="45"/>
      <c r="B62" s="46">
        <f>IFERROR(__xludf.DUMMYFUNCTION("""COMPUTED_VALUE"""),60.0)</f>
        <v>60</v>
      </c>
      <c r="C62" s="47" t="str">
        <f>IFERROR(__xludf.DUMMYFUNCTION("""COMPUTED_VALUE"""),"Gestión de la información y generación del conocimiento")</f>
        <v>Gestión de la información y generación del conocimiento</v>
      </c>
      <c r="D62" s="48" t="str">
        <f>IFERROR(__xludf.DUMMYFUNCTION("""COMPUTED_VALUE"""),"Oficina de Generación del Conocimiento y la Información")</f>
        <v>Oficina de Generación del Conocimiento y la Información</v>
      </c>
      <c r="E62"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2" s="49">
        <f>IFERROR(__xludf.DUMMYFUNCTION("""COMPUTED_VALUE"""),2.019011000277E12)</f>
        <v>2019011000277</v>
      </c>
      <c r="G62" s="50" t="str">
        <f>IFERROR(__xludf.DUMMYFUNCTION("""COMPUTED_VALUE"""),"Investigación")</f>
        <v>Investigación</v>
      </c>
      <c r="H62" s="48" t="str">
        <f>IFERROR(__xludf.DUMMYFUNCTION("""COMPUTED_VALUE"""),"Aumentar el desarrollo de la acuicultura asociado a la optimización de los procesos productivos.")</f>
        <v>Aumentar el desarrollo de la acuicultura asociado a la optimización de los procesos productivos.</v>
      </c>
      <c r="I62" s="48" t="str">
        <f>IFERROR(__xludf.DUMMYFUNCTION("""COMPUTED_VALUE"""),"Documentos de lineamientos técnicos")</f>
        <v>Documentos de lineamientos técnicos</v>
      </c>
      <c r="J62"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62" s="51" t="str">
        <f>IFERROR(__xludf.DUMMYFUNCTION("""COMPUTED_VALUE"""),"Producto")</f>
        <v>Producto</v>
      </c>
      <c r="L62" s="51" t="str">
        <f>IFERROR(__xludf.DUMMYFUNCTION("""COMPUTED_VALUE"""),"Eficacia")</f>
        <v>Eficacia</v>
      </c>
      <c r="M62" s="51" t="str">
        <f>IFERROR(__xludf.DUMMYFUNCTION("""COMPUTED_VALUE"""),"Número")</f>
        <v>Número</v>
      </c>
      <c r="N62" s="52" t="str">
        <f>IFERROR(__xludf.DUMMYFUNCTION("""COMPUTED_VALUE"""),"Documentos de lineamientos técnicos elaborados")</f>
        <v>Documentos de lineamientos técnicos elaborados</v>
      </c>
      <c r="O62" s="53">
        <f>IFERROR(__xludf.DUMMYFUNCTION("""COMPUTED_VALUE"""),4.0)</f>
        <v>4</v>
      </c>
      <c r="P62" s="77">
        <f>IFERROR(__xludf.DUMMYFUNCTION("""COMPUTED_VALUE"""),4.0)</f>
        <v>4</v>
      </c>
      <c r="Q62" s="78" t="str">
        <f>IFERROR(__xludf.DUMMYFUNCTION("""COMPUTED_VALUE"""),"Construcción de documentos de lineamientos técnicos generados de las investigaciones en acuicultura realizadas desde la OGCCI")</f>
        <v>Construcción de documentos de lineamientos técnicos generados de las investigaciones en acuicultura realizadas desde la OGCCI</v>
      </c>
      <c r="R62" s="78" t="str">
        <f>IFERROR(__xludf.DUMMYFUNCTION("""COMPUTED_VALUE"""),"Anual")</f>
        <v>Anual</v>
      </c>
      <c r="S62" s="77">
        <f>IFERROR(__xludf.DUMMYFUNCTION("""COMPUTED_VALUE"""),0.0)</f>
        <v>0</v>
      </c>
      <c r="T62" s="77">
        <f>IFERROR(__xludf.DUMMYFUNCTION("""COMPUTED_VALUE"""),0.0)</f>
        <v>0</v>
      </c>
      <c r="U62" s="77">
        <f>IFERROR(__xludf.DUMMYFUNCTION("""COMPUTED_VALUE"""),0.0)</f>
        <v>0</v>
      </c>
      <c r="V62" s="77">
        <f>IFERROR(__xludf.DUMMYFUNCTION("""COMPUTED_VALUE"""),4.0)</f>
        <v>4</v>
      </c>
      <c r="W62" s="56" t="str">
        <f>IFERROR(__xludf.DUMMYFUNCTION("""COMPUTED_VALUE"""),"Oficina de Generación del Conocimiento y la Información")</f>
        <v>Oficina de Generación del Conocimiento y la Información</v>
      </c>
      <c r="X62" s="57" t="str">
        <f>IFERROR(__xludf.DUMMYFUNCTION("""COMPUTED_VALUE"""),"Maria Angarita Peñaranda")</f>
        <v>Maria Angarita Peñaranda</v>
      </c>
      <c r="Y62" s="47" t="str">
        <f>IFERROR(__xludf.DUMMYFUNCTION("""COMPUTED_VALUE"""),"Jefe Oficina")</f>
        <v>Jefe Oficina</v>
      </c>
      <c r="Z62" s="57" t="str">
        <f>IFERROR(__xludf.DUMMYFUNCTION("""COMPUTED_VALUE"""),"maria.angarita@aunap.gov.co")</f>
        <v>maria.angarita@aunap.gov.co</v>
      </c>
      <c r="AA62" s="47" t="str">
        <f>IFERROR(__xludf.DUMMYFUNCTION("""COMPUTED_VALUE"""),"Humanos, fisicos, financieros y tecnologicos")</f>
        <v>Humanos, fisicos, financieros y tecnologicos</v>
      </c>
      <c r="AB62" s="47" t="str">
        <f>IFERROR(__xludf.DUMMYFUNCTION("""COMPUTED_VALUE"""),"No asociado")</f>
        <v>No asociado</v>
      </c>
      <c r="AC6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2" s="47" t="str">
        <f>IFERROR(__xludf.DUMMYFUNCTION("""COMPUTED_VALUE"""),"Gestión del conocimiento")</f>
        <v>Gestión del conocimiento</v>
      </c>
      <c r="AE62" s="47" t="str">
        <f>IFERROR(__xludf.DUMMYFUNCTION("""COMPUTED_VALUE"""),"Gestión del Conocimiento y la Innovación")</f>
        <v>Gestión del Conocimiento y la Innovación</v>
      </c>
      <c r="AF62" s="47" t="str">
        <f>IFERROR(__xludf.DUMMYFUNCTION("""COMPUTED_VALUE"""),"12. Producción y consumo responsable")</f>
        <v>12. Producción y consumo responsable</v>
      </c>
      <c r="AG62" s="79">
        <f>IFERROR(__xludf.DUMMYFUNCTION("""COMPUTED_VALUE"""),0.0)</f>
        <v>0</v>
      </c>
      <c r="AH62" s="59" t="str">
        <f>IFERROR(__xludf.DUMMYFUNCTION("""COMPUTED_VALUE"""),"El reporte de esta actividad es anual, por ende no se reporta en este trimestre")</f>
        <v>El reporte de esta actividad es anual, por ende no se reporta en este trimestre</v>
      </c>
      <c r="AI62" s="59"/>
      <c r="AJ62" s="60">
        <f>IFERROR(__xludf.DUMMYFUNCTION("""COMPUTED_VALUE"""),44396.0)</f>
        <v>44396</v>
      </c>
      <c r="AK62" s="61" t="str">
        <f>IFERROR(IF((AL62+1)&lt;2,Alertas!$B$2&amp;TEXT(AL62,"0%")&amp;Alertas!$D$2, IF((AL62+1)=2,Alertas!$B$3,IF((AL62+1)&gt;2,Alertas!$B$4&amp;TEXT(AL62,"0%")&amp;Alertas!$D$4,AL62+1))),"Sin meta para el segundo trimestre")</f>
        <v>Sin meta para el segundo trimestre</v>
      </c>
      <c r="AL62" s="62" t="str">
        <f t="shared" si="2"/>
        <v>-</v>
      </c>
      <c r="AM62" s="61" t="str">
        <f t="shared" si="3"/>
        <v>Sin meta para el segundo trimestre.</v>
      </c>
      <c r="AN62" s="63"/>
      <c r="AO62" s="64"/>
      <c r="AP62" s="65"/>
      <c r="AQ62" s="65"/>
      <c r="AR62" s="66"/>
      <c r="AS62" s="67"/>
      <c r="AT62" s="68"/>
      <c r="AU62" s="63"/>
      <c r="AV62" s="64"/>
      <c r="AW62" s="69"/>
      <c r="AX62" s="65"/>
      <c r="AY62" s="70"/>
      <c r="AZ62" s="71"/>
      <c r="BA62" s="72"/>
      <c r="BB62" s="73"/>
      <c r="BC62" s="64"/>
      <c r="BD62" s="69"/>
      <c r="BE62" s="65"/>
      <c r="BF62" s="66"/>
      <c r="BG62" s="71"/>
      <c r="BH62" s="72"/>
      <c r="BI62" s="74"/>
      <c r="BK62" s="5" t="str">
        <f t="shared" si="23"/>
        <v>-</v>
      </c>
      <c r="BM62" s="5"/>
    </row>
    <row r="63" ht="37.5" customHeight="1">
      <c r="A63" s="45"/>
      <c r="B63" s="46">
        <f>IFERROR(__xludf.DUMMYFUNCTION("""COMPUTED_VALUE"""),61.0)</f>
        <v>61</v>
      </c>
      <c r="C63" s="47" t="str">
        <f>IFERROR(__xludf.DUMMYFUNCTION("""COMPUTED_VALUE"""),"Gestión de la información y generación del conocimiento")</f>
        <v>Gestión de la información y generación del conocimiento</v>
      </c>
      <c r="D63" s="48" t="str">
        <f>IFERROR(__xludf.DUMMYFUNCTION("""COMPUTED_VALUE"""),"Oficina de Generación del Conocimiento y la Información")</f>
        <v>Oficina de Generación del Conocimiento y la Información</v>
      </c>
      <c r="E63"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3" s="49">
        <f>IFERROR(__xludf.DUMMYFUNCTION("""COMPUTED_VALUE"""),2.019011000277E12)</f>
        <v>2019011000277</v>
      </c>
      <c r="G63" s="50" t="str">
        <f>IFERROR(__xludf.DUMMYFUNCTION("""COMPUTED_VALUE"""),"Investigación")</f>
        <v>Investigación</v>
      </c>
      <c r="H63" s="48" t="str">
        <f>IFERROR(__xludf.DUMMYFUNCTION("""COMPUTED_VALUE"""),"Aumentar el desarrollo de la acuicultura asociado a la optimización de los procesos productivos.")</f>
        <v>Aumentar el desarrollo de la acuicultura asociado a la optimización de los procesos productivos.</v>
      </c>
      <c r="I63" s="48" t="str">
        <f>IFERROR(__xludf.DUMMYFUNCTION("""COMPUTED_VALUE"""),"Documentos de lineamientos técnicos")</f>
        <v>Documentos de lineamientos técnicos</v>
      </c>
      <c r="J63" s="48" t="str">
        <f>IFERROR(__xludf.DUMMYFUNCTION("""COMPUTED_VALUE"""),"Evaluar sistemas de producción y nuevas tecnologías en la acuicultura de especies nativas de consumo y ornamentales marinas y continentales")</f>
        <v>Evaluar sistemas de producción y nuevas tecnologías en la acuicultura de especies nativas de consumo y ornamentales marinas y continentales</v>
      </c>
      <c r="K63" s="51" t="str">
        <f>IFERROR(__xludf.DUMMYFUNCTION("""COMPUTED_VALUE"""),"Producto")</f>
        <v>Producto</v>
      </c>
      <c r="L63" s="51" t="str">
        <f>IFERROR(__xludf.DUMMYFUNCTION("""COMPUTED_VALUE"""),"Eficacia")</f>
        <v>Eficacia</v>
      </c>
      <c r="M63" s="51" t="str">
        <f>IFERROR(__xludf.DUMMYFUNCTION("""COMPUTED_VALUE"""),"Número")</f>
        <v>Número</v>
      </c>
      <c r="N63" s="52" t="str">
        <f>IFERROR(__xludf.DUMMYFUNCTION("""COMPUTED_VALUE"""),"Documentos de lineamientos técnicos elaborados")</f>
        <v>Documentos de lineamientos técnicos elaborados</v>
      </c>
      <c r="O63" s="53">
        <f>IFERROR(__xludf.DUMMYFUNCTION("""COMPUTED_VALUE"""),4.0)</f>
        <v>4</v>
      </c>
      <c r="P63" s="77">
        <f>IFERROR(__xludf.DUMMYFUNCTION("""COMPUTED_VALUE"""),4.0)</f>
        <v>4</v>
      </c>
      <c r="Q63" s="78" t="str">
        <f>IFERROR(__xludf.DUMMYFUNCTION("""COMPUTED_VALUE"""),"Construcción de documentos de lineamientos técnicos generados de las investigaciones en acuicultura realizadas desde la OGCCI")</f>
        <v>Construcción de documentos de lineamientos técnicos generados de las investigaciones en acuicultura realizadas desde la OGCCI</v>
      </c>
      <c r="R63" s="78" t="str">
        <f>IFERROR(__xludf.DUMMYFUNCTION("""COMPUTED_VALUE"""),"Anual")</f>
        <v>Anual</v>
      </c>
      <c r="S63" s="77">
        <f>IFERROR(__xludf.DUMMYFUNCTION("""COMPUTED_VALUE"""),0.0)</f>
        <v>0</v>
      </c>
      <c r="T63" s="77">
        <f>IFERROR(__xludf.DUMMYFUNCTION("""COMPUTED_VALUE"""),0.0)</f>
        <v>0</v>
      </c>
      <c r="U63" s="77">
        <f>IFERROR(__xludf.DUMMYFUNCTION("""COMPUTED_VALUE"""),0.0)</f>
        <v>0</v>
      </c>
      <c r="V63" s="77">
        <f>IFERROR(__xludf.DUMMYFUNCTION("""COMPUTED_VALUE"""),4.0)</f>
        <v>4</v>
      </c>
      <c r="W63" s="56" t="str">
        <f>IFERROR(__xludf.DUMMYFUNCTION("""COMPUTED_VALUE"""),"Oficina de Generación del Conocimiento y la Información")</f>
        <v>Oficina de Generación del Conocimiento y la Información</v>
      </c>
      <c r="X63" s="57" t="str">
        <f>IFERROR(__xludf.DUMMYFUNCTION("""COMPUTED_VALUE"""),"Maria Angarita Peñaranda")</f>
        <v>Maria Angarita Peñaranda</v>
      </c>
      <c r="Y63" s="47" t="str">
        <f>IFERROR(__xludf.DUMMYFUNCTION("""COMPUTED_VALUE"""),"Jefe Oficina")</f>
        <v>Jefe Oficina</v>
      </c>
      <c r="Z63" s="57" t="str">
        <f>IFERROR(__xludf.DUMMYFUNCTION("""COMPUTED_VALUE"""),"maria.angarita@aunap.gov.co")</f>
        <v>maria.angarita@aunap.gov.co</v>
      </c>
      <c r="AA63" s="47" t="str">
        <f>IFERROR(__xludf.DUMMYFUNCTION("""COMPUTED_VALUE"""),"Humanos, fisicos, financieros y tecnologicos")</f>
        <v>Humanos, fisicos, financieros y tecnologicos</v>
      </c>
      <c r="AB63" s="47" t="str">
        <f>IFERROR(__xludf.DUMMYFUNCTION("""COMPUTED_VALUE"""),"No asociado")</f>
        <v>No asociado</v>
      </c>
      <c r="AC6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3" s="47" t="str">
        <f>IFERROR(__xludf.DUMMYFUNCTION("""COMPUTED_VALUE"""),"Gestión del conocimiento")</f>
        <v>Gestión del conocimiento</v>
      </c>
      <c r="AE63" s="47" t="str">
        <f>IFERROR(__xludf.DUMMYFUNCTION("""COMPUTED_VALUE"""),"Gestión del Conocimiento y la Innovación")</f>
        <v>Gestión del Conocimiento y la Innovación</v>
      </c>
      <c r="AF63" s="47" t="str">
        <f>IFERROR(__xludf.DUMMYFUNCTION("""COMPUTED_VALUE"""),"12. Producción y consumo responsable")</f>
        <v>12. Producción y consumo responsable</v>
      </c>
      <c r="AG63" s="79">
        <f>IFERROR(__xludf.DUMMYFUNCTION("""COMPUTED_VALUE"""),0.0)</f>
        <v>0</v>
      </c>
      <c r="AH63" s="59" t="str">
        <f>IFERROR(__xludf.DUMMYFUNCTION("""COMPUTED_VALUE"""),"El reporte de esta actividad es anual, por ende no se reporta en este trimestre")</f>
        <v>El reporte de esta actividad es anual, por ende no se reporta en este trimestre</v>
      </c>
      <c r="AI63" s="59"/>
      <c r="AJ63" s="60">
        <f>IFERROR(__xludf.DUMMYFUNCTION("""COMPUTED_VALUE"""),44396.0)</f>
        <v>44396</v>
      </c>
      <c r="AK63" s="61" t="str">
        <f>IFERROR(IF((AL63+1)&lt;2,Alertas!$B$2&amp;TEXT(AL63,"0%")&amp;Alertas!$D$2, IF((AL63+1)=2,Alertas!$B$3,IF((AL63+1)&gt;2,Alertas!$B$4&amp;TEXT(AL63,"0%")&amp;Alertas!$D$4,AL63+1))),"Sin meta para el segundo trimestre")</f>
        <v>Sin meta para el segundo trimestre</v>
      </c>
      <c r="AL63" s="62" t="str">
        <f t="shared" si="2"/>
        <v>-</v>
      </c>
      <c r="AM63" s="61" t="str">
        <f t="shared" si="3"/>
        <v>Sin meta para el segundo trimestre.</v>
      </c>
      <c r="AN63" s="63"/>
      <c r="AO63" s="64"/>
      <c r="AP63" s="65"/>
      <c r="AQ63" s="65"/>
      <c r="AR63" s="66"/>
      <c r="AS63" s="67"/>
      <c r="AT63" s="68"/>
      <c r="AU63" s="63"/>
      <c r="AV63" s="64"/>
      <c r="AW63" s="69"/>
      <c r="AX63" s="65"/>
      <c r="AY63" s="70"/>
      <c r="AZ63" s="71"/>
      <c r="BA63" s="72"/>
      <c r="BB63" s="73"/>
      <c r="BC63" s="64"/>
      <c r="BD63" s="69"/>
      <c r="BE63" s="65"/>
      <c r="BF63" s="66"/>
      <c r="BG63" s="71"/>
      <c r="BH63" s="72"/>
      <c r="BI63" s="74"/>
      <c r="BK63" s="5" t="str">
        <f t="shared" si="23"/>
        <v>-</v>
      </c>
      <c r="BM63" s="5"/>
    </row>
    <row r="64" ht="37.5" customHeight="1">
      <c r="A64" s="45"/>
      <c r="B64" s="46">
        <f>IFERROR(__xludf.DUMMYFUNCTION("""COMPUTED_VALUE"""),62.0)</f>
        <v>62</v>
      </c>
      <c r="C64" s="47" t="str">
        <f>IFERROR(__xludf.DUMMYFUNCTION("""COMPUTED_VALUE"""),"Gestión de la información y generación del conocimiento")</f>
        <v>Gestión de la información y generación del conocimiento</v>
      </c>
      <c r="D64" s="48" t="str">
        <f>IFERROR(__xludf.DUMMYFUNCTION("""COMPUTED_VALUE"""),"Oficina de Generación del Conocimiento y la Información")</f>
        <v>Oficina de Generación del Conocimiento y la Información</v>
      </c>
      <c r="E64"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4" s="49">
        <f>IFERROR(__xludf.DUMMYFUNCTION("""COMPUTED_VALUE"""),2.019011000277E12)</f>
        <v>2019011000277</v>
      </c>
      <c r="G64" s="50" t="str">
        <f>IFERROR(__xludf.DUMMYFUNCTION("""COMPUTED_VALUE"""),"Investigación")</f>
        <v>Investigación</v>
      </c>
      <c r="H64" s="48" t="str">
        <f>IFERROR(__xludf.DUMMYFUNCTION("""COMPUTED_VALUE"""),"Aumentar el desarrollo de la acuicultura asociado a la optimización de los procesos productivos.")</f>
        <v>Aumentar el desarrollo de la acuicultura asociado a la optimización de los procesos productivos.</v>
      </c>
      <c r="I64" s="48" t="str">
        <f>IFERROR(__xludf.DUMMYFUNCTION("""COMPUTED_VALUE"""),"Documentos de lineamientos técnicos")</f>
        <v>Documentos de lineamientos técnicos</v>
      </c>
      <c r="J64"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64" s="51" t="str">
        <f>IFERROR(__xludf.DUMMYFUNCTION("""COMPUTED_VALUE"""),"Gestión del área")</f>
        <v>Gestión del área</v>
      </c>
      <c r="L64" s="51" t="str">
        <f>IFERROR(__xludf.DUMMYFUNCTION("""COMPUTED_VALUE"""),"Eficacia")</f>
        <v>Eficacia</v>
      </c>
      <c r="M64" s="51" t="str">
        <f>IFERROR(__xludf.DUMMYFUNCTION("""COMPUTED_VALUE"""),"Porcentaje")</f>
        <v>Porcentaje</v>
      </c>
      <c r="N64" s="52" t="str">
        <f>IFERROR(__xludf.DUMMYFUNCTION("""COMPUTED_VALUE"""),"Conceptos técnicos atendidos/Conceptos tecnicos solicitados")</f>
        <v>Conceptos técnicos atendidos/Conceptos tecnicos solicitados</v>
      </c>
      <c r="O64" s="53">
        <f>IFERROR(__xludf.DUMMYFUNCTION("""COMPUTED_VALUE"""),1.0)</f>
        <v>1</v>
      </c>
      <c r="P64" s="77">
        <f>IFERROR(__xludf.DUMMYFUNCTION("""COMPUTED_VALUE"""),1.0)</f>
        <v>1</v>
      </c>
      <c r="Q64" s="78" t="str">
        <f>IFERROR(__xludf.DUMMYFUNCTION("""COMPUTED_VALUE"""),"Emitir conceptos técnicos relacionados con la acuicultura, atendidos de acuerdo con las solicitudes recibidas.")</f>
        <v>Emitir conceptos técnicos relacionados con la acuicultura, atendidos de acuerdo con las solicitudes recibidas.</v>
      </c>
      <c r="R64" s="78" t="str">
        <f>IFERROR(__xludf.DUMMYFUNCTION("""COMPUTED_VALUE"""),"Trimestral")</f>
        <v>Trimestral</v>
      </c>
      <c r="S64" s="77">
        <f>IFERROR(__xludf.DUMMYFUNCTION("""COMPUTED_VALUE"""),1.0)</f>
        <v>1</v>
      </c>
      <c r="T64" s="77">
        <f>IFERROR(__xludf.DUMMYFUNCTION("""COMPUTED_VALUE"""),1.0)</f>
        <v>1</v>
      </c>
      <c r="U64" s="77">
        <f>IFERROR(__xludf.DUMMYFUNCTION("""COMPUTED_VALUE"""),1.0)</f>
        <v>1</v>
      </c>
      <c r="V64" s="77">
        <f>IFERROR(__xludf.DUMMYFUNCTION("""COMPUTED_VALUE"""),1.0)</f>
        <v>1</v>
      </c>
      <c r="W64" s="56" t="str">
        <f>IFERROR(__xludf.DUMMYFUNCTION("""COMPUTED_VALUE"""),"Oficina de Generación del Conocimiento y la Información")</f>
        <v>Oficina de Generación del Conocimiento y la Información</v>
      </c>
      <c r="X64" s="57" t="str">
        <f>IFERROR(__xludf.DUMMYFUNCTION("""COMPUTED_VALUE"""),"Maria Angarita Peñaranda")</f>
        <v>Maria Angarita Peñaranda</v>
      </c>
      <c r="Y64" s="47" t="str">
        <f>IFERROR(__xludf.DUMMYFUNCTION("""COMPUTED_VALUE"""),"Jefe Oficina")</f>
        <v>Jefe Oficina</v>
      </c>
      <c r="Z64" s="57" t="str">
        <f>IFERROR(__xludf.DUMMYFUNCTION("""COMPUTED_VALUE"""),"maria.angarita@aunap.gov.co")</f>
        <v>maria.angarita@aunap.gov.co</v>
      </c>
      <c r="AA64" s="47" t="str">
        <f>IFERROR(__xludf.DUMMYFUNCTION("""COMPUTED_VALUE"""),"Humanos, fisicos, financieros y tecnologicos")</f>
        <v>Humanos, fisicos, financieros y tecnologicos</v>
      </c>
      <c r="AB64" s="47" t="str">
        <f>IFERROR(__xludf.DUMMYFUNCTION("""COMPUTED_VALUE"""),"No asociado")</f>
        <v>No asociado</v>
      </c>
      <c r="AC6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4" s="47" t="str">
        <f>IFERROR(__xludf.DUMMYFUNCTION("""COMPUTED_VALUE"""),"Gestión del conocimiento")</f>
        <v>Gestión del conocimiento</v>
      </c>
      <c r="AE64" s="47" t="str">
        <f>IFERROR(__xludf.DUMMYFUNCTION("""COMPUTED_VALUE"""),"Gestión del Conocimiento y la Innovación")</f>
        <v>Gestión del Conocimiento y la Innovación</v>
      </c>
      <c r="AF64" s="47" t="str">
        <f>IFERROR(__xludf.DUMMYFUNCTION("""COMPUTED_VALUE"""),"12. Producción y consumo responsable")</f>
        <v>12. Producción y consumo responsable</v>
      </c>
      <c r="AG64" s="79">
        <f>IFERROR(__xludf.DUMMYFUNCTION("""COMPUTED_VALUE"""),1.0)</f>
        <v>1</v>
      </c>
      <c r="AH64" s="59" t="str">
        <f>IFERROR(__xludf.DUMMYFUNCTION("""COMPUTED_VALUE"""),"Para este trimestre se solicitaron 4 conceptos tecnicos y se atendieron todos estos 4 conceptos")</f>
        <v>Para este trimestre se solicitaron 4 conceptos tecnicos y se atendieron todos estos 4 conceptos</v>
      </c>
      <c r="AI64" s="80" t="str">
        <f>IFERROR(__xludf.DUMMYFUNCTION("""COMPUTED_VALUE"""),"https://drive.google.com/drive/folders/1P-YUpQqXNoQRrYOTiaKjmsZtHhBL_TDD?usp=sharing")</f>
        <v>https://drive.google.com/drive/folders/1P-YUpQqXNoQRrYOTiaKjmsZtHhBL_TDD?usp=sharing</v>
      </c>
      <c r="AJ64" s="60">
        <f>IFERROR(__xludf.DUMMYFUNCTION("""COMPUTED_VALUE"""),44396.0)</f>
        <v>44396</v>
      </c>
      <c r="AK64" s="61" t="str">
        <f>IFERROR(IF((AL64+1)&lt;2,Alertas!$B$2&amp;TEXT(AL64,"0%")&amp;Alertas!$D$2, IF((AL64+1)=2,Alertas!$B$3,IF((AL64+1)&gt;2,Alertas!$B$4&amp;TEXT(AL64,"0%")&amp;Alertas!$D$4,AL64+1))),"Sin meta para el segundo trimestre")</f>
        <v>La ejecución de la meta registrada se encuentra acorde a la meta programada en la formulación del plan de acción para el segundo trimestre</v>
      </c>
      <c r="AL64" s="62">
        <f t="shared" si="2"/>
        <v>1</v>
      </c>
      <c r="AM64" s="61" t="str">
        <f t="shared" si="3"/>
        <v>La ejecución de la meta registrada se encuentra acorde a la meta programada en la formulación del plan de acción para el segundo trimestre.</v>
      </c>
      <c r="AN64" s="63"/>
      <c r="AO64" s="64"/>
      <c r="AP64" s="65"/>
      <c r="AQ64" s="65"/>
      <c r="AR64" s="66"/>
      <c r="AS64" s="67"/>
      <c r="AT64" s="68"/>
      <c r="AU64" s="63"/>
      <c r="AV64" s="64"/>
      <c r="AW64" s="69"/>
      <c r="AX64" s="65"/>
      <c r="AY64" s="70"/>
      <c r="AZ64" s="71"/>
      <c r="BA64" s="72"/>
      <c r="BB64" s="73"/>
      <c r="BC64" s="64"/>
      <c r="BD64" s="69"/>
      <c r="BE64" s="65"/>
      <c r="BF64" s="66"/>
      <c r="BG64" s="71"/>
      <c r="BH64" s="72"/>
      <c r="BI64" s="74"/>
      <c r="BK64" s="5" t="str">
        <f t="shared" si="23"/>
        <v>0</v>
      </c>
      <c r="BM64" s="5"/>
    </row>
    <row r="65" ht="37.5" customHeight="1">
      <c r="A65" s="45"/>
      <c r="B65" s="46">
        <f>IFERROR(__xludf.DUMMYFUNCTION("""COMPUTED_VALUE"""),63.0)</f>
        <v>63</v>
      </c>
      <c r="C65" s="47" t="str">
        <f>IFERROR(__xludf.DUMMYFUNCTION("""COMPUTED_VALUE"""),"Gestión de la información y generación del conocimiento")</f>
        <v>Gestión de la información y generación del conocimiento</v>
      </c>
      <c r="D65" s="48" t="str">
        <f>IFERROR(__xludf.DUMMYFUNCTION("""COMPUTED_VALUE"""),"Oficina de Generación del Conocimiento y la Información")</f>
        <v>Oficina de Generación del Conocimiento y la Información</v>
      </c>
      <c r="E65"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5" s="49">
        <f>IFERROR(__xludf.DUMMYFUNCTION("""COMPUTED_VALUE"""),2.019011000277E12)</f>
        <v>2019011000277</v>
      </c>
      <c r="G65" s="50" t="str">
        <f>IFERROR(__xludf.DUMMYFUNCTION("""COMPUTED_VALUE"""),"Investigación")</f>
        <v>Investigación</v>
      </c>
      <c r="H65" s="48" t="str">
        <f>IFERROR(__xludf.DUMMYFUNCTION("""COMPUTED_VALUE"""),"Aumentar el desarrollo de la acuicultura asociado a la optimización de los procesos productivos.")</f>
        <v>Aumentar el desarrollo de la acuicultura asociado a la optimización de los procesos productivos.</v>
      </c>
      <c r="I65" s="48" t="str">
        <f>IFERROR(__xludf.DUMMYFUNCTION("""COMPUTED_VALUE"""),"Especies animales y vegetales mejoradas")</f>
        <v>Especies animales y vegetales mejoradas</v>
      </c>
      <c r="J65" s="48" t="str">
        <f>IFERROR(__xludf.DUMMYFUNCTION("""COMPUTED_VALUE"""),"Obtener información para el mejoramiento genético de especies nativas con fines de cultivo y repoblamiento y especies exóticas domesticadas con fines de cultivo")</f>
        <v>Obtener información para el mejoramiento genético de especies nativas con fines de cultivo y repoblamiento y especies exóticas domesticadas con fines de cultivo</v>
      </c>
      <c r="K65" s="51" t="str">
        <f>IFERROR(__xludf.DUMMYFUNCTION("""COMPUTED_VALUE"""),"Producto")</f>
        <v>Producto</v>
      </c>
      <c r="L65" s="51" t="str">
        <f>IFERROR(__xludf.DUMMYFUNCTION("""COMPUTED_VALUE"""),"Eficacia")</f>
        <v>Eficacia</v>
      </c>
      <c r="M65" s="51" t="str">
        <f>IFERROR(__xludf.DUMMYFUNCTION("""COMPUTED_VALUE"""),"Número")</f>
        <v>Número</v>
      </c>
      <c r="N65" s="52" t="str">
        <f>IFERROR(__xludf.DUMMYFUNCTION("""COMPUTED_VALUE"""),"Especies trabajadas a nivel genético")</f>
        <v>Especies trabajadas a nivel genético</v>
      </c>
      <c r="O65" s="53">
        <f>IFERROR(__xludf.DUMMYFUNCTION("""COMPUTED_VALUE"""),1.0)</f>
        <v>1</v>
      </c>
      <c r="P65" s="77">
        <f>IFERROR(__xludf.DUMMYFUNCTION("""COMPUTED_VALUE"""),1.0)</f>
        <v>1</v>
      </c>
      <c r="Q65" s="78" t="str">
        <f>IFERROR(__xludf.DUMMYFUNCTION("""COMPUTED_VALUE"""),"Ejecutar investigaciones en especies acuícolas para trabajos a nivel genético desarrollados desde la OGCI")</f>
        <v>Ejecutar investigaciones en especies acuícolas para trabajos a nivel genético desarrollados desde la OGCI</v>
      </c>
      <c r="R65" s="78" t="str">
        <f>IFERROR(__xludf.DUMMYFUNCTION("""COMPUTED_VALUE"""),"Anual")</f>
        <v>Anual</v>
      </c>
      <c r="S65" s="77">
        <f>IFERROR(__xludf.DUMMYFUNCTION("""COMPUTED_VALUE"""),0.0)</f>
        <v>0</v>
      </c>
      <c r="T65" s="77">
        <f>IFERROR(__xludf.DUMMYFUNCTION("""COMPUTED_VALUE"""),0.0)</f>
        <v>0</v>
      </c>
      <c r="U65" s="77">
        <f>IFERROR(__xludf.DUMMYFUNCTION("""COMPUTED_VALUE"""),0.0)</f>
        <v>0</v>
      </c>
      <c r="V65" s="77">
        <f>IFERROR(__xludf.DUMMYFUNCTION("""COMPUTED_VALUE"""),1.0)</f>
        <v>1</v>
      </c>
      <c r="W65" s="56" t="str">
        <f>IFERROR(__xludf.DUMMYFUNCTION("""COMPUTED_VALUE"""),"Oficina de Generación del Conocimiento y la Información")</f>
        <v>Oficina de Generación del Conocimiento y la Información</v>
      </c>
      <c r="X65" s="57" t="str">
        <f>IFERROR(__xludf.DUMMYFUNCTION("""COMPUTED_VALUE"""),"Maria Angarita Peñaranda")</f>
        <v>Maria Angarita Peñaranda</v>
      </c>
      <c r="Y65" s="47" t="str">
        <f>IFERROR(__xludf.DUMMYFUNCTION("""COMPUTED_VALUE"""),"Jefe Oficina")</f>
        <v>Jefe Oficina</v>
      </c>
      <c r="Z65" s="57" t="str">
        <f>IFERROR(__xludf.DUMMYFUNCTION("""COMPUTED_VALUE"""),"maria.angarita@aunap.gov.co")</f>
        <v>maria.angarita@aunap.gov.co</v>
      </c>
      <c r="AA65" s="47" t="str">
        <f>IFERROR(__xludf.DUMMYFUNCTION("""COMPUTED_VALUE"""),"Humanos, fisicos, financieros y tecnologicos")</f>
        <v>Humanos, fisicos, financieros y tecnologicos</v>
      </c>
      <c r="AB65" s="47" t="str">
        <f>IFERROR(__xludf.DUMMYFUNCTION("""COMPUTED_VALUE"""),"No asociado")</f>
        <v>No asociado</v>
      </c>
      <c r="AC6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5" s="47" t="str">
        <f>IFERROR(__xludf.DUMMYFUNCTION("""COMPUTED_VALUE"""),"Gestión del conocimiento")</f>
        <v>Gestión del conocimiento</v>
      </c>
      <c r="AE65" s="47" t="str">
        <f>IFERROR(__xludf.DUMMYFUNCTION("""COMPUTED_VALUE"""),"Gestión del Conocimiento y la Innovación")</f>
        <v>Gestión del Conocimiento y la Innovación</v>
      </c>
      <c r="AF65" s="47" t="str">
        <f>IFERROR(__xludf.DUMMYFUNCTION("""COMPUTED_VALUE"""),"12. Producción y consumo responsable")</f>
        <v>12. Producción y consumo responsable</v>
      </c>
      <c r="AG65" s="79">
        <f>IFERROR(__xludf.DUMMYFUNCTION("""COMPUTED_VALUE"""),0.0)</f>
        <v>0</v>
      </c>
      <c r="AH65" s="59" t="str">
        <f>IFERROR(__xludf.DUMMYFUNCTION("""COMPUTED_VALUE"""),"El reporte de esta actividad es anual, por ende no se reporta en este trimestre")</f>
        <v>El reporte de esta actividad es anual, por ende no se reporta en este trimestre</v>
      </c>
      <c r="AI65" s="59"/>
      <c r="AJ65" s="60">
        <f>IFERROR(__xludf.DUMMYFUNCTION("""COMPUTED_VALUE"""),44396.0)</f>
        <v>44396</v>
      </c>
      <c r="AK65" s="61" t="str">
        <f>IFERROR(IF((AL65+1)&lt;2,Alertas!$B$2&amp;TEXT(AL65,"0%")&amp;Alertas!$D$2, IF((AL65+1)=2,Alertas!$B$3,IF((AL65+1)&gt;2,Alertas!$B$4&amp;TEXT(AL65,"0%")&amp;Alertas!$D$4,AL65+1))),"Sin meta para el segundo trimestre")</f>
        <v>Sin meta para el segundo trimestre</v>
      </c>
      <c r="AL65" s="62" t="str">
        <f t="shared" si="2"/>
        <v>-</v>
      </c>
      <c r="AM65" s="61" t="str">
        <f t="shared" si="3"/>
        <v>Sin meta para el segundo trimestre.</v>
      </c>
      <c r="AN65" s="63"/>
      <c r="AO65" s="64"/>
      <c r="AP65" s="65"/>
      <c r="AQ65" s="65"/>
      <c r="AR65" s="66"/>
      <c r="AS65" s="67"/>
      <c r="AT65" s="68"/>
      <c r="AU65" s="63"/>
      <c r="AV65" s="64"/>
      <c r="AW65" s="69"/>
      <c r="AX65" s="65"/>
      <c r="AY65" s="70"/>
      <c r="AZ65" s="71"/>
      <c r="BA65" s="72"/>
      <c r="BB65" s="73"/>
      <c r="BC65" s="64"/>
      <c r="BD65" s="69"/>
      <c r="BE65" s="65"/>
      <c r="BF65" s="66"/>
      <c r="BG65" s="71"/>
      <c r="BH65" s="72"/>
      <c r="BI65" s="74"/>
      <c r="BK65" s="5" t="str">
        <f t="shared" si="23"/>
        <v>-</v>
      </c>
      <c r="BM65" s="5"/>
    </row>
    <row r="66" ht="37.5" customHeight="1">
      <c r="A66" s="45"/>
      <c r="B66" s="46">
        <f>IFERROR(__xludf.DUMMYFUNCTION("""COMPUTED_VALUE"""),64.0)</f>
        <v>64</v>
      </c>
      <c r="C66" s="47" t="str">
        <f>IFERROR(__xludf.DUMMYFUNCTION("""COMPUTED_VALUE"""),"Gestión de la información y generación del conocimiento")</f>
        <v>Gestión de la información y generación del conocimiento</v>
      </c>
      <c r="D66" s="48" t="str">
        <f>IFERROR(__xludf.DUMMYFUNCTION("""COMPUTED_VALUE"""),"Oficina de Generación del Conocimiento y la Información")</f>
        <v>Oficina de Generación del Conocimiento y la Información</v>
      </c>
      <c r="E66"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6" s="49">
        <f>IFERROR(__xludf.DUMMYFUNCTION("""COMPUTED_VALUE"""),2.019011000277E12)</f>
        <v>2019011000277</v>
      </c>
      <c r="G66" s="50" t="str">
        <f>IFERROR(__xludf.DUMMYFUNCTION("""COMPUTED_VALUE"""),"Investigación")</f>
        <v>Investigación</v>
      </c>
      <c r="H66" s="48" t="str">
        <f>IFERROR(__xludf.DUMMYFUNCTION("""COMPUTED_VALUE"""),"Fortalecer la generación de insumos de planificación pesquera y de la acuicultura")</f>
        <v>Fortalecer la generación de insumos de planificación pesquera y de la acuicultura</v>
      </c>
      <c r="I66" s="48" t="str">
        <f>IFERROR(__xludf.DUMMYFUNCTION("""COMPUTED_VALUE"""),"Servicio de análisis de Información para la planificación pesquera y de la acuicultura")</f>
        <v>Servicio de análisis de Información para la planificación pesquera y de la acuicultura</v>
      </c>
      <c r="J66" s="48" t="str">
        <f>IFERROR(__xludf.DUMMYFUNCTION("""COMPUTED_VALUE"""),"Realizar la caracterización socioeconómica de pescadores artesanales, acuicultores continentales y marinos y otros eslabones de la cadena productiva con inclusión de género")</f>
        <v>Realizar la caracterización socioeconómica de pescadores artesanales, acuicultores continentales y marinos y otros eslabones de la cadena productiva con inclusión de género</v>
      </c>
      <c r="K66" s="51" t="str">
        <f>IFERROR(__xludf.DUMMYFUNCTION("""COMPUTED_VALUE"""),"Producto")</f>
        <v>Producto</v>
      </c>
      <c r="L66" s="51" t="str">
        <f>IFERROR(__xludf.DUMMYFUNCTION("""COMPUTED_VALUE"""),"Eficacia")</f>
        <v>Eficacia</v>
      </c>
      <c r="M66" s="51" t="str">
        <f>IFERROR(__xludf.DUMMYFUNCTION("""COMPUTED_VALUE"""),"Número")</f>
        <v>Número</v>
      </c>
      <c r="N66" s="52" t="str">
        <f>IFERROR(__xludf.DUMMYFUNCTION("""COMPUTED_VALUE"""),"Análisis generados")</f>
        <v>Análisis generados</v>
      </c>
      <c r="O66" s="53">
        <f>IFERROR(__xludf.DUMMYFUNCTION("""COMPUTED_VALUE"""),2.0)</f>
        <v>2</v>
      </c>
      <c r="P66" s="77">
        <f>IFERROR(__xludf.DUMMYFUNCTION("""COMPUTED_VALUE"""),2.0)</f>
        <v>2</v>
      </c>
      <c r="Q66" s="78"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6" s="78" t="str">
        <f>IFERROR(__xludf.DUMMYFUNCTION("""COMPUTED_VALUE"""),"Anual")</f>
        <v>Anual</v>
      </c>
      <c r="S66" s="77">
        <f>IFERROR(__xludf.DUMMYFUNCTION("""COMPUTED_VALUE"""),0.0)</f>
        <v>0</v>
      </c>
      <c r="T66" s="77">
        <f>IFERROR(__xludf.DUMMYFUNCTION("""COMPUTED_VALUE"""),0.0)</f>
        <v>0</v>
      </c>
      <c r="U66" s="77">
        <f>IFERROR(__xludf.DUMMYFUNCTION("""COMPUTED_VALUE"""),0.0)</f>
        <v>0</v>
      </c>
      <c r="V66" s="77">
        <f>IFERROR(__xludf.DUMMYFUNCTION("""COMPUTED_VALUE"""),2.0)</f>
        <v>2</v>
      </c>
      <c r="W66" s="56" t="str">
        <f>IFERROR(__xludf.DUMMYFUNCTION("""COMPUTED_VALUE"""),"Oficina de Generación del Conocimiento y la Información")</f>
        <v>Oficina de Generación del Conocimiento y la Información</v>
      </c>
      <c r="X66" s="57" t="str">
        <f>IFERROR(__xludf.DUMMYFUNCTION("""COMPUTED_VALUE"""),"Maria Angarita Peñaranda")</f>
        <v>Maria Angarita Peñaranda</v>
      </c>
      <c r="Y66" s="47" t="str">
        <f>IFERROR(__xludf.DUMMYFUNCTION("""COMPUTED_VALUE"""),"Jefe Oficina")</f>
        <v>Jefe Oficina</v>
      </c>
      <c r="Z66" s="57" t="str">
        <f>IFERROR(__xludf.DUMMYFUNCTION("""COMPUTED_VALUE"""),"maria.angarita@aunap.gov.co")</f>
        <v>maria.angarita@aunap.gov.co</v>
      </c>
      <c r="AA66" s="47" t="str">
        <f>IFERROR(__xludf.DUMMYFUNCTION("""COMPUTED_VALUE"""),"Humanos, fisicos, financieros y tecnologicos")</f>
        <v>Humanos, fisicos, financieros y tecnologicos</v>
      </c>
      <c r="AB66" s="47" t="str">
        <f>IFERROR(__xludf.DUMMYFUNCTION("""COMPUTED_VALUE"""),"No asociado")</f>
        <v>No asociado</v>
      </c>
      <c r="AC6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6" s="47" t="str">
        <f>IFERROR(__xludf.DUMMYFUNCTION("""COMPUTED_VALUE"""),"Gestión del conocimiento")</f>
        <v>Gestión del conocimiento</v>
      </c>
      <c r="AE66" s="47" t="str">
        <f>IFERROR(__xludf.DUMMYFUNCTION("""COMPUTED_VALUE"""),"Gestión del Conocimiento y la Innovación")</f>
        <v>Gestión del Conocimiento y la Innovación</v>
      </c>
      <c r="AF66" s="47" t="str">
        <f>IFERROR(__xludf.DUMMYFUNCTION("""COMPUTED_VALUE"""),"12. Producción y consumo responsable")</f>
        <v>12. Producción y consumo responsable</v>
      </c>
      <c r="AG66" s="58">
        <f>IFERROR(__xludf.DUMMYFUNCTION("""COMPUTED_VALUE"""),0.0)</f>
        <v>0</v>
      </c>
      <c r="AH66" s="59" t="str">
        <f>IFERROR(__xludf.DUMMYFUNCTION("""COMPUTED_VALUE"""),"El reporte de esta actividad es anual, por ende no se reporta en este trimestre")</f>
        <v>El reporte de esta actividad es anual, por ende no se reporta en este trimestre</v>
      </c>
      <c r="AI66" s="59"/>
      <c r="AJ66" s="60">
        <f>IFERROR(__xludf.DUMMYFUNCTION("""COMPUTED_VALUE"""),44396.0)</f>
        <v>44396</v>
      </c>
      <c r="AK66" s="61" t="str">
        <f>IFERROR(IF((AL66+1)&lt;2,Alertas!$B$2&amp;TEXT(AL66,"0%")&amp;Alertas!$D$2, IF((AL66+1)=2,Alertas!$B$3,IF((AL66+1)&gt;2,Alertas!$B$4&amp;TEXT(AL66,"0%")&amp;Alertas!$D$4,AL66+1))),"Sin meta para el segundo trimestre")</f>
        <v>Sin meta para el segundo trimestre</v>
      </c>
      <c r="AL66" s="62" t="str">
        <f t="shared" si="2"/>
        <v>-</v>
      </c>
      <c r="AM66" s="61" t="str">
        <f t="shared" si="3"/>
        <v>Sin meta para el segundo trimestre.</v>
      </c>
      <c r="AN66" s="63"/>
      <c r="AO66" s="64"/>
      <c r="AP66" s="65"/>
      <c r="AQ66" s="65"/>
      <c r="AR66" s="66"/>
      <c r="AS66" s="67"/>
      <c r="AT66" s="68"/>
      <c r="AU66" s="63"/>
      <c r="AV66" s="64"/>
      <c r="AW66" s="69"/>
      <c r="AX66" s="65"/>
      <c r="AY66" s="70"/>
      <c r="AZ66" s="71"/>
      <c r="BA66" s="72"/>
      <c r="BB66" s="73"/>
      <c r="BC66" s="64"/>
      <c r="BD66" s="69"/>
      <c r="BE66" s="65"/>
      <c r="BF66" s="66"/>
      <c r="BG66" s="71"/>
      <c r="BH66" s="72"/>
      <c r="BI66" s="74"/>
      <c r="BK66" s="5" t="str">
        <f t="shared" si="23"/>
        <v>-</v>
      </c>
      <c r="BM66" s="5"/>
    </row>
    <row r="67" ht="37.5" customHeight="1">
      <c r="A67" s="45"/>
      <c r="B67" s="46">
        <f>IFERROR(__xludf.DUMMYFUNCTION("""COMPUTED_VALUE"""),65.0)</f>
        <v>65</v>
      </c>
      <c r="C67" s="47" t="str">
        <f>IFERROR(__xludf.DUMMYFUNCTION("""COMPUTED_VALUE"""),"Gestión de la información y generación del conocimiento")</f>
        <v>Gestión de la información y generación del conocimiento</v>
      </c>
      <c r="D67" s="48" t="str">
        <f>IFERROR(__xludf.DUMMYFUNCTION("""COMPUTED_VALUE"""),"Oficina de Generación del Conocimiento y la Información")</f>
        <v>Oficina de Generación del Conocimiento y la Información</v>
      </c>
      <c r="E67"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7" s="49">
        <f>IFERROR(__xludf.DUMMYFUNCTION("""COMPUTED_VALUE"""),2.019011000277E12)</f>
        <v>2019011000277</v>
      </c>
      <c r="G67" s="50" t="str">
        <f>IFERROR(__xludf.DUMMYFUNCTION("""COMPUTED_VALUE"""),"Investigación")</f>
        <v>Investigación</v>
      </c>
      <c r="H67" s="48" t="str">
        <f>IFERROR(__xludf.DUMMYFUNCTION("""COMPUTED_VALUE"""),"Fortalecer la generación de insumos de planificación pesquera y de la acuicultura")</f>
        <v>Fortalecer la generación de insumos de planificación pesquera y de la acuicultura</v>
      </c>
      <c r="I67" s="48" t="str">
        <f>IFERROR(__xludf.DUMMYFUNCTION("""COMPUTED_VALUE"""),"Servicio de análisis de Información para la planificación pesquera y de la acuicultura")</f>
        <v>Servicio de análisis de Información para la planificación pesquera y de la acuicultura</v>
      </c>
      <c r="J67" s="48" t="str">
        <f>IFERROR(__xludf.DUMMYFUNCTION("""COMPUTED_VALUE"""),"Recolectar información de la cadena productiva, relacionada con los procesos de comercialización y mercadeo")</f>
        <v>Recolectar información de la cadena productiva, relacionada con los procesos de comercialización y mercadeo</v>
      </c>
      <c r="K67" s="51" t="str">
        <f>IFERROR(__xludf.DUMMYFUNCTION("""COMPUTED_VALUE"""),"Producto")</f>
        <v>Producto</v>
      </c>
      <c r="L67" s="51" t="str">
        <f>IFERROR(__xludf.DUMMYFUNCTION("""COMPUTED_VALUE"""),"Eficacia")</f>
        <v>Eficacia</v>
      </c>
      <c r="M67" s="51" t="str">
        <f>IFERROR(__xludf.DUMMYFUNCTION("""COMPUTED_VALUE"""),"Número")</f>
        <v>Número</v>
      </c>
      <c r="N67" s="52" t="str">
        <f>IFERROR(__xludf.DUMMYFUNCTION("""COMPUTED_VALUE"""),"Análisis generados")</f>
        <v>Análisis generados</v>
      </c>
      <c r="O67" s="53">
        <f>IFERROR(__xludf.DUMMYFUNCTION("""COMPUTED_VALUE"""),2.0)</f>
        <v>2</v>
      </c>
      <c r="P67" s="77">
        <f>IFERROR(__xludf.DUMMYFUNCTION("""COMPUTED_VALUE"""),2.0)</f>
        <v>2</v>
      </c>
      <c r="Q67" s="78"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7" s="78" t="str">
        <f>IFERROR(__xludf.DUMMYFUNCTION("""COMPUTED_VALUE"""),"Anual")</f>
        <v>Anual</v>
      </c>
      <c r="S67" s="77">
        <f>IFERROR(__xludf.DUMMYFUNCTION("""COMPUTED_VALUE"""),0.0)</f>
        <v>0</v>
      </c>
      <c r="T67" s="77">
        <f>IFERROR(__xludf.DUMMYFUNCTION("""COMPUTED_VALUE"""),0.0)</f>
        <v>0</v>
      </c>
      <c r="U67" s="77">
        <f>IFERROR(__xludf.DUMMYFUNCTION("""COMPUTED_VALUE"""),0.0)</f>
        <v>0</v>
      </c>
      <c r="V67" s="77">
        <f>IFERROR(__xludf.DUMMYFUNCTION("""COMPUTED_VALUE"""),2.0)</f>
        <v>2</v>
      </c>
      <c r="W67" s="56" t="str">
        <f>IFERROR(__xludf.DUMMYFUNCTION("""COMPUTED_VALUE"""),"Oficina de Generación del Conocimiento y la Información")</f>
        <v>Oficina de Generación del Conocimiento y la Información</v>
      </c>
      <c r="X67" s="57" t="str">
        <f>IFERROR(__xludf.DUMMYFUNCTION("""COMPUTED_VALUE"""),"Maria Angarita Peñaranda")</f>
        <v>Maria Angarita Peñaranda</v>
      </c>
      <c r="Y67" s="47" t="str">
        <f>IFERROR(__xludf.DUMMYFUNCTION("""COMPUTED_VALUE"""),"Jefe Oficina")</f>
        <v>Jefe Oficina</v>
      </c>
      <c r="Z67" s="57" t="str">
        <f>IFERROR(__xludf.DUMMYFUNCTION("""COMPUTED_VALUE"""),"maria.angarita@aunap.gov.co")</f>
        <v>maria.angarita@aunap.gov.co</v>
      </c>
      <c r="AA67" s="47" t="str">
        <f>IFERROR(__xludf.DUMMYFUNCTION("""COMPUTED_VALUE"""),"Humanos, fisicos, financieros y tecnologicos")</f>
        <v>Humanos, fisicos, financieros y tecnologicos</v>
      </c>
      <c r="AB67" s="47" t="str">
        <f>IFERROR(__xludf.DUMMYFUNCTION("""COMPUTED_VALUE"""),"No asociado")</f>
        <v>No asociado</v>
      </c>
      <c r="AC6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7" s="47" t="str">
        <f>IFERROR(__xludf.DUMMYFUNCTION("""COMPUTED_VALUE"""),"Gestión del conocimiento")</f>
        <v>Gestión del conocimiento</v>
      </c>
      <c r="AE67" s="47" t="str">
        <f>IFERROR(__xludf.DUMMYFUNCTION("""COMPUTED_VALUE"""),"Gestión del Conocimiento y la Innovación")</f>
        <v>Gestión del Conocimiento y la Innovación</v>
      </c>
      <c r="AF67" s="47" t="str">
        <f>IFERROR(__xludf.DUMMYFUNCTION("""COMPUTED_VALUE"""),"12. Producción y consumo responsable")</f>
        <v>12. Producción y consumo responsable</v>
      </c>
      <c r="AG67" s="58">
        <f>IFERROR(__xludf.DUMMYFUNCTION("""COMPUTED_VALUE"""),0.0)</f>
        <v>0</v>
      </c>
      <c r="AH67" s="59" t="str">
        <f>IFERROR(__xludf.DUMMYFUNCTION("""COMPUTED_VALUE"""),"El reporte de esta actividad es anual, por ende no se reporta en este trimestre")</f>
        <v>El reporte de esta actividad es anual, por ende no se reporta en este trimestre</v>
      </c>
      <c r="AI67" s="59"/>
      <c r="AJ67" s="60">
        <f>IFERROR(__xludf.DUMMYFUNCTION("""COMPUTED_VALUE"""),44396.0)</f>
        <v>44396</v>
      </c>
      <c r="AK67" s="61" t="str">
        <f>IFERROR(IF((AL67+1)&lt;2,Alertas!$B$2&amp;TEXT(AL67,"0%")&amp;Alertas!$D$2, IF((AL67+1)=2,Alertas!$B$3,IF((AL67+1)&gt;2,Alertas!$B$4&amp;TEXT(AL67,"0%")&amp;Alertas!$D$4,AL67+1))),"Sin meta para el segundo trimestre")</f>
        <v>Sin meta para el segundo trimestre</v>
      </c>
      <c r="AL67" s="62" t="str">
        <f t="shared" si="2"/>
        <v>-</v>
      </c>
      <c r="AM67" s="61" t="str">
        <f t="shared" si="3"/>
        <v>Sin meta para el segundo trimestre.</v>
      </c>
      <c r="AN67" s="63"/>
      <c r="AO67" s="64"/>
      <c r="AP67" s="65"/>
      <c r="AQ67" s="65"/>
      <c r="AR67" s="66"/>
      <c r="AS67" s="67"/>
      <c r="AT67" s="68"/>
      <c r="AU67" s="63"/>
      <c r="AV67" s="64"/>
      <c r="AW67" s="69"/>
      <c r="AX67" s="65"/>
      <c r="AY67" s="70"/>
      <c r="AZ67" s="71"/>
      <c r="BA67" s="72"/>
      <c r="BB67" s="73"/>
      <c r="BC67" s="64"/>
      <c r="BD67" s="69"/>
      <c r="BE67" s="65"/>
      <c r="BF67" s="66"/>
      <c r="BG67" s="71"/>
      <c r="BH67" s="72"/>
      <c r="BI67" s="74"/>
      <c r="BK67" s="5" t="str">
        <f t="shared" si="23"/>
        <v>-</v>
      </c>
      <c r="BM67" s="5"/>
    </row>
    <row r="68" ht="37.5" customHeight="1">
      <c r="A68" s="45"/>
      <c r="B68" s="46">
        <f>IFERROR(__xludf.DUMMYFUNCTION("""COMPUTED_VALUE"""),66.0)</f>
        <v>66</v>
      </c>
      <c r="C68" s="47" t="str">
        <f>IFERROR(__xludf.DUMMYFUNCTION("""COMPUTED_VALUE"""),"Gestión de la información y generación del conocimiento")</f>
        <v>Gestión de la información y generación del conocimiento</v>
      </c>
      <c r="D68" s="48" t="str">
        <f>IFERROR(__xludf.DUMMYFUNCTION("""COMPUTED_VALUE"""),"Oficina de Generación del Conocimiento y la Información")</f>
        <v>Oficina de Generación del Conocimiento y la Información</v>
      </c>
      <c r="E68"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8" s="49">
        <f>IFERROR(__xludf.DUMMYFUNCTION("""COMPUTED_VALUE"""),2.019011000277E12)</f>
        <v>2019011000277</v>
      </c>
      <c r="G68" s="50" t="str">
        <f>IFERROR(__xludf.DUMMYFUNCTION("""COMPUTED_VALUE"""),"Investigación")</f>
        <v>Investigación</v>
      </c>
      <c r="H68" s="48" t="str">
        <f>IFERROR(__xludf.DUMMYFUNCTION("""COMPUTED_VALUE"""),"Fortalecer la generación de insumos de planificación pesquera y de la acuicultura")</f>
        <v>Fortalecer la generación de insumos de planificación pesquera y de la acuicultura</v>
      </c>
      <c r="I68" s="48" t="str">
        <f>IFERROR(__xludf.DUMMYFUNCTION("""COMPUTED_VALUE"""),"Servicio de análisis de Información para la planificación pesquera y de la acuicultura")</f>
        <v>Servicio de análisis de Información para la planificación pesquera y de la acuicultura</v>
      </c>
      <c r="J68" s="48" t="str">
        <f>IFERROR(__xludf.DUMMYFUNCTION("""COMPUTED_VALUE"""),"Analizar y procesar la información geográfica de la pesca y de la acuicultura")</f>
        <v>Analizar y procesar la información geográfica de la pesca y de la acuicultura</v>
      </c>
      <c r="K68" s="51" t="str">
        <f>IFERROR(__xludf.DUMMYFUNCTION("""COMPUTED_VALUE"""),"Producto")</f>
        <v>Producto</v>
      </c>
      <c r="L68" s="51" t="str">
        <f>IFERROR(__xludf.DUMMYFUNCTION("""COMPUTED_VALUE"""),"Eficacia")</f>
        <v>Eficacia</v>
      </c>
      <c r="M68" s="51" t="str">
        <f>IFERROR(__xludf.DUMMYFUNCTION("""COMPUTED_VALUE"""),"Número")</f>
        <v>Número</v>
      </c>
      <c r="N68" s="52" t="str">
        <f>IFERROR(__xludf.DUMMYFUNCTION("""COMPUTED_VALUE"""),"Análisis generados")</f>
        <v>Análisis generados</v>
      </c>
      <c r="O68" s="53">
        <f>IFERROR(__xludf.DUMMYFUNCTION("""COMPUTED_VALUE"""),2.0)</f>
        <v>2</v>
      </c>
      <c r="P68" s="54">
        <f>IFERROR(__xludf.DUMMYFUNCTION("""COMPUTED_VALUE"""),2.0)</f>
        <v>2</v>
      </c>
      <c r="Q68" s="55"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8" s="14" t="str">
        <f>IFERROR(__xludf.DUMMYFUNCTION("""COMPUTED_VALUE"""),"Anual")</f>
        <v>Anual</v>
      </c>
      <c r="S68" s="54">
        <f>IFERROR(__xludf.DUMMYFUNCTION("""COMPUTED_VALUE"""),0.0)</f>
        <v>0</v>
      </c>
      <c r="T68" s="54">
        <f>IFERROR(__xludf.DUMMYFUNCTION("""COMPUTED_VALUE"""),0.0)</f>
        <v>0</v>
      </c>
      <c r="U68" s="54">
        <f>IFERROR(__xludf.DUMMYFUNCTION("""COMPUTED_VALUE"""),0.0)</f>
        <v>0</v>
      </c>
      <c r="V68" s="54">
        <f>IFERROR(__xludf.DUMMYFUNCTION("""COMPUTED_VALUE"""),2.0)</f>
        <v>2</v>
      </c>
      <c r="W68" s="56" t="str">
        <f>IFERROR(__xludf.DUMMYFUNCTION("""COMPUTED_VALUE"""),"Oficina de Generación del Conocimiento y la Información")</f>
        <v>Oficina de Generación del Conocimiento y la Información</v>
      </c>
      <c r="X68" s="57" t="str">
        <f>IFERROR(__xludf.DUMMYFUNCTION("""COMPUTED_VALUE"""),"Maria Angarita Peñaranda")</f>
        <v>Maria Angarita Peñaranda</v>
      </c>
      <c r="Y68" s="47" t="str">
        <f>IFERROR(__xludf.DUMMYFUNCTION("""COMPUTED_VALUE"""),"Jefe Oficina")</f>
        <v>Jefe Oficina</v>
      </c>
      <c r="Z68" s="57" t="str">
        <f>IFERROR(__xludf.DUMMYFUNCTION("""COMPUTED_VALUE"""),"maria.angarita@aunap.gov.co")</f>
        <v>maria.angarita@aunap.gov.co</v>
      </c>
      <c r="AA68" s="47" t="str">
        <f>IFERROR(__xludf.DUMMYFUNCTION("""COMPUTED_VALUE"""),"Humanos, fisicos, financieros y tecnologicos")</f>
        <v>Humanos, fisicos, financieros y tecnologicos</v>
      </c>
      <c r="AB68" s="47" t="str">
        <f>IFERROR(__xludf.DUMMYFUNCTION("""COMPUTED_VALUE"""),"No asociado")</f>
        <v>No asociado</v>
      </c>
      <c r="AC6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8" s="47" t="str">
        <f>IFERROR(__xludf.DUMMYFUNCTION("""COMPUTED_VALUE"""),"Gestión del conocimiento")</f>
        <v>Gestión del conocimiento</v>
      </c>
      <c r="AE68" s="47" t="str">
        <f>IFERROR(__xludf.DUMMYFUNCTION("""COMPUTED_VALUE"""),"Gestión del Conocimiento y la Innovación")</f>
        <v>Gestión del Conocimiento y la Innovación</v>
      </c>
      <c r="AF68" s="47" t="str">
        <f>IFERROR(__xludf.DUMMYFUNCTION("""COMPUTED_VALUE"""),"12. Producción y consumo responsable")</f>
        <v>12. Producción y consumo responsable</v>
      </c>
      <c r="AG68" s="58">
        <f>IFERROR(__xludf.DUMMYFUNCTION("""COMPUTED_VALUE"""),0.0)</f>
        <v>0</v>
      </c>
      <c r="AH68" s="59" t="str">
        <f>IFERROR(__xludf.DUMMYFUNCTION("""COMPUTED_VALUE"""),"El reporte de esta actividad es anual, por ende no se reporta en este trimestre")</f>
        <v>El reporte de esta actividad es anual, por ende no se reporta en este trimestre</v>
      </c>
      <c r="AI68" s="59"/>
      <c r="AJ68" s="60">
        <f>IFERROR(__xludf.DUMMYFUNCTION("""COMPUTED_VALUE"""),44396.0)</f>
        <v>44396</v>
      </c>
      <c r="AK68" s="61" t="str">
        <f>IFERROR(IF((AL68+1)&lt;2,Alertas!$B$2&amp;TEXT(AL68,"0%")&amp;Alertas!$D$2, IF((AL68+1)=2,Alertas!$B$3,IF((AL68+1)&gt;2,Alertas!$B$4&amp;TEXT(AL68,"0%")&amp;Alertas!$D$4,AL68+1))),"Sin meta para el segundo trimestre")</f>
        <v>Sin meta para el segundo trimestre</v>
      </c>
      <c r="AL68" s="62" t="str">
        <f t="shared" si="2"/>
        <v>-</v>
      </c>
      <c r="AM68" s="61" t="str">
        <f t="shared" si="3"/>
        <v>Sin meta para el segundo trimestre.</v>
      </c>
      <c r="AN68" s="63"/>
      <c r="AO68" s="64"/>
      <c r="AP68" s="65"/>
      <c r="AQ68" s="65"/>
      <c r="AR68" s="66"/>
      <c r="AS68" s="67"/>
      <c r="AT68" s="68"/>
      <c r="AU68" s="63"/>
      <c r="AV68" s="64"/>
      <c r="AW68" s="69"/>
      <c r="AX68" s="65"/>
      <c r="AY68" s="70"/>
      <c r="AZ68" s="71"/>
      <c r="BA68" s="72"/>
      <c r="BB68" s="73"/>
      <c r="BC68" s="64"/>
      <c r="BD68" s="69"/>
      <c r="BE68" s="65"/>
      <c r="BF68" s="66"/>
      <c r="BG68" s="71"/>
      <c r="BH68" s="72"/>
      <c r="BI68" s="74"/>
      <c r="BK68" s="5" t="str">
        <f t="shared" si="23"/>
        <v>-</v>
      </c>
      <c r="BM68" s="5"/>
    </row>
    <row r="69" ht="37.5" customHeight="1">
      <c r="A69" s="45"/>
      <c r="B69" s="46">
        <f>IFERROR(__xludf.DUMMYFUNCTION("""COMPUTED_VALUE"""),67.0)</f>
        <v>67</v>
      </c>
      <c r="C69" s="47" t="str">
        <f>IFERROR(__xludf.DUMMYFUNCTION("""COMPUTED_VALUE"""),"Gestión de la información y generación del conocimiento")</f>
        <v>Gestión de la información y generación del conocimiento</v>
      </c>
      <c r="D69" s="48" t="str">
        <f>IFERROR(__xludf.DUMMYFUNCTION("""COMPUTED_VALUE"""),"Oficina de Generación del Conocimiento y la Información")</f>
        <v>Oficina de Generación del Conocimiento y la Información</v>
      </c>
      <c r="E6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9" s="49">
        <f>IFERROR(__xludf.DUMMYFUNCTION("""COMPUTED_VALUE"""),2.019011000277E12)</f>
        <v>2019011000277</v>
      </c>
      <c r="G69" s="50" t="str">
        <f>IFERROR(__xludf.DUMMYFUNCTION("""COMPUTED_VALUE"""),"Investigación")</f>
        <v>Investigación</v>
      </c>
      <c r="H6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9" s="48" t="str">
        <f>IFERROR(__xludf.DUMMYFUNCTION("""COMPUTED_VALUE"""),"Documentos de investigación")</f>
        <v>Documentos de investigación</v>
      </c>
      <c r="J69"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9" s="51" t="str">
        <f>IFERROR(__xludf.DUMMYFUNCTION("""COMPUTED_VALUE"""),"Gestión del área")</f>
        <v>Gestión del área</v>
      </c>
      <c r="L69" s="51" t="str">
        <f>IFERROR(__xludf.DUMMYFUNCTION("""COMPUTED_VALUE"""),"Eficacia")</f>
        <v>Eficacia</v>
      </c>
      <c r="M69" s="51" t="str">
        <f>IFERROR(__xludf.DUMMYFUNCTION("""COMPUTED_VALUE"""),"Número")</f>
        <v>Número</v>
      </c>
      <c r="N69" s="52" t="str">
        <f>IFERROR(__xludf.DUMMYFUNCTION("""COMPUTED_VALUE"""),"Eventos de divulgación de resultados")</f>
        <v>Eventos de divulgación de resultados</v>
      </c>
      <c r="O69" s="53">
        <f>IFERROR(__xludf.DUMMYFUNCTION("""COMPUTED_VALUE"""),4.0)</f>
        <v>4</v>
      </c>
      <c r="P69" s="54">
        <f>IFERROR(__xludf.DUMMYFUNCTION("""COMPUTED_VALUE"""),4.0)</f>
        <v>4</v>
      </c>
      <c r="Q69" s="55" t="str">
        <f>IFERROR(__xludf.DUMMYFUNCTION("""COMPUTED_VALUE"""),"Realización de conferencias o conversatorios para la divulgacion de resultados de investigaciones en pesca,  para personal interno de la AUNAP ó para publico externo de la AUNAP")</f>
        <v>Realización de conferencias o conversatorios para la divulgacion de resultados de investigaciones en pesca,  para personal interno de la AUNAP ó para publico externo de la AUNAP</v>
      </c>
      <c r="R69" s="14" t="str">
        <f>IFERROR(__xludf.DUMMYFUNCTION("""COMPUTED_VALUE"""),"Trimestral")</f>
        <v>Trimestral</v>
      </c>
      <c r="S69" s="54">
        <f>IFERROR(__xludf.DUMMYFUNCTION("""COMPUTED_VALUE"""),0.0)</f>
        <v>0</v>
      </c>
      <c r="T69" s="54">
        <f>IFERROR(__xludf.DUMMYFUNCTION("""COMPUTED_VALUE"""),1.0)</f>
        <v>1</v>
      </c>
      <c r="U69" s="54">
        <f>IFERROR(__xludf.DUMMYFUNCTION("""COMPUTED_VALUE"""),2.0)</f>
        <v>2</v>
      </c>
      <c r="V69" s="54">
        <f>IFERROR(__xludf.DUMMYFUNCTION("""COMPUTED_VALUE"""),1.0)</f>
        <v>1</v>
      </c>
      <c r="W69" s="56" t="str">
        <f>IFERROR(__xludf.DUMMYFUNCTION("""COMPUTED_VALUE"""),"Oficina de Generación del Conocimiento y la Información")</f>
        <v>Oficina de Generación del Conocimiento y la Información</v>
      </c>
      <c r="X69" s="57" t="str">
        <f>IFERROR(__xludf.DUMMYFUNCTION("""COMPUTED_VALUE"""),"Maria Angarita Peñaranda")</f>
        <v>Maria Angarita Peñaranda</v>
      </c>
      <c r="Y69" s="47" t="str">
        <f>IFERROR(__xludf.DUMMYFUNCTION("""COMPUTED_VALUE"""),"Jefe Oficina")</f>
        <v>Jefe Oficina</v>
      </c>
      <c r="Z69" s="57" t="str">
        <f>IFERROR(__xludf.DUMMYFUNCTION("""COMPUTED_VALUE"""),"maria.angarita@aunap.gov.co")</f>
        <v>maria.angarita@aunap.gov.co</v>
      </c>
      <c r="AA69" s="47" t="str">
        <f>IFERROR(__xludf.DUMMYFUNCTION("""COMPUTED_VALUE"""),"Humanos, fisicos, financieros y tecnologicos")</f>
        <v>Humanos, fisicos, financieros y tecnologicos</v>
      </c>
      <c r="AB69" s="47" t="str">
        <f>IFERROR(__xludf.DUMMYFUNCTION("""COMPUTED_VALUE"""),"No asociado")</f>
        <v>No asociado</v>
      </c>
      <c r="AC6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9" s="47" t="str">
        <f>IFERROR(__xludf.DUMMYFUNCTION("""COMPUTED_VALUE"""),"Gestión del conocimiento")</f>
        <v>Gestión del conocimiento</v>
      </c>
      <c r="AE69" s="47" t="str">
        <f>IFERROR(__xludf.DUMMYFUNCTION("""COMPUTED_VALUE"""),"Gestión del Conocimiento y la Innovación")</f>
        <v>Gestión del Conocimiento y la Innovación</v>
      </c>
      <c r="AF69" s="47" t="str">
        <f>IFERROR(__xludf.DUMMYFUNCTION("""COMPUTED_VALUE"""),"12. Producción y consumo responsable")</f>
        <v>12. Producción y consumo responsable</v>
      </c>
      <c r="AG69" s="58">
        <f>IFERROR(__xludf.DUMMYFUNCTION("""COMPUTED_VALUE"""),1.0)</f>
        <v>1</v>
      </c>
      <c r="AH69" s="59" t="str">
        <f>IFERROR(__xludf.DUMMYFUNCTION("""COMPUTED_VALUE"""),"Se  adelantó  una  charla  en  la  cual  se  dieron  a  conocer  los  resultados  del  convenio  283  de 2020, el cual tenia como objetivo   recolectar, registrar y analizar la información biológico– pesquera  derivada  del  monitoreo  a  bordo en  barcos"&amp;"  industriales  y  en  algunas  flotas  de pesca artesanal que operan en los litorales Caribe y Pacífico, adicional a esta charla, tambien fue realizada la charla: Dinamica de la pesca industrial atunera con red de cerco")</f>
        <v>Se  adelantó  una  charla  en  la  cual  se  dieron  a  conocer  los  resultados  del  convenio  283  de 2020, el cual tenia como objetivo   recolectar, registrar y analizar la información biológico– pesquera  derivada  del  monitoreo  a  bordo en  barcos  industriales  y  en  algunas  flotas  de pesca artesanal que operan en los litorales Caribe y Pacífico, adicional a esta charla, tambien fue realizada la charla: Dinamica de la pesca industrial atunera con red de cerco</v>
      </c>
      <c r="AI69" s="59" t="str">
        <f>IFERROR(__xludf.DUMMYFUNCTION("""COMPUTED_VALUE"""),"https://drive.google.com/file/d/18OJDPi4D903LVgIQoOwvRYgPjedCv8EC/view?usp=sharing
https://drive.google.com/file/d/1rg0dvntxAsn80OIlIvtlXTVC4HBzdSDN/view?usp=sharing")</f>
        <v>https://drive.google.com/file/d/18OJDPi4D903LVgIQoOwvRYgPjedCv8EC/view?usp=sharing
https://drive.google.com/file/d/1rg0dvntxAsn80OIlIvtlXTVC4HBzdSDN/view?usp=sharing</v>
      </c>
      <c r="AJ69" s="60">
        <f>IFERROR(__xludf.DUMMYFUNCTION("""COMPUTED_VALUE"""),44396.0)</f>
        <v>44396</v>
      </c>
      <c r="AK69" s="61" t="str">
        <f>IFERROR(IF((AL69+1)&lt;2,Alertas!$B$2&amp;TEXT(AL69,"0%")&amp;Alertas!$D$2, IF((AL69+1)=2,Alertas!$B$3,IF((AL69+1)&gt;2,Alertas!$B$4&amp;TEXT(AL69,"0%")&amp;Alertas!$D$4,AL69+1))),"Sin meta para el segundo trimestre")</f>
        <v>La ejecución de la meta registrada se encuentra acorde a la meta programada en la formulación del plan de acción para el segundo trimestre</v>
      </c>
      <c r="AL69" s="62">
        <f t="shared" si="2"/>
        <v>1</v>
      </c>
      <c r="AM69" s="61" t="str">
        <f t="shared" si="3"/>
        <v>La ejecución de la meta registrada se encuentra acorde a la meta programada en la formulación del plan de acción para el segundo trimestre.</v>
      </c>
      <c r="AN69" s="63"/>
      <c r="AO69" s="64"/>
      <c r="AP69" s="65"/>
      <c r="AQ69" s="65"/>
      <c r="AR69" s="66"/>
      <c r="AS69" s="67"/>
      <c r="AT69" s="68"/>
      <c r="AU69" s="63"/>
      <c r="AV69" s="64"/>
      <c r="AW69" s="69"/>
      <c r="AX69" s="65"/>
      <c r="AY69" s="70"/>
      <c r="AZ69" s="71"/>
      <c r="BA69" s="72"/>
      <c r="BB69" s="73"/>
      <c r="BC69" s="64"/>
      <c r="BD69" s="69"/>
      <c r="BE69" s="65"/>
      <c r="BF69" s="66"/>
      <c r="BG69" s="71"/>
      <c r="BH69" s="72"/>
      <c r="BI69" s="74"/>
      <c r="BK69" s="5" t="str">
        <f t="shared" si="23"/>
        <v>0</v>
      </c>
      <c r="BM69" s="5"/>
    </row>
    <row r="70" ht="37.5" customHeight="1">
      <c r="A70" s="45"/>
      <c r="B70" s="46">
        <f>IFERROR(__xludf.DUMMYFUNCTION("""COMPUTED_VALUE"""),68.0)</f>
        <v>68</v>
      </c>
      <c r="C70" s="47" t="str">
        <f>IFERROR(__xludf.DUMMYFUNCTION("""COMPUTED_VALUE"""),"Gestión de la información y generación del conocimiento")</f>
        <v>Gestión de la información y generación del conocimiento</v>
      </c>
      <c r="D70" s="48" t="str">
        <f>IFERROR(__xludf.DUMMYFUNCTION("""COMPUTED_VALUE"""),"Oficina de Generación del Conocimiento y la Información")</f>
        <v>Oficina de Generación del Conocimiento y la Información</v>
      </c>
      <c r="E70"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70" s="49">
        <f>IFERROR(__xludf.DUMMYFUNCTION("""COMPUTED_VALUE"""),2.019011000277E12)</f>
        <v>2019011000277</v>
      </c>
      <c r="G70" s="50" t="str">
        <f>IFERROR(__xludf.DUMMYFUNCTION("""COMPUTED_VALUE"""),"Investigación")</f>
        <v>Investigación</v>
      </c>
      <c r="H70" s="48" t="str">
        <f>IFERROR(__xludf.DUMMYFUNCTION("""COMPUTED_VALUE"""),"Aumentar el desarrollo de la acuicultura asociado a la optimización de los procesos productivos.")</f>
        <v>Aumentar el desarrollo de la acuicultura asociado a la optimización de los procesos productivos.</v>
      </c>
      <c r="I70" s="48" t="str">
        <f>IFERROR(__xludf.DUMMYFUNCTION("""COMPUTED_VALUE"""),"Documentos de lineamientos técnicos")</f>
        <v>Documentos de lineamientos técnicos</v>
      </c>
      <c r="J70"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70" s="51" t="str">
        <f>IFERROR(__xludf.DUMMYFUNCTION("""COMPUTED_VALUE"""),"Gestión del área")</f>
        <v>Gestión del área</v>
      </c>
      <c r="L70" s="51" t="str">
        <f>IFERROR(__xludf.DUMMYFUNCTION("""COMPUTED_VALUE"""),"Eficacia")</f>
        <v>Eficacia</v>
      </c>
      <c r="M70" s="51" t="str">
        <f>IFERROR(__xludf.DUMMYFUNCTION("""COMPUTED_VALUE"""),"Número")</f>
        <v>Número</v>
      </c>
      <c r="N70" s="52" t="str">
        <f>IFERROR(__xludf.DUMMYFUNCTION("""COMPUTED_VALUE"""),"Eventos de divulgación de resultados")</f>
        <v>Eventos de divulgación de resultados</v>
      </c>
      <c r="O70" s="53">
        <f>IFERROR(__xludf.DUMMYFUNCTION("""COMPUTED_VALUE"""),4.0)</f>
        <v>4</v>
      </c>
      <c r="P70" s="54">
        <f>IFERROR(__xludf.DUMMYFUNCTION("""COMPUTED_VALUE"""),4.0)</f>
        <v>4</v>
      </c>
      <c r="Q70" s="55" t="str">
        <f>IFERROR(__xludf.DUMMYFUNCTION("""COMPUTED_VALUE"""),"Realización de conferencias o conversatorios para la divulgacion de resultados de investigaciones en acuicultura,  para personal interno de la AUNAP ó para publico externo de la AUNAP")</f>
        <v>Realización de conferencias o conversatorios para la divulgacion de resultados de investigaciones en acuicultura,  para personal interno de la AUNAP ó para publico externo de la AUNAP</v>
      </c>
      <c r="R70" s="14" t="str">
        <f>IFERROR(__xludf.DUMMYFUNCTION("""COMPUTED_VALUE"""),"Trimestral")</f>
        <v>Trimestral</v>
      </c>
      <c r="S70" s="54">
        <f>IFERROR(__xludf.DUMMYFUNCTION("""COMPUTED_VALUE"""),0.0)</f>
        <v>0</v>
      </c>
      <c r="T70" s="54">
        <f>IFERROR(__xludf.DUMMYFUNCTION("""COMPUTED_VALUE"""),1.0)</f>
        <v>1</v>
      </c>
      <c r="U70" s="54">
        <f>IFERROR(__xludf.DUMMYFUNCTION("""COMPUTED_VALUE"""),2.0)</f>
        <v>2</v>
      </c>
      <c r="V70" s="54">
        <f>IFERROR(__xludf.DUMMYFUNCTION("""COMPUTED_VALUE"""),1.0)</f>
        <v>1</v>
      </c>
      <c r="W70" s="56" t="str">
        <f>IFERROR(__xludf.DUMMYFUNCTION("""COMPUTED_VALUE"""),"Oficina de Generación del Conocimiento y la Información")</f>
        <v>Oficina de Generación del Conocimiento y la Información</v>
      </c>
      <c r="X70" s="57" t="str">
        <f>IFERROR(__xludf.DUMMYFUNCTION("""COMPUTED_VALUE"""),"Maria Angarita Peñaranda")</f>
        <v>Maria Angarita Peñaranda</v>
      </c>
      <c r="Y70" s="47" t="str">
        <f>IFERROR(__xludf.DUMMYFUNCTION("""COMPUTED_VALUE"""),"Jefe Oficina")</f>
        <v>Jefe Oficina</v>
      </c>
      <c r="Z70" s="57" t="str">
        <f>IFERROR(__xludf.DUMMYFUNCTION("""COMPUTED_VALUE"""),"maria.angarita@aunap.gov.co")</f>
        <v>maria.angarita@aunap.gov.co</v>
      </c>
      <c r="AA70" s="47" t="str">
        <f>IFERROR(__xludf.DUMMYFUNCTION("""COMPUTED_VALUE"""),"Humanos, fisicos, financieros y tecnologicos")</f>
        <v>Humanos, fisicos, financieros y tecnologicos</v>
      </c>
      <c r="AB70" s="47" t="str">
        <f>IFERROR(__xludf.DUMMYFUNCTION("""COMPUTED_VALUE"""),"No asociado")</f>
        <v>No asociado</v>
      </c>
      <c r="AC7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70" s="47" t="str">
        <f>IFERROR(__xludf.DUMMYFUNCTION("""COMPUTED_VALUE"""),"Gestión del conocimiento")</f>
        <v>Gestión del conocimiento</v>
      </c>
      <c r="AE70" s="47" t="str">
        <f>IFERROR(__xludf.DUMMYFUNCTION("""COMPUTED_VALUE"""),"Gestión del Conocimiento y la Innovación")</f>
        <v>Gestión del Conocimiento y la Innovación</v>
      </c>
      <c r="AF70" s="47" t="str">
        <f>IFERROR(__xludf.DUMMYFUNCTION("""COMPUTED_VALUE"""),"12. Producción y consumo responsable")</f>
        <v>12. Producción y consumo responsable</v>
      </c>
      <c r="AG70" s="79">
        <f>IFERROR(__xludf.DUMMYFUNCTION("""COMPUTED_VALUE"""),1.0)</f>
        <v>1</v>
      </c>
      <c r="AH70" s="59" t="str">
        <f>IFERROR(__xludf.DUMMYFUNCTION("""COMPUTED_VALUE"""),"Se realizo conferencia virtual abierta a la participación sobre las contribuciones de la AUNAP, para fomentar la investigación en la acuicultura de país, priorizando sus resultado en generar espacios de productividad, se conto con profesionales en área de"&amp;" biología, investigadores y contratistas y funcionarios de la entidad, quienes demostraron mucho interés en los temas de los diferentes proyectos y dieron a conocer su intención de ser aliados de la AUNAP, para promover más proyectos de investigación")</f>
        <v>Se realizo conferencia virtual abierta a la participación sobre las contribuciones de la AUNAP, para fomentar la investigación en la acuicultura de país, priorizando sus resultado en generar espacios de productividad, se conto con profesionales en área de biología, investigadores y contratistas y funcionarios de la entidad, quienes demostraron mucho interés en los temas de los diferentes proyectos y dieron a conocer su intención de ser aliados de la AUNAP, para promover más proyectos de investigación</v>
      </c>
      <c r="AI70" s="80" t="str">
        <f>IFERROR(__xludf.DUMMYFUNCTION("""COMPUTED_VALUE"""),"https://drive.google.com/file/d/1ZKNdgb3E4nWOSO-aqHgQFF8tQX-WVG3i/view?usp=sharing")</f>
        <v>https://drive.google.com/file/d/1ZKNdgb3E4nWOSO-aqHgQFF8tQX-WVG3i/view?usp=sharing</v>
      </c>
      <c r="AJ70" s="60">
        <f>IFERROR(__xludf.DUMMYFUNCTION("""COMPUTED_VALUE"""),44396.0)</f>
        <v>44396</v>
      </c>
      <c r="AK70" s="61" t="str">
        <f>IFERROR(IF((AL70+1)&lt;2,Alertas!$B$2&amp;TEXT(AL70,"0%")&amp;Alertas!$D$2, IF((AL70+1)=2,Alertas!$B$3,IF((AL70+1)&gt;2,Alertas!$B$4&amp;TEXT(AL70,"0%")&amp;Alertas!$D$4,AL70+1))),"Sin meta para el segundo trimestre")</f>
        <v>La ejecución de la meta registrada se encuentra acorde a la meta programada en la formulación del plan de acción para el segundo trimestre</v>
      </c>
      <c r="AL70" s="62">
        <f t="shared" si="2"/>
        <v>1</v>
      </c>
      <c r="AM70" s="61" t="str">
        <f t="shared" si="3"/>
        <v>La ejecución de la meta registrada se encuentra acorde a la meta programada en la formulación del plan de acción para el segundo trimestre.</v>
      </c>
      <c r="AN70" s="63"/>
      <c r="AO70" s="64"/>
      <c r="AP70" s="65"/>
      <c r="AQ70" s="65"/>
      <c r="AR70" s="66"/>
      <c r="AS70" s="67"/>
      <c r="AT70" s="68"/>
      <c r="AU70" s="63"/>
      <c r="AV70" s="64"/>
      <c r="AW70" s="69"/>
      <c r="AX70" s="65"/>
      <c r="AY70" s="70"/>
      <c r="AZ70" s="71"/>
      <c r="BA70" s="72"/>
      <c r="BB70" s="73"/>
      <c r="BC70" s="64"/>
      <c r="BD70" s="69"/>
      <c r="BE70" s="65"/>
      <c r="BF70" s="66"/>
      <c r="BG70" s="71"/>
      <c r="BH70" s="72"/>
      <c r="BI70" s="74"/>
      <c r="BK70" s="5" t="str">
        <f t="shared" si="23"/>
        <v>0</v>
      </c>
      <c r="BM70" s="5"/>
    </row>
    <row r="71" ht="37.5" customHeight="1">
      <c r="A71" s="45"/>
      <c r="B71" s="46">
        <f>IFERROR(__xludf.DUMMYFUNCTION("""COMPUTED_VALUE"""),69.0)</f>
        <v>69</v>
      </c>
      <c r="C71" s="47" t="str">
        <f>IFERROR(__xludf.DUMMYFUNCTION("""COMPUTED_VALUE"""),"Direccionamiento estratégico")</f>
        <v>Direccionamiento estratégico</v>
      </c>
      <c r="D71" s="48" t="str">
        <f>IFERROR(__xludf.DUMMYFUNCTION("""COMPUTED_VALUE"""),"Planeación")</f>
        <v>Planeación</v>
      </c>
      <c r="E71" s="48" t="str">
        <f>IFERROR(__xludf.DUMMYFUNCTION("""COMPUTED_VALUE"""),"Fortalecimiento de la capacidad de gestión de la autoridad nacional de acuicultura y pesca - aunap nacional")</f>
        <v>Fortalecimiento de la capacidad de gestión de la autoridad nacional de acuicultura y pesca - aunap nacional</v>
      </c>
      <c r="F71" s="49">
        <f>IFERROR(__xludf.DUMMYFUNCTION("""COMPUTED_VALUE"""),2.018011000241E12)</f>
        <v>2018011000241</v>
      </c>
      <c r="G71" s="50" t="str">
        <f>IFERROR(__xludf.DUMMYFUNCTION("""COMPUTED_VALUE"""),"Fortalecimiento")</f>
        <v>Fortalecimiento</v>
      </c>
      <c r="H71" s="48" t="str">
        <f>IFERROR(__xludf.DUMMYFUNCTION("""COMPUTED_VALUE"""),"Fortalecer los sistemas de gestión de la Entidad")</f>
        <v>Fortalecer los sistemas de gestión de la Entidad</v>
      </c>
      <c r="I71" s="48" t="str">
        <f>IFERROR(__xludf.DUMMYFUNCTION("""COMPUTED_VALUE"""),"Servicio de Implementación Sistemas de Gestión")</f>
        <v>Servicio de Implementación Sistemas de Gestión</v>
      </c>
      <c r="J71"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1" s="51" t="str">
        <f>IFERROR(__xludf.DUMMYFUNCTION("""COMPUTED_VALUE"""),"Gestión del área")</f>
        <v>Gestión del área</v>
      </c>
      <c r="L71" s="51" t="str">
        <f>IFERROR(__xludf.DUMMYFUNCTION("""COMPUTED_VALUE"""),"Eficiencia")</f>
        <v>Eficiencia</v>
      </c>
      <c r="M71" s="51" t="str">
        <f>IFERROR(__xludf.DUMMYFUNCTION("""COMPUTED_VALUE"""),"Número")</f>
        <v>Número</v>
      </c>
      <c r="N71" s="52" t="str">
        <f>IFERROR(__xludf.DUMMYFUNCTION("""COMPUTED_VALUE"""),"Número de planes de acción elaborado y publicado/Número de planes de acción programados para elaboración y publicación.")</f>
        <v>Número de planes de acción elaborado y publicado/Número de planes de acción programados para elaboración y publicación.</v>
      </c>
      <c r="O71" s="53"/>
      <c r="P71" s="54">
        <f>IFERROR(__xludf.DUMMYFUNCTION("""COMPUTED_VALUE"""),1.0)</f>
        <v>1</v>
      </c>
      <c r="Q71" s="55" t="str">
        <f>IFERROR(__xludf.DUMMYFUNCTION("""COMPUTED_VALUE"""),"Elaborar conjuntamente con la áreas y publicar el Plan de Acción de la AUNAP")</f>
        <v>Elaborar conjuntamente con la áreas y publicar el Plan de Acción de la AUNAP</v>
      </c>
      <c r="R71" s="14" t="str">
        <f>IFERROR(__xludf.DUMMYFUNCTION("""COMPUTED_VALUE"""),"Anual")</f>
        <v>Anual</v>
      </c>
      <c r="S71" s="54">
        <f>IFERROR(__xludf.DUMMYFUNCTION("""COMPUTED_VALUE"""),1.0)</f>
        <v>1</v>
      </c>
      <c r="T71" s="54">
        <f>IFERROR(__xludf.DUMMYFUNCTION("""COMPUTED_VALUE"""),0.0)</f>
        <v>0</v>
      </c>
      <c r="U71" s="54">
        <f>IFERROR(__xludf.DUMMYFUNCTION("""COMPUTED_VALUE"""),0.0)</f>
        <v>0</v>
      </c>
      <c r="V71" s="54">
        <f>IFERROR(__xludf.DUMMYFUNCTION("""COMPUTED_VALUE"""),0.0)</f>
        <v>0</v>
      </c>
      <c r="W71" s="56" t="str">
        <f>IFERROR(__xludf.DUMMYFUNCTION("""COMPUTED_VALUE"""),"Planeación")</f>
        <v>Planeación</v>
      </c>
      <c r="X71" s="57" t="str">
        <f>IFERROR(__xludf.DUMMYFUNCTION("""COMPUTED_VALUE"""),"Elsa Malo Lecompte")</f>
        <v>Elsa Malo Lecompte</v>
      </c>
      <c r="Y71" s="47" t="str">
        <f>IFERROR(__xludf.DUMMYFUNCTION("""COMPUTED_VALUE"""),"Profesional Especializado con Funciones de Planeación")</f>
        <v>Profesional Especializado con Funciones de Planeación</v>
      </c>
      <c r="Z71" s="57" t="str">
        <f>IFERROR(__xludf.DUMMYFUNCTION("""COMPUTED_VALUE"""),"elsa.malo@aunap.gov.co")</f>
        <v>elsa.malo@aunap.gov.co</v>
      </c>
      <c r="AA71" s="47" t="str">
        <f>IFERROR(__xludf.DUMMYFUNCTION("""COMPUTED_VALUE"""),"Talento Humano")</f>
        <v>Talento Humano</v>
      </c>
      <c r="AB71" s="47" t="str">
        <f>IFERROR(__xludf.DUMMYFUNCTION("""COMPUTED_VALUE"""),"No asociado")</f>
        <v>No asociado</v>
      </c>
      <c r="AC71" s="47" t="str">
        <f>IFERROR(__xludf.DUMMYFUNCTION("""COMPUTED_VALUE"""),"Propiciar la formalización de la pesca y la acuicultura")</f>
        <v>Propiciar la formalización de la pesca y la acuicultura</v>
      </c>
      <c r="AD71" s="47" t="str">
        <f>IFERROR(__xludf.DUMMYFUNCTION("""COMPUTED_VALUE"""),"Direccionamiento Estratégico")</f>
        <v>Direccionamiento Estratégico</v>
      </c>
      <c r="AE71" s="47" t="str">
        <f>IFERROR(__xludf.DUMMYFUNCTION("""COMPUTED_VALUE"""),"Planeación Institucional")</f>
        <v>Planeación Institucional</v>
      </c>
      <c r="AF71" s="47" t="str">
        <f>IFERROR(__xludf.DUMMYFUNCTION("""COMPUTED_VALUE"""),"16. Paz, justicia e instituciones sólidas")</f>
        <v>16. Paz, justicia e instituciones sólidas</v>
      </c>
      <c r="AG71" s="58">
        <f>IFERROR(__xludf.DUMMYFUNCTION("""COMPUTED_VALUE"""),0.0)</f>
        <v>0</v>
      </c>
      <c r="AH71" s="59" t="str">
        <f>IFERROR(__xludf.DUMMYFUNCTION("""COMPUTED_VALUE"""),"No se tiene establecida meta de avance para este trimestre")</f>
        <v>No se tiene establecida meta de avance para este trimestre</v>
      </c>
      <c r="AI71" s="59" t="str">
        <f>IFERROR(__xludf.DUMMYFUNCTION("""COMPUTED_VALUE"""),"N/A")</f>
        <v>N/A</v>
      </c>
      <c r="AJ71" s="60">
        <f>IFERROR(__xludf.DUMMYFUNCTION("""COMPUTED_VALUE"""),44396.0)</f>
        <v>44396</v>
      </c>
      <c r="AK71" s="61" t="str">
        <f>IFERROR(IF((AL71+1)&lt;2,Alertas!$B$2&amp;TEXT(AL71,"0%")&amp;Alertas!$D$2, IF((AL71+1)=2,Alertas!$B$3,IF((AL71+1)&gt;2,Alertas!$B$4&amp;TEXT(AL71,"0%")&amp;Alertas!$D$4,AL71+1))),"Sin meta para el segundo trimestre")</f>
        <v>Sin meta para el segundo trimestre</v>
      </c>
      <c r="AL71" s="62" t="str">
        <f t="shared" si="2"/>
        <v>-</v>
      </c>
      <c r="AM71" s="61" t="str">
        <f t="shared" si="3"/>
        <v>Sin meta para el segundo trimestre.</v>
      </c>
      <c r="AN71" s="63"/>
      <c r="AO71" s="64"/>
      <c r="AP71" s="65"/>
      <c r="AQ71" s="65"/>
      <c r="AR71" s="66"/>
      <c r="AS71" s="67"/>
      <c r="AT71" s="68"/>
      <c r="AU71" s="63"/>
      <c r="AV71" s="64"/>
      <c r="AW71" s="69"/>
      <c r="AX71" s="65"/>
      <c r="AY71" s="70"/>
      <c r="AZ71" s="71"/>
      <c r="BA71" s="72"/>
      <c r="BB71" s="73"/>
      <c r="BC71" s="64"/>
      <c r="BD71" s="69"/>
      <c r="BE71" s="65"/>
      <c r="BF71" s="66"/>
      <c r="BG71" s="71"/>
      <c r="BH71" s="72"/>
      <c r="BI71" s="74"/>
      <c r="BK71" s="5" t="str">
        <f t="shared" si="23"/>
        <v>-</v>
      </c>
      <c r="BM71" s="5"/>
    </row>
    <row r="72" ht="37.5" customHeight="1">
      <c r="A72" s="45"/>
      <c r="B72" s="46">
        <f>IFERROR(__xludf.DUMMYFUNCTION("""COMPUTED_VALUE"""),70.0)</f>
        <v>70</v>
      </c>
      <c r="C72" s="47" t="str">
        <f>IFERROR(__xludf.DUMMYFUNCTION("""COMPUTED_VALUE"""),"Direccionamiento estratégico")</f>
        <v>Direccionamiento estratégico</v>
      </c>
      <c r="D72" s="48" t="str">
        <f>IFERROR(__xludf.DUMMYFUNCTION("""COMPUTED_VALUE"""),"Planeación")</f>
        <v>Planeación</v>
      </c>
      <c r="E72" s="48" t="str">
        <f>IFERROR(__xludf.DUMMYFUNCTION("""COMPUTED_VALUE"""),"Fortalecimiento de la capacidad de gestión de la autoridad nacional de acuicultura y pesca - aunap nacional")</f>
        <v>Fortalecimiento de la capacidad de gestión de la autoridad nacional de acuicultura y pesca - aunap nacional</v>
      </c>
      <c r="F72" s="49">
        <f>IFERROR(__xludf.DUMMYFUNCTION("""COMPUTED_VALUE"""),2.018011000241E12)</f>
        <v>2018011000241</v>
      </c>
      <c r="G72" s="50" t="str">
        <f>IFERROR(__xludf.DUMMYFUNCTION("""COMPUTED_VALUE"""),"Fortalecimiento")</f>
        <v>Fortalecimiento</v>
      </c>
      <c r="H72" s="48" t="str">
        <f>IFERROR(__xludf.DUMMYFUNCTION("""COMPUTED_VALUE"""),"Fortalecer los sistemas de gestión de la Entidad")</f>
        <v>Fortalecer los sistemas de gestión de la Entidad</v>
      </c>
      <c r="I72" s="48" t="str">
        <f>IFERROR(__xludf.DUMMYFUNCTION("""COMPUTED_VALUE"""),"Servicio de Implementación Sistemas de Gestión")</f>
        <v>Servicio de Implementación Sistemas de Gestión</v>
      </c>
      <c r="J72"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2" s="51" t="str">
        <f>IFERROR(__xludf.DUMMYFUNCTION("""COMPUTED_VALUE"""),"Gestión del área")</f>
        <v>Gestión del área</v>
      </c>
      <c r="L72" s="51" t="str">
        <f>IFERROR(__xludf.DUMMYFUNCTION("""COMPUTED_VALUE"""),"Eficiencia")</f>
        <v>Eficiencia</v>
      </c>
      <c r="M72" s="51" t="str">
        <f>IFERROR(__xludf.DUMMYFUNCTION("""COMPUTED_VALUE"""),"Número")</f>
        <v>Número</v>
      </c>
      <c r="N72" s="52" t="str">
        <f>IFERROR(__xludf.DUMMYFUNCTION("""COMPUTED_VALUE"""),"Número de Plan de Acción del Plan Anticorrupción y Atención a la Ciudadanía - PAAC  elaborados y publicados/Número de planes de Plan de Acción del Plan Anticorrupción y Atención a la Ciudadanía - PAAC programados para elaboración y publicación.")</f>
        <v>Número de Plan de Acción del Plan Anticorrupción y Atención a la Ciudadanía - PAAC  elaborados y publicados/Número de planes de Plan de Acción del Plan Anticorrupción y Atención a la Ciudadanía - PAAC programados para elaboración y publicación.</v>
      </c>
      <c r="O72" s="53"/>
      <c r="P72" s="77">
        <f>IFERROR(__xludf.DUMMYFUNCTION("""COMPUTED_VALUE"""),1.0)</f>
        <v>1</v>
      </c>
      <c r="Q72" s="78" t="str">
        <f>IFERROR(__xludf.DUMMYFUNCTION("""COMPUTED_VALUE"""),"Elaborar conjuntamente con las áreas y publicar el Plan de Acción del Plan Anticorrupción y Atención a la Ciudadanía - PAAC")</f>
        <v>Elaborar conjuntamente con las áreas y publicar el Plan de Acción del Plan Anticorrupción y Atención a la Ciudadanía - PAAC</v>
      </c>
      <c r="R72" s="78" t="str">
        <f>IFERROR(__xludf.DUMMYFUNCTION("""COMPUTED_VALUE"""),"Anual")</f>
        <v>Anual</v>
      </c>
      <c r="S72" s="77">
        <f>IFERROR(__xludf.DUMMYFUNCTION("""COMPUTED_VALUE"""),1.0)</f>
        <v>1</v>
      </c>
      <c r="T72" s="77">
        <f>IFERROR(__xludf.DUMMYFUNCTION("""COMPUTED_VALUE"""),0.0)</f>
        <v>0</v>
      </c>
      <c r="U72" s="77">
        <f>IFERROR(__xludf.DUMMYFUNCTION("""COMPUTED_VALUE"""),0.0)</f>
        <v>0</v>
      </c>
      <c r="V72" s="77">
        <f>IFERROR(__xludf.DUMMYFUNCTION("""COMPUTED_VALUE"""),0.0)</f>
        <v>0</v>
      </c>
      <c r="W72" s="56" t="str">
        <f>IFERROR(__xludf.DUMMYFUNCTION("""COMPUTED_VALUE"""),"Planeación")</f>
        <v>Planeación</v>
      </c>
      <c r="X72" s="57" t="str">
        <f>IFERROR(__xludf.DUMMYFUNCTION("""COMPUTED_VALUE"""),"Elsa Malo Lecompte")</f>
        <v>Elsa Malo Lecompte</v>
      </c>
      <c r="Y72" s="47" t="str">
        <f>IFERROR(__xludf.DUMMYFUNCTION("""COMPUTED_VALUE"""),"Profesional Especializado con Funciones de Planeación")</f>
        <v>Profesional Especializado con Funciones de Planeación</v>
      </c>
      <c r="Z72" s="57" t="str">
        <f>IFERROR(__xludf.DUMMYFUNCTION("""COMPUTED_VALUE"""),"elsa.malo@aunap.gov.co")</f>
        <v>elsa.malo@aunap.gov.co</v>
      </c>
      <c r="AA72" s="47" t="str">
        <f>IFERROR(__xludf.DUMMYFUNCTION("""COMPUTED_VALUE"""),"Talento Humano")</f>
        <v>Talento Humano</v>
      </c>
      <c r="AB72" s="47" t="str">
        <f>IFERROR(__xludf.DUMMYFUNCTION("""COMPUTED_VALUE"""),"Plan Anticorrupción y de Atención al Ciudadano - PAAC")</f>
        <v>Plan Anticorrupción y de Atención al Ciudadano - PAAC</v>
      </c>
      <c r="AC72" s="47" t="str">
        <f>IFERROR(__xludf.DUMMYFUNCTION("""COMPUTED_VALUE"""),"Propiciar la formalización de la pesca y la acuicultura")</f>
        <v>Propiciar la formalización de la pesca y la acuicultura</v>
      </c>
      <c r="AD72" s="47" t="str">
        <f>IFERROR(__xludf.DUMMYFUNCTION("""COMPUTED_VALUE"""),"Direccionamiento Estratégico")</f>
        <v>Direccionamiento Estratégico</v>
      </c>
      <c r="AE72" s="47" t="str">
        <f>IFERROR(__xludf.DUMMYFUNCTION("""COMPUTED_VALUE"""),"Planeación Institucional")</f>
        <v>Planeación Institucional</v>
      </c>
      <c r="AF72" s="47" t="str">
        <f>IFERROR(__xludf.DUMMYFUNCTION("""COMPUTED_VALUE"""),"16. Paz, justicia e instituciones sólidas")</f>
        <v>16. Paz, justicia e instituciones sólidas</v>
      </c>
      <c r="AG72" s="79">
        <f>IFERROR(__xludf.DUMMYFUNCTION("""COMPUTED_VALUE"""),0.0)</f>
        <v>0</v>
      </c>
      <c r="AH72" s="59" t="str">
        <f>IFERROR(__xludf.DUMMYFUNCTION("""COMPUTED_VALUE"""),"No se tiene establecida meta de avance para este trimestre")</f>
        <v>No se tiene establecida meta de avance para este trimestre</v>
      </c>
      <c r="AI72" s="59" t="str">
        <f>IFERROR(__xludf.DUMMYFUNCTION("""COMPUTED_VALUE"""),"N/A")</f>
        <v>N/A</v>
      </c>
      <c r="AJ72" s="60">
        <f>IFERROR(__xludf.DUMMYFUNCTION("""COMPUTED_VALUE"""),44396.0)</f>
        <v>44396</v>
      </c>
      <c r="AK72" s="61" t="str">
        <f>IFERROR(IF((AL72+1)&lt;2,Alertas!$B$2&amp;TEXT(AL72,"0%")&amp;Alertas!$D$2, IF((AL72+1)=2,Alertas!$B$3,IF((AL72+1)&gt;2,Alertas!$B$4&amp;TEXT(AL72,"0%")&amp;Alertas!$D$4,AL72+1))),"Sin meta para el segundo trimestre")</f>
        <v>Sin meta para el segundo trimestre</v>
      </c>
      <c r="AL72" s="62" t="str">
        <f t="shared" si="2"/>
        <v>-</v>
      </c>
      <c r="AM72" s="61" t="str">
        <f t="shared" si="3"/>
        <v>Sin meta para el segundo trimestre.</v>
      </c>
      <c r="AN72" s="63"/>
      <c r="AO72" s="64"/>
      <c r="AP72" s="65"/>
      <c r="AQ72" s="65"/>
      <c r="AR72" s="66"/>
      <c r="AS72" s="67"/>
      <c r="AT72" s="68"/>
      <c r="AU72" s="63"/>
      <c r="AV72" s="64"/>
      <c r="AW72" s="69"/>
      <c r="AX72" s="65"/>
      <c r="AY72" s="70"/>
      <c r="AZ72" s="71"/>
      <c r="BA72" s="72"/>
      <c r="BB72" s="73"/>
      <c r="BC72" s="64"/>
      <c r="BD72" s="69"/>
      <c r="BE72" s="65"/>
      <c r="BF72" s="66"/>
      <c r="BG72" s="71"/>
      <c r="BH72" s="72"/>
      <c r="BI72" s="74"/>
      <c r="BK72" s="5" t="str">
        <f t="shared" si="23"/>
        <v>-</v>
      </c>
      <c r="BM72" s="5"/>
    </row>
    <row r="73" ht="37.5" customHeight="1">
      <c r="A73" s="45"/>
      <c r="B73" s="46">
        <f>IFERROR(__xludf.DUMMYFUNCTION("""COMPUTED_VALUE"""),71.0)</f>
        <v>71</v>
      </c>
      <c r="C73" s="47" t="str">
        <f>IFERROR(__xludf.DUMMYFUNCTION("""COMPUTED_VALUE"""),"Direccionamiento estratégico")</f>
        <v>Direccionamiento estratégico</v>
      </c>
      <c r="D73" s="48" t="str">
        <f>IFERROR(__xludf.DUMMYFUNCTION("""COMPUTED_VALUE"""),"Planeación")</f>
        <v>Planeación</v>
      </c>
      <c r="E73" s="48" t="str">
        <f>IFERROR(__xludf.DUMMYFUNCTION("""COMPUTED_VALUE"""),"Fortalecimiento de la capacidad de gestión de la autoridad nacional de acuicultura y pesca - aunap nacional")</f>
        <v>Fortalecimiento de la capacidad de gestión de la autoridad nacional de acuicultura y pesca - aunap nacional</v>
      </c>
      <c r="F73" s="49">
        <f>IFERROR(__xludf.DUMMYFUNCTION("""COMPUTED_VALUE"""),2.018011000241E12)</f>
        <v>2018011000241</v>
      </c>
      <c r="G73" s="50" t="str">
        <f>IFERROR(__xludf.DUMMYFUNCTION("""COMPUTED_VALUE"""),"Fortalecimiento")</f>
        <v>Fortalecimiento</v>
      </c>
      <c r="H73" s="48" t="str">
        <f>IFERROR(__xludf.DUMMYFUNCTION("""COMPUTED_VALUE"""),"Fortalecer los sistemas de gestión de la Entidad")</f>
        <v>Fortalecer los sistemas de gestión de la Entidad</v>
      </c>
      <c r="I73" s="48" t="str">
        <f>IFERROR(__xludf.DUMMYFUNCTION("""COMPUTED_VALUE"""),"Servicio de Implementación Sistemas de Gestión")</f>
        <v>Servicio de Implementación Sistemas de Gestión</v>
      </c>
      <c r="J73"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3" s="51" t="str">
        <f>IFERROR(__xludf.DUMMYFUNCTION("""COMPUTED_VALUE"""),"Gestión del área")</f>
        <v>Gestión del área</v>
      </c>
      <c r="L73" s="51" t="str">
        <f>IFERROR(__xludf.DUMMYFUNCTION("""COMPUTED_VALUE"""),"Eficiencia")</f>
        <v>Eficiencia</v>
      </c>
      <c r="M73" s="51" t="str">
        <f>IFERROR(__xludf.DUMMYFUNCTION("""COMPUTED_VALUE"""),"Número")</f>
        <v>Número</v>
      </c>
      <c r="N73" s="52" t="str">
        <f>IFERROR(__xludf.DUMMYFUNCTION("""COMPUTED_VALUE"""),"Número de informes realizados y publicados/Número de informes programados.")</f>
        <v>Número de informes realizados y publicados/Número de informes programados.</v>
      </c>
      <c r="O73" s="53"/>
      <c r="P73" s="54">
        <f>IFERROR(__xludf.DUMMYFUNCTION("""COMPUTED_VALUE"""),4.0)</f>
        <v>4</v>
      </c>
      <c r="Q73" s="55" t="str">
        <f>IFERROR(__xludf.DUMMYFUNCTION("""COMPUTED_VALUE"""),"Realizar  y publicar cuatro (4) análisis de la gestión de: Plan de Acción, Plan Anticorrupción y Atención a la Ciudadanía - PAAC y Gestión de riesgos dirigido a los líderes de procesos.")</f>
        <v>Realizar  y publicar cuatro (4) análisis de la gestión de: Plan de Acción, Plan Anticorrupción y Atención a la Ciudadanía - PAAC y Gestión de riesgos dirigido a los líderes de procesos.</v>
      </c>
      <c r="R73" s="14" t="str">
        <f>IFERROR(__xludf.DUMMYFUNCTION("""COMPUTED_VALUE"""),"Trimestral")</f>
        <v>Trimestral</v>
      </c>
      <c r="S73" s="54">
        <f>IFERROR(__xludf.DUMMYFUNCTION("""COMPUTED_VALUE"""),1.0)</f>
        <v>1</v>
      </c>
      <c r="T73" s="54">
        <f>IFERROR(__xludf.DUMMYFUNCTION("""COMPUTED_VALUE"""),1.0)</f>
        <v>1</v>
      </c>
      <c r="U73" s="54">
        <f>IFERROR(__xludf.DUMMYFUNCTION("""COMPUTED_VALUE"""),1.0)</f>
        <v>1</v>
      </c>
      <c r="V73" s="54">
        <f>IFERROR(__xludf.DUMMYFUNCTION("""COMPUTED_VALUE"""),1.0)</f>
        <v>1</v>
      </c>
      <c r="W73" s="56" t="str">
        <f>IFERROR(__xludf.DUMMYFUNCTION("""COMPUTED_VALUE"""),"Planeación")</f>
        <v>Planeación</v>
      </c>
      <c r="X73" s="57" t="str">
        <f>IFERROR(__xludf.DUMMYFUNCTION("""COMPUTED_VALUE"""),"Elsa Malo Lecompte")</f>
        <v>Elsa Malo Lecompte</v>
      </c>
      <c r="Y73" s="47" t="str">
        <f>IFERROR(__xludf.DUMMYFUNCTION("""COMPUTED_VALUE"""),"Profesional Especializado con Funciones de Planeación")</f>
        <v>Profesional Especializado con Funciones de Planeación</v>
      </c>
      <c r="Z73" s="57" t="str">
        <f>IFERROR(__xludf.DUMMYFUNCTION("""COMPUTED_VALUE"""),"elsa.malo@aunap.gov.co")</f>
        <v>elsa.malo@aunap.gov.co</v>
      </c>
      <c r="AA73" s="47" t="str">
        <f>IFERROR(__xludf.DUMMYFUNCTION("""COMPUTED_VALUE"""),"Talento Humano")</f>
        <v>Talento Humano</v>
      </c>
      <c r="AB73" s="47" t="str">
        <f>IFERROR(__xludf.DUMMYFUNCTION("""COMPUTED_VALUE"""),"No asociado")</f>
        <v>No asociado</v>
      </c>
      <c r="AC73" s="47" t="str">
        <f>IFERROR(__xludf.DUMMYFUNCTION("""COMPUTED_VALUE"""),"Propiciar la formalización de la pesca y la acuicultura")</f>
        <v>Propiciar la formalización de la pesca y la acuicultura</v>
      </c>
      <c r="AD73" s="47" t="str">
        <f>IFERROR(__xludf.DUMMYFUNCTION("""COMPUTED_VALUE"""),"Evaluación de Resultados")</f>
        <v>Evaluación de Resultados</v>
      </c>
      <c r="AE73" s="47" t="str">
        <f>IFERROR(__xludf.DUMMYFUNCTION("""COMPUTED_VALUE"""),"Seguimiento y evaluación del desempeño institucional")</f>
        <v>Seguimiento y evaluación del desempeño institucional</v>
      </c>
      <c r="AF73" s="47" t="str">
        <f>IFERROR(__xludf.DUMMYFUNCTION("""COMPUTED_VALUE"""),"16. Paz, justicia e instituciones sólidas")</f>
        <v>16. Paz, justicia e instituciones sólidas</v>
      </c>
      <c r="AG73" s="58">
        <f>IFERROR(__xludf.DUMMYFUNCTION("""COMPUTED_VALUE"""),1.0)</f>
        <v>1</v>
      </c>
      <c r="AH73" s="59" t="str">
        <f>IFERROR(__xludf.DUMMYFUNCTION("""COMPUTED_VALUE"""),"Se realizo la publicación del Monitoreo del plan de acción correspondiente al segundo trimestre")</f>
        <v>Se realizo la publicación del Monitoreo del plan de acción correspondiente al segundo trimestre</v>
      </c>
      <c r="AI73" s="81" t="str">
        <f>IFERROR(__xludf.DUMMYFUNCTION("""COMPUTED_VALUE"""),"https://docs.google.com/spreadsheets/d/1XX1hK76vKZokmWvcQLv9yz_GhUoODjWbraG6K6d8EEg/edit#gid=1942166271")</f>
        <v>https://docs.google.com/spreadsheets/d/1XX1hK76vKZokmWvcQLv9yz_GhUoODjWbraG6K6d8EEg/edit#gid=1942166271</v>
      </c>
      <c r="AJ73" s="60">
        <f>IFERROR(__xludf.DUMMYFUNCTION("""COMPUTED_VALUE"""),44396.0)</f>
        <v>44396</v>
      </c>
      <c r="AK73" s="61" t="str">
        <f>IFERROR(IF((AL73+1)&lt;2,Alertas!$B$2&amp;TEXT(AL73,"0%")&amp;Alertas!$D$2, IF((AL73+1)=2,Alertas!$B$3,IF((AL73+1)&gt;2,Alertas!$B$4&amp;TEXT(AL73,"0%")&amp;Alertas!$D$4,AL73+1))),"Sin meta para el segundo trimestre")</f>
        <v>La ejecución de la meta registrada se encuentra acorde a la meta programada en la formulación del plan de acción para el segundo trimestre</v>
      </c>
      <c r="AL73" s="62">
        <f t="shared" si="2"/>
        <v>1</v>
      </c>
      <c r="AM73" s="61" t="str">
        <f t="shared" si="3"/>
        <v>La ejecución de la meta registrada se encuentra acorde a la meta programada en la formulación del plan de acción para el segundo trimestre.</v>
      </c>
      <c r="AN73" s="63"/>
      <c r="AO73" s="64"/>
      <c r="AP73" s="65"/>
      <c r="AQ73" s="65"/>
      <c r="AR73" s="66"/>
      <c r="AS73" s="67"/>
      <c r="AT73" s="68"/>
      <c r="AU73" s="63"/>
      <c r="AV73" s="64"/>
      <c r="AW73" s="69"/>
      <c r="AX73" s="65"/>
      <c r="AY73" s="70"/>
      <c r="AZ73" s="71"/>
      <c r="BA73" s="72"/>
      <c r="BB73" s="73"/>
      <c r="BC73" s="64"/>
      <c r="BD73" s="69"/>
      <c r="BE73" s="65"/>
      <c r="BF73" s="66"/>
      <c r="BG73" s="71"/>
      <c r="BH73" s="72"/>
      <c r="BI73" s="74"/>
      <c r="BK73" s="5" t="str">
        <f t="shared" si="23"/>
        <v>0</v>
      </c>
      <c r="BM73" s="5"/>
    </row>
    <row r="74" ht="37.5" customHeight="1">
      <c r="A74" s="45"/>
      <c r="B74" s="46">
        <f>IFERROR(__xludf.DUMMYFUNCTION("""COMPUTED_VALUE"""),72.0)</f>
        <v>72</v>
      </c>
      <c r="C74" s="47" t="str">
        <f>IFERROR(__xludf.DUMMYFUNCTION("""COMPUTED_VALUE"""),"Direccionamiento estratégico")</f>
        <v>Direccionamiento estratégico</v>
      </c>
      <c r="D74" s="48" t="str">
        <f>IFERROR(__xludf.DUMMYFUNCTION("""COMPUTED_VALUE"""),"Planeación")</f>
        <v>Planeación</v>
      </c>
      <c r="E74" s="48" t="str">
        <f>IFERROR(__xludf.DUMMYFUNCTION("""COMPUTED_VALUE"""),"Fortalecimiento de la capacidad de gestión de la autoridad nacional de acuicultura y pesca - aunap nacional")</f>
        <v>Fortalecimiento de la capacidad de gestión de la autoridad nacional de acuicultura y pesca - aunap nacional</v>
      </c>
      <c r="F74" s="49">
        <f>IFERROR(__xludf.DUMMYFUNCTION("""COMPUTED_VALUE"""),2.018011000241E12)</f>
        <v>2018011000241</v>
      </c>
      <c r="G74" s="50" t="str">
        <f>IFERROR(__xludf.DUMMYFUNCTION("""COMPUTED_VALUE"""),"Fortalecimiento")</f>
        <v>Fortalecimiento</v>
      </c>
      <c r="H74" s="48" t="str">
        <f>IFERROR(__xludf.DUMMYFUNCTION("""COMPUTED_VALUE"""),"Fortalecer los sistemas de gestión de la Entidad")</f>
        <v>Fortalecer los sistemas de gestión de la Entidad</v>
      </c>
      <c r="I74" s="48" t="str">
        <f>IFERROR(__xludf.DUMMYFUNCTION("""COMPUTED_VALUE"""),"Servicio de Implementación Sistemas de Gestión")</f>
        <v>Servicio de Implementación Sistemas de Gestión</v>
      </c>
      <c r="J74"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4" s="51" t="str">
        <f>IFERROR(__xludf.DUMMYFUNCTION("""COMPUTED_VALUE"""),"Gestión del área")</f>
        <v>Gestión del área</v>
      </c>
      <c r="L74" s="51" t="str">
        <f>IFERROR(__xludf.DUMMYFUNCTION("""COMPUTED_VALUE"""),"Eficiencia")</f>
        <v>Eficiencia</v>
      </c>
      <c r="M74" s="51" t="str">
        <f>IFERROR(__xludf.DUMMYFUNCTION("""COMPUTED_VALUE"""),"Porcentaje")</f>
        <v>Porcentaje</v>
      </c>
      <c r="N74" s="52" t="str">
        <f>IFERROR(__xludf.DUMMYFUNCTION("""COMPUTED_VALUE"""),"Número de solicitudes atendidas/número de solicitudes recibidas.")</f>
        <v>Número de solicitudes atendidas/número de solicitudes recibidas.</v>
      </c>
      <c r="O74" s="53"/>
      <c r="P74" s="77">
        <f>IFERROR(__xludf.DUMMYFUNCTION("""COMPUTED_VALUE"""),1.0)</f>
        <v>1</v>
      </c>
      <c r="Q74" s="78" t="str">
        <f>IFERROR(__xludf.DUMMYFUNCTION("""COMPUTED_VALUE"""),"Dar respuesta al 100% de las solicitudes de creación, modificación o eliminacion de documentos SIG que llegan al Profesional Especializado con Funciones de planeación en horario y dias laborales.")</f>
        <v>Dar respuesta al 100% de las solicitudes de creación, modificación o eliminacion de documentos SIG que llegan al Profesional Especializado con Funciones de planeación en horario y dias laborales.</v>
      </c>
      <c r="R74" s="78" t="str">
        <f>IFERROR(__xludf.DUMMYFUNCTION("""COMPUTED_VALUE"""),"Anual")</f>
        <v>Anual</v>
      </c>
      <c r="S74" s="77">
        <f>IFERROR(__xludf.DUMMYFUNCTION("""COMPUTED_VALUE"""),0.0)</f>
        <v>0</v>
      </c>
      <c r="T74" s="77">
        <f>IFERROR(__xludf.DUMMYFUNCTION("""COMPUTED_VALUE"""),0.0)</f>
        <v>0</v>
      </c>
      <c r="U74" s="77">
        <f>IFERROR(__xludf.DUMMYFUNCTION("""COMPUTED_VALUE"""),0.0)</f>
        <v>0</v>
      </c>
      <c r="V74" s="77">
        <f>IFERROR(__xludf.DUMMYFUNCTION("""COMPUTED_VALUE"""),1.0)</f>
        <v>1</v>
      </c>
      <c r="W74" s="56" t="str">
        <f>IFERROR(__xludf.DUMMYFUNCTION("""COMPUTED_VALUE"""),"Planeación")</f>
        <v>Planeación</v>
      </c>
      <c r="X74" s="57" t="str">
        <f>IFERROR(__xludf.DUMMYFUNCTION("""COMPUTED_VALUE"""),"Elsa Malo Lecompte")</f>
        <v>Elsa Malo Lecompte</v>
      </c>
      <c r="Y74" s="47" t="str">
        <f>IFERROR(__xludf.DUMMYFUNCTION("""COMPUTED_VALUE"""),"Profesional Especializado con Funciones de Planeación")</f>
        <v>Profesional Especializado con Funciones de Planeación</v>
      </c>
      <c r="Z74" s="57" t="str">
        <f>IFERROR(__xludf.DUMMYFUNCTION("""COMPUTED_VALUE"""),"elsa.malo@aunap.gov.co")</f>
        <v>elsa.malo@aunap.gov.co</v>
      </c>
      <c r="AA74" s="47" t="str">
        <f>IFERROR(__xludf.DUMMYFUNCTION("""COMPUTED_VALUE"""),"Talento Humano")</f>
        <v>Talento Humano</v>
      </c>
      <c r="AB74" s="47" t="str">
        <f>IFERROR(__xludf.DUMMYFUNCTION("""COMPUTED_VALUE"""),"No asociado")</f>
        <v>No asociado</v>
      </c>
      <c r="AC74" s="47" t="str">
        <f>IFERROR(__xludf.DUMMYFUNCTION("""COMPUTED_VALUE"""),"Propiciar la formalización de la pesca y la acuicultura")</f>
        <v>Propiciar la formalización de la pesca y la acuicultura</v>
      </c>
      <c r="AD74" s="47" t="str">
        <f>IFERROR(__xludf.DUMMYFUNCTION("""COMPUTED_VALUE"""),"Direccionamiento Estratégico")</f>
        <v>Direccionamiento Estratégico</v>
      </c>
      <c r="AE74" s="47" t="str">
        <f>IFERROR(__xludf.DUMMYFUNCTION("""COMPUTED_VALUE"""),"Planeación Institucional")</f>
        <v>Planeación Institucional</v>
      </c>
      <c r="AF74" s="47" t="str">
        <f>IFERROR(__xludf.DUMMYFUNCTION("""COMPUTED_VALUE"""),"16. Paz, justicia e instituciones sólidas")</f>
        <v>16. Paz, justicia e instituciones sólidas</v>
      </c>
      <c r="AG74" s="79">
        <f>IFERROR(__xludf.DUMMYFUNCTION("""COMPUTED_VALUE"""),0.0)</f>
        <v>0</v>
      </c>
      <c r="AH74" s="59" t="str">
        <f>IFERROR(__xludf.DUMMYFUNCTION("""COMPUTED_VALUE"""),"No se tiene establecida meta de avance para este trimestre")</f>
        <v>No se tiene establecida meta de avance para este trimestre</v>
      </c>
      <c r="AI74" s="59" t="str">
        <f>IFERROR(__xludf.DUMMYFUNCTION("""COMPUTED_VALUE"""),"N/A")</f>
        <v>N/A</v>
      </c>
      <c r="AJ74" s="60">
        <f>IFERROR(__xludf.DUMMYFUNCTION("""COMPUTED_VALUE"""),44396.0)</f>
        <v>44396</v>
      </c>
      <c r="AK74" s="61" t="str">
        <f>IFERROR(IF((AL74+1)&lt;2,Alertas!$B$2&amp;TEXT(AL74,"0%")&amp;Alertas!$D$2, IF((AL74+1)=2,Alertas!$B$3,IF((AL74+1)&gt;2,Alertas!$B$4&amp;TEXT(AL74,"0%")&amp;Alertas!$D$4,AL74+1))),"Sin meta para el segundo trimestre")</f>
        <v>Sin meta para el segundo trimestre</v>
      </c>
      <c r="AL74" s="62" t="str">
        <f t="shared" si="2"/>
        <v>-</v>
      </c>
      <c r="AM74" s="61" t="str">
        <f t="shared" si="3"/>
        <v>Sin meta para el segundo trimestre.</v>
      </c>
      <c r="AN74" s="63"/>
      <c r="AO74" s="64"/>
      <c r="AP74" s="65"/>
      <c r="AQ74" s="65"/>
      <c r="AR74" s="66"/>
      <c r="AS74" s="67"/>
      <c r="AT74" s="68"/>
      <c r="AU74" s="63"/>
      <c r="AV74" s="64"/>
      <c r="AW74" s="69"/>
      <c r="AX74" s="65"/>
      <c r="AY74" s="70"/>
      <c r="AZ74" s="71"/>
      <c r="BA74" s="72"/>
      <c r="BB74" s="73"/>
      <c r="BC74" s="64"/>
      <c r="BD74" s="69"/>
      <c r="BE74" s="65"/>
      <c r="BF74" s="66"/>
      <c r="BG74" s="71"/>
      <c r="BH74" s="72"/>
      <c r="BI74" s="74"/>
      <c r="BK74" s="5" t="str">
        <f t="shared" si="23"/>
        <v>-</v>
      </c>
      <c r="BM74" s="5"/>
    </row>
    <row r="75" ht="37.5" customHeight="1">
      <c r="A75" s="45"/>
      <c r="B75" s="46">
        <f>IFERROR(__xludf.DUMMYFUNCTION("""COMPUTED_VALUE"""),73.0)</f>
        <v>73</v>
      </c>
      <c r="C75" s="47" t="str">
        <f>IFERROR(__xludf.DUMMYFUNCTION("""COMPUTED_VALUE"""),"Direccionamiento estratégico")</f>
        <v>Direccionamiento estratégico</v>
      </c>
      <c r="D75" s="48" t="str">
        <f>IFERROR(__xludf.DUMMYFUNCTION("""COMPUTED_VALUE"""),"Planeación")</f>
        <v>Planeación</v>
      </c>
      <c r="E75" s="48" t="str">
        <f>IFERROR(__xludf.DUMMYFUNCTION("""COMPUTED_VALUE"""),"Fortalecimiento de la capacidad de gestión de la autoridad nacional de acuicultura y pesca - aunap nacional")</f>
        <v>Fortalecimiento de la capacidad de gestión de la autoridad nacional de acuicultura y pesca - aunap nacional</v>
      </c>
      <c r="F75" s="49">
        <f>IFERROR(__xludf.DUMMYFUNCTION("""COMPUTED_VALUE"""),2.018011000241E12)</f>
        <v>2018011000241</v>
      </c>
      <c r="G75" s="50" t="str">
        <f>IFERROR(__xludf.DUMMYFUNCTION("""COMPUTED_VALUE"""),"Fortalecimiento")</f>
        <v>Fortalecimiento</v>
      </c>
      <c r="H75" s="48" t="str">
        <f>IFERROR(__xludf.DUMMYFUNCTION("""COMPUTED_VALUE"""),"Fortalecer los sistemas de gestión de la Entidad")</f>
        <v>Fortalecer los sistemas de gestión de la Entidad</v>
      </c>
      <c r="I75" s="48" t="str">
        <f>IFERROR(__xludf.DUMMYFUNCTION("""COMPUTED_VALUE"""),"Servicio de Implementación Sistemas de Gestión")</f>
        <v>Servicio de Implementación Sistemas de Gestión</v>
      </c>
      <c r="J75"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5" s="51" t="str">
        <f>IFERROR(__xludf.DUMMYFUNCTION("""COMPUTED_VALUE"""),"Gestión del área")</f>
        <v>Gestión del área</v>
      </c>
      <c r="L75" s="51" t="str">
        <f>IFERROR(__xludf.DUMMYFUNCTION("""COMPUTED_VALUE"""),"Eficiencia")</f>
        <v>Eficiencia</v>
      </c>
      <c r="M75" s="51" t="str">
        <f>IFERROR(__xludf.DUMMYFUNCTION("""COMPUTED_VALUE"""),"Número")</f>
        <v>Número</v>
      </c>
      <c r="N75" s="52" t="str">
        <f>IFERROR(__xludf.DUMMYFUNCTION("""COMPUTED_VALUE"""),"Número de talleres realizados en regionales/Número de talleres programados en regionales")</f>
        <v>Número de talleres realizados en regionales/Número de talleres programados en regionales</v>
      </c>
      <c r="O75" s="82"/>
      <c r="P75" s="54">
        <f>IFERROR(__xludf.DUMMYFUNCTION("""COMPUTED_VALUE"""),4.0)</f>
        <v>4</v>
      </c>
      <c r="Q75" s="55" t="str">
        <f>IFERROR(__xludf.DUMMYFUNCTION("""COMPUTED_VALUE"""),"Realizar cinco (5) talleres de manera presencial o virtual en temas de Planeación dirigido a las Direcciones Regionales.")</f>
        <v>Realizar cinco (5) talleres de manera presencial o virtual en temas de Planeación dirigido a las Direcciones Regionales.</v>
      </c>
      <c r="R75" s="14" t="str">
        <f>IFERROR(__xludf.DUMMYFUNCTION("""COMPUTED_VALUE"""),"Trimestral")</f>
        <v>Trimestral</v>
      </c>
      <c r="S75" s="54">
        <f>IFERROR(__xludf.DUMMYFUNCTION("""COMPUTED_VALUE"""),1.0)</f>
        <v>1</v>
      </c>
      <c r="T75" s="54">
        <f>IFERROR(__xludf.DUMMYFUNCTION("""COMPUTED_VALUE"""),0.0)</f>
        <v>0</v>
      </c>
      <c r="U75" s="54">
        <f>IFERROR(__xludf.DUMMYFUNCTION("""COMPUTED_VALUE"""),2.0)</f>
        <v>2</v>
      </c>
      <c r="V75" s="54">
        <f>IFERROR(__xludf.DUMMYFUNCTION("""COMPUTED_VALUE"""),1.0)</f>
        <v>1</v>
      </c>
      <c r="W75" s="56" t="str">
        <f>IFERROR(__xludf.DUMMYFUNCTION("""COMPUTED_VALUE"""),"Planeación")</f>
        <v>Planeación</v>
      </c>
      <c r="X75" s="57" t="str">
        <f>IFERROR(__xludf.DUMMYFUNCTION("""COMPUTED_VALUE"""),"Elsa Malo Lecompte")</f>
        <v>Elsa Malo Lecompte</v>
      </c>
      <c r="Y75" s="47" t="str">
        <f>IFERROR(__xludf.DUMMYFUNCTION("""COMPUTED_VALUE"""),"Profesional Especializado con Funciones de Planeación")</f>
        <v>Profesional Especializado con Funciones de Planeación</v>
      </c>
      <c r="Z75" s="57" t="str">
        <f>IFERROR(__xludf.DUMMYFUNCTION("""COMPUTED_VALUE"""),"elsa.malo@aunap.gov.co")</f>
        <v>elsa.malo@aunap.gov.co</v>
      </c>
      <c r="AA75" s="47" t="str">
        <f>IFERROR(__xludf.DUMMYFUNCTION("""COMPUTED_VALUE"""),"Talento Humano")</f>
        <v>Talento Humano</v>
      </c>
      <c r="AB75" s="47" t="str">
        <f>IFERROR(__xludf.DUMMYFUNCTION("""COMPUTED_VALUE"""),"No asociado")</f>
        <v>No asociado</v>
      </c>
      <c r="AC75" s="47" t="str">
        <f>IFERROR(__xludf.DUMMYFUNCTION("""COMPUTED_VALUE"""),"Propiciar la formalización de la pesca y la acuicultura")</f>
        <v>Propiciar la formalización de la pesca y la acuicultura</v>
      </c>
      <c r="AD75" s="47" t="str">
        <f>IFERROR(__xludf.DUMMYFUNCTION("""COMPUTED_VALUE"""),"Direccionamiento Estratégico")</f>
        <v>Direccionamiento Estratégico</v>
      </c>
      <c r="AE75" s="47" t="str">
        <f>IFERROR(__xludf.DUMMYFUNCTION("""COMPUTED_VALUE"""),"Planeación Institucional")</f>
        <v>Planeación Institucional</v>
      </c>
      <c r="AF75" s="47" t="str">
        <f>IFERROR(__xludf.DUMMYFUNCTION("""COMPUTED_VALUE"""),"16. Paz, justicia e instituciones sólidas")</f>
        <v>16. Paz, justicia e instituciones sólidas</v>
      </c>
      <c r="AG75" s="58">
        <f>IFERROR(__xludf.DUMMYFUNCTION("""COMPUTED_VALUE"""),0.0)</f>
        <v>0</v>
      </c>
      <c r="AH75" s="59" t="str">
        <f>IFERROR(__xludf.DUMMYFUNCTION("""COMPUTED_VALUE"""),"No se tiene establecida meta de avance para este trimestre")</f>
        <v>No se tiene establecida meta de avance para este trimestre</v>
      </c>
      <c r="AI75" s="59" t="str">
        <f>IFERROR(__xludf.DUMMYFUNCTION("""COMPUTED_VALUE"""),"N/A")</f>
        <v>N/A</v>
      </c>
      <c r="AJ75" s="60">
        <f>IFERROR(__xludf.DUMMYFUNCTION("""COMPUTED_VALUE"""),44396.0)</f>
        <v>44396</v>
      </c>
      <c r="AK75" s="61" t="str">
        <f>IFERROR(IF((AL75+1)&lt;2,Alertas!$B$2&amp;TEXT(AL75,"0%")&amp;Alertas!$D$2, IF((AL75+1)=2,Alertas!$B$3,IF((AL75+1)&gt;2,Alertas!$B$4&amp;TEXT(AL75,"0%")&amp;Alertas!$D$4,AL75+1))),"Sin meta para el segundo trimestre")</f>
        <v>Sin meta para el segundo trimestre</v>
      </c>
      <c r="AL75" s="62" t="str">
        <f t="shared" si="2"/>
        <v>-</v>
      </c>
      <c r="AM75" s="61" t="str">
        <f t="shared" si="3"/>
        <v>Sin meta para el segundo trimestre.</v>
      </c>
      <c r="AN75" s="63"/>
      <c r="AO75" s="64"/>
      <c r="AP75" s="65"/>
      <c r="AQ75" s="65"/>
      <c r="AR75" s="66"/>
      <c r="AS75" s="67"/>
      <c r="AT75" s="68"/>
      <c r="AU75" s="63"/>
      <c r="AV75" s="64"/>
      <c r="AW75" s="69"/>
      <c r="AX75" s="65"/>
      <c r="AY75" s="70"/>
      <c r="AZ75" s="71"/>
      <c r="BA75" s="72"/>
      <c r="BB75" s="73"/>
      <c r="BC75" s="64"/>
      <c r="BD75" s="69"/>
      <c r="BE75" s="65"/>
      <c r="BF75" s="66"/>
      <c r="BG75" s="71"/>
      <c r="BH75" s="72"/>
      <c r="BI75" s="74"/>
      <c r="BK75" s="5" t="str">
        <f t="shared" si="23"/>
        <v>-</v>
      </c>
      <c r="BM75" s="5"/>
    </row>
    <row r="76" ht="37.5" customHeight="1">
      <c r="A76" s="45"/>
      <c r="B76" s="46">
        <f>IFERROR(__xludf.DUMMYFUNCTION("""COMPUTED_VALUE"""),74.0)</f>
        <v>74</v>
      </c>
      <c r="C76" s="47" t="str">
        <f>IFERROR(__xludf.DUMMYFUNCTION("""COMPUTED_VALUE"""),"Direccionamiento estratégico")</f>
        <v>Direccionamiento estratégico</v>
      </c>
      <c r="D76" s="48" t="str">
        <f>IFERROR(__xludf.DUMMYFUNCTION("""COMPUTED_VALUE"""),"Planeación")</f>
        <v>Planeación</v>
      </c>
      <c r="E76" s="48" t="str">
        <f>IFERROR(__xludf.DUMMYFUNCTION("""COMPUTED_VALUE"""),"Fortalecimiento de la capacidad de gestión de la autoridad nacional de acuicultura y pesca - aunap nacional")</f>
        <v>Fortalecimiento de la capacidad de gestión de la autoridad nacional de acuicultura y pesca - aunap nacional</v>
      </c>
      <c r="F76" s="49">
        <f>IFERROR(__xludf.DUMMYFUNCTION("""COMPUTED_VALUE"""),2.018011000241E12)</f>
        <v>2018011000241</v>
      </c>
      <c r="G76" s="50" t="str">
        <f>IFERROR(__xludf.DUMMYFUNCTION("""COMPUTED_VALUE"""),"Fortalecimiento")</f>
        <v>Fortalecimiento</v>
      </c>
      <c r="H76" s="48" t="str">
        <f>IFERROR(__xludf.DUMMYFUNCTION("""COMPUTED_VALUE"""),"Fortalecer los sistemas de gestión de la Entidad")</f>
        <v>Fortalecer los sistemas de gestión de la Entidad</v>
      </c>
      <c r="I76" s="48" t="str">
        <f>IFERROR(__xludf.DUMMYFUNCTION("""COMPUTED_VALUE"""),"Servicio de Implementación Sistemas de Gestión")</f>
        <v>Servicio de Implementación Sistemas de Gestión</v>
      </c>
      <c r="J76"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6" s="51" t="str">
        <f>IFERROR(__xludf.DUMMYFUNCTION("""COMPUTED_VALUE"""),"Gestión del área")</f>
        <v>Gestión del área</v>
      </c>
      <c r="L76" s="51" t="str">
        <f>IFERROR(__xludf.DUMMYFUNCTION("""COMPUTED_VALUE"""),"Eficiencia")</f>
        <v>Eficiencia</v>
      </c>
      <c r="M76" s="51" t="str">
        <f>IFERROR(__xludf.DUMMYFUNCTION("""COMPUTED_VALUE"""),"Número")</f>
        <v>Número</v>
      </c>
      <c r="N76" s="52" t="str">
        <f>IFERROR(__xludf.DUMMYFUNCTION("""COMPUTED_VALUE"""),"Número de talleres realizados en nivel central/Número de talleres programados en nivel central")</f>
        <v>Número de talleres realizados en nivel central/Número de talleres programados en nivel central</v>
      </c>
      <c r="O76" s="53"/>
      <c r="P76" s="54">
        <f>IFERROR(__xludf.DUMMYFUNCTION("""COMPUTED_VALUE"""),4.0)</f>
        <v>4</v>
      </c>
      <c r="Q76" s="55" t="str">
        <f>IFERROR(__xludf.DUMMYFUNCTION("""COMPUTED_VALUE"""),"Realizar cinco (5) talleres de manera presencial o virtual, dirigidos a funcionarios y contratistas en temas de Planeación de Nivel Central")</f>
        <v>Realizar cinco (5) talleres de manera presencial o virtual, dirigidos a funcionarios y contratistas en temas de Planeación de Nivel Central</v>
      </c>
      <c r="R76" s="14" t="str">
        <f>IFERROR(__xludf.DUMMYFUNCTION("""COMPUTED_VALUE"""),"Trimestral")</f>
        <v>Trimestral</v>
      </c>
      <c r="S76" s="54">
        <f>IFERROR(__xludf.DUMMYFUNCTION("""COMPUTED_VALUE"""),0.0)</f>
        <v>0</v>
      </c>
      <c r="T76" s="54">
        <f>IFERROR(__xludf.DUMMYFUNCTION("""COMPUTED_VALUE"""),0.0)</f>
        <v>0</v>
      </c>
      <c r="U76" s="54">
        <f>IFERROR(__xludf.DUMMYFUNCTION("""COMPUTED_VALUE"""),2.0)</f>
        <v>2</v>
      </c>
      <c r="V76" s="54">
        <f>IFERROR(__xludf.DUMMYFUNCTION("""COMPUTED_VALUE"""),2.0)</f>
        <v>2</v>
      </c>
      <c r="W76" s="56" t="str">
        <f>IFERROR(__xludf.DUMMYFUNCTION("""COMPUTED_VALUE"""),"Planeación")</f>
        <v>Planeación</v>
      </c>
      <c r="X76" s="57" t="str">
        <f>IFERROR(__xludf.DUMMYFUNCTION("""COMPUTED_VALUE"""),"Elsa Malo Lecompte")</f>
        <v>Elsa Malo Lecompte</v>
      </c>
      <c r="Y76" s="47" t="str">
        <f>IFERROR(__xludf.DUMMYFUNCTION("""COMPUTED_VALUE"""),"Profesional Especializado con Funciones de Planeación")</f>
        <v>Profesional Especializado con Funciones de Planeación</v>
      </c>
      <c r="Z76" s="57" t="str">
        <f>IFERROR(__xludf.DUMMYFUNCTION("""COMPUTED_VALUE"""),"elsa.malo@aunap.gov.co")</f>
        <v>elsa.malo@aunap.gov.co</v>
      </c>
      <c r="AA76" s="47" t="str">
        <f>IFERROR(__xludf.DUMMYFUNCTION("""COMPUTED_VALUE"""),"Talento Humano")</f>
        <v>Talento Humano</v>
      </c>
      <c r="AB76" s="47" t="str">
        <f>IFERROR(__xludf.DUMMYFUNCTION("""COMPUTED_VALUE"""),"No asociado")</f>
        <v>No asociado</v>
      </c>
      <c r="AC76" s="47" t="str">
        <f>IFERROR(__xludf.DUMMYFUNCTION("""COMPUTED_VALUE"""),"Propiciar la formalización de la pesca y la acuicultura")</f>
        <v>Propiciar la formalización de la pesca y la acuicultura</v>
      </c>
      <c r="AD76" s="47" t="str">
        <f>IFERROR(__xludf.DUMMYFUNCTION("""COMPUTED_VALUE"""),"Direccionamiento Estratégico")</f>
        <v>Direccionamiento Estratégico</v>
      </c>
      <c r="AE76" s="47" t="str">
        <f>IFERROR(__xludf.DUMMYFUNCTION("""COMPUTED_VALUE"""),"Planeación Institucional")</f>
        <v>Planeación Institucional</v>
      </c>
      <c r="AF76" s="47" t="str">
        <f>IFERROR(__xludf.DUMMYFUNCTION("""COMPUTED_VALUE"""),"16. Paz, justicia e instituciones sólidas")</f>
        <v>16. Paz, justicia e instituciones sólidas</v>
      </c>
      <c r="AG76" s="58">
        <f>IFERROR(__xludf.DUMMYFUNCTION("""COMPUTED_VALUE"""),0.0)</f>
        <v>0</v>
      </c>
      <c r="AH76" s="59" t="str">
        <f>IFERROR(__xludf.DUMMYFUNCTION("""COMPUTED_VALUE"""),"No se tiene establecida meta de avance para este trimestre")</f>
        <v>No se tiene establecida meta de avance para este trimestre</v>
      </c>
      <c r="AI76" s="59" t="str">
        <f>IFERROR(__xludf.DUMMYFUNCTION("""COMPUTED_VALUE"""),"N/A")</f>
        <v>N/A</v>
      </c>
      <c r="AJ76" s="60">
        <f>IFERROR(__xludf.DUMMYFUNCTION("""COMPUTED_VALUE"""),44396.0)</f>
        <v>44396</v>
      </c>
      <c r="AK76" s="61" t="str">
        <f>IFERROR(IF((AL76+1)&lt;2,Alertas!$B$2&amp;TEXT(AL76,"0%")&amp;Alertas!$D$2, IF((AL76+1)=2,Alertas!$B$3,IF((AL76+1)&gt;2,Alertas!$B$4&amp;TEXT(AL76,"0%")&amp;Alertas!$D$4,AL76+1))),"Sin meta para el segundo trimestre")</f>
        <v>Sin meta para el segundo trimestre</v>
      </c>
      <c r="AL76" s="62" t="str">
        <f t="shared" si="2"/>
        <v>-</v>
      </c>
      <c r="AM76" s="61" t="str">
        <f t="shared" si="3"/>
        <v>Sin meta para el segundo trimestre.</v>
      </c>
      <c r="AN76" s="63"/>
      <c r="AO76" s="64"/>
      <c r="AP76" s="65"/>
      <c r="AQ76" s="65"/>
      <c r="AR76" s="66"/>
      <c r="AS76" s="67"/>
      <c r="AT76" s="68"/>
      <c r="AU76" s="63"/>
      <c r="AV76" s="64"/>
      <c r="AW76" s="69"/>
      <c r="AX76" s="65"/>
      <c r="AY76" s="70"/>
      <c r="AZ76" s="71"/>
      <c r="BA76" s="72"/>
      <c r="BB76" s="73"/>
      <c r="BC76" s="64"/>
      <c r="BD76" s="69"/>
      <c r="BE76" s="65"/>
      <c r="BF76" s="66"/>
      <c r="BG76" s="71"/>
      <c r="BH76" s="72"/>
      <c r="BI76" s="74"/>
      <c r="BK76" s="5" t="str">
        <f t="shared" si="23"/>
        <v>-</v>
      </c>
      <c r="BM76" s="5"/>
    </row>
    <row r="77" ht="37.5" customHeight="1">
      <c r="A77" s="45"/>
      <c r="B77" s="46">
        <f>IFERROR(__xludf.DUMMYFUNCTION("""COMPUTED_VALUE"""),75.0)</f>
        <v>75</v>
      </c>
      <c r="C77" s="47" t="str">
        <f>IFERROR(__xludf.DUMMYFUNCTION("""COMPUTED_VALUE"""),"Direccionamiento estratégico")</f>
        <v>Direccionamiento estratégico</v>
      </c>
      <c r="D77" s="48" t="str">
        <f>IFERROR(__xludf.DUMMYFUNCTION("""COMPUTED_VALUE"""),"Planeación")</f>
        <v>Planeación</v>
      </c>
      <c r="E77" s="48" t="str">
        <f>IFERROR(__xludf.DUMMYFUNCTION("""COMPUTED_VALUE"""),"Fortalecimiento de la capacidad de gestión de la autoridad nacional de acuicultura y pesca - aunap nacional")</f>
        <v>Fortalecimiento de la capacidad de gestión de la autoridad nacional de acuicultura y pesca - aunap nacional</v>
      </c>
      <c r="F77" s="49">
        <f>IFERROR(__xludf.DUMMYFUNCTION("""COMPUTED_VALUE"""),2.018011000241E12)</f>
        <v>2018011000241</v>
      </c>
      <c r="G77" s="50" t="str">
        <f>IFERROR(__xludf.DUMMYFUNCTION("""COMPUTED_VALUE"""),"Fortalecimiento")</f>
        <v>Fortalecimiento</v>
      </c>
      <c r="H77" s="48" t="str">
        <f>IFERROR(__xludf.DUMMYFUNCTION("""COMPUTED_VALUE"""),"Fortalecer los sistemas de gestión de la Entidad")</f>
        <v>Fortalecer los sistemas de gestión de la Entidad</v>
      </c>
      <c r="I77" s="48" t="str">
        <f>IFERROR(__xludf.DUMMYFUNCTION("""COMPUTED_VALUE"""),"Servicio de Implementación Sistemas de Gestión")</f>
        <v>Servicio de Implementación Sistemas de Gestión</v>
      </c>
      <c r="J77" s="48" t="str">
        <f>IFERROR(__xludf.DUMMYFUNCTION("""COMPUTED_VALUE"""),"Implementar y mantener el Sistema de Gestión Ambiental de la Entidad, acorde a la normatividad vigente")</f>
        <v>Implementar y mantener el Sistema de Gestión Ambiental de la Entidad, acorde a la normatividad vigente</v>
      </c>
      <c r="K77" s="51" t="str">
        <f>IFERROR(__xludf.DUMMYFUNCTION("""COMPUTED_VALUE"""),"Gestión del área")</f>
        <v>Gestión del área</v>
      </c>
      <c r="L77" s="51" t="str">
        <f>IFERROR(__xludf.DUMMYFUNCTION("""COMPUTED_VALUE"""),"Eficiencia")</f>
        <v>Eficiencia</v>
      </c>
      <c r="M77" s="51" t="str">
        <f>IFERROR(__xludf.DUMMYFUNCTION("""COMPUTED_VALUE"""),"Número")</f>
        <v>Número</v>
      </c>
      <c r="N77" s="52" t="str">
        <f>IFERROR(__xludf.DUMMYFUNCTION("""COMPUTED_VALUE"""),"Número de Diagnósticos ambientales realizados/Número de diagnósticos programados")</f>
        <v>Número de Diagnósticos ambientales realizados/Número de diagnósticos programados</v>
      </c>
      <c r="O77" s="53"/>
      <c r="P77" s="54">
        <f>IFERROR(__xludf.DUMMYFUNCTION("""COMPUTED_VALUE"""),3.0)</f>
        <v>3</v>
      </c>
      <c r="Q77" s="55" t="str">
        <f>IFERROR(__xludf.DUMMYFUNCTION("""COMPUTED_VALUE"""),"Realizar el Diagnóstico Ambiental de las tres (3) estaciones pesqueras de la AUNAP.")</f>
        <v>Realizar el Diagnóstico Ambiental de las tres (3) estaciones pesqueras de la AUNAP.</v>
      </c>
      <c r="R77" s="14" t="str">
        <f>IFERROR(__xludf.DUMMYFUNCTION("""COMPUTED_VALUE"""),"Trimestral")</f>
        <v>Trimestral</v>
      </c>
      <c r="S77" s="54">
        <f>IFERROR(__xludf.DUMMYFUNCTION("""COMPUTED_VALUE"""),0.0)</f>
        <v>0</v>
      </c>
      <c r="T77" s="54">
        <f>IFERROR(__xludf.DUMMYFUNCTION("""COMPUTED_VALUE"""),0.0)</f>
        <v>0</v>
      </c>
      <c r="U77" s="54">
        <f>IFERROR(__xludf.DUMMYFUNCTION("""COMPUTED_VALUE"""),2.0)</f>
        <v>2</v>
      </c>
      <c r="V77" s="54">
        <f>IFERROR(__xludf.DUMMYFUNCTION("""COMPUTED_VALUE"""),1.0)</f>
        <v>1</v>
      </c>
      <c r="W77" s="56" t="str">
        <f>IFERROR(__xludf.DUMMYFUNCTION("""COMPUTED_VALUE"""),"Planeación")</f>
        <v>Planeación</v>
      </c>
      <c r="X77" s="57" t="str">
        <f>IFERROR(__xludf.DUMMYFUNCTION("""COMPUTED_VALUE"""),"Elsa Malo Lecompte")</f>
        <v>Elsa Malo Lecompte</v>
      </c>
      <c r="Y77" s="47" t="str">
        <f>IFERROR(__xludf.DUMMYFUNCTION("""COMPUTED_VALUE"""),"Profesional Especializado con Funciones de Planeación")</f>
        <v>Profesional Especializado con Funciones de Planeación</v>
      </c>
      <c r="Z77" s="57" t="str">
        <f>IFERROR(__xludf.DUMMYFUNCTION("""COMPUTED_VALUE"""),"elsa.malo@aunap.gov.co")</f>
        <v>elsa.malo@aunap.gov.co</v>
      </c>
      <c r="AA77" s="47" t="str">
        <f>IFERROR(__xludf.DUMMYFUNCTION("""COMPUTED_VALUE"""),"Talento Humano")</f>
        <v>Talento Humano</v>
      </c>
      <c r="AB77" s="47" t="str">
        <f>IFERROR(__xludf.DUMMYFUNCTION("""COMPUTED_VALUE"""),"No asociado")</f>
        <v>No asociado</v>
      </c>
      <c r="AC77" s="47" t="str">
        <f>IFERROR(__xludf.DUMMYFUNCTION("""COMPUTED_VALUE"""),"Propiciar la formalización de la pesca y la acuicultura")</f>
        <v>Propiciar la formalización de la pesca y la acuicultura</v>
      </c>
      <c r="AD77" s="47" t="str">
        <f>IFERROR(__xludf.DUMMYFUNCTION("""COMPUTED_VALUE"""),"Direccionamiento Estratégico")</f>
        <v>Direccionamiento Estratégico</v>
      </c>
      <c r="AE77" s="47" t="str">
        <f>IFERROR(__xludf.DUMMYFUNCTION("""COMPUTED_VALUE"""),"Planeación Institucional")</f>
        <v>Planeación Institucional</v>
      </c>
      <c r="AF77" s="47" t="str">
        <f>IFERROR(__xludf.DUMMYFUNCTION("""COMPUTED_VALUE"""),"16. Paz, justicia e instituciones sólidas")</f>
        <v>16. Paz, justicia e instituciones sólidas</v>
      </c>
      <c r="AG77" s="58">
        <f>IFERROR(__xludf.DUMMYFUNCTION("""COMPUTED_VALUE"""),0.0)</f>
        <v>0</v>
      </c>
      <c r="AH77" s="59" t="str">
        <f>IFERROR(__xludf.DUMMYFUNCTION("""COMPUTED_VALUE"""),"No se tiene establecida meta de avance para este trimestre")</f>
        <v>No se tiene establecida meta de avance para este trimestre</v>
      </c>
      <c r="AI77" s="59" t="str">
        <f>IFERROR(__xludf.DUMMYFUNCTION("""COMPUTED_VALUE"""),"N/A")</f>
        <v>N/A</v>
      </c>
      <c r="AJ77" s="60">
        <f>IFERROR(__xludf.DUMMYFUNCTION("""COMPUTED_VALUE"""),44396.0)</f>
        <v>44396</v>
      </c>
      <c r="AK77" s="61" t="str">
        <f>IFERROR(IF((AL77+1)&lt;2,Alertas!$B$2&amp;TEXT(AL77,"0%")&amp;Alertas!$D$2, IF((AL77+1)=2,Alertas!$B$3,IF((AL77+1)&gt;2,Alertas!$B$4&amp;TEXT(AL77,"0%")&amp;Alertas!$D$4,AL77+1))),"Sin meta para el segundo trimestre")</f>
        <v>Sin meta para el segundo trimestre</v>
      </c>
      <c r="AL77" s="62" t="str">
        <f t="shared" si="2"/>
        <v>-</v>
      </c>
      <c r="AM77" s="61" t="str">
        <f t="shared" si="3"/>
        <v>Sin meta para el segundo trimestre.</v>
      </c>
      <c r="AN77" s="63"/>
      <c r="AO77" s="64"/>
      <c r="AP77" s="65"/>
      <c r="AQ77" s="65"/>
      <c r="AR77" s="66"/>
      <c r="AS77" s="67"/>
      <c r="AT77" s="68"/>
      <c r="AU77" s="63"/>
      <c r="AV77" s="64"/>
      <c r="AW77" s="69"/>
      <c r="AX77" s="65"/>
      <c r="AY77" s="70"/>
      <c r="AZ77" s="71"/>
      <c r="BA77" s="72"/>
      <c r="BB77" s="73"/>
      <c r="BC77" s="64"/>
      <c r="BD77" s="69"/>
      <c r="BE77" s="65"/>
      <c r="BF77" s="66"/>
      <c r="BG77" s="71"/>
      <c r="BH77" s="72"/>
      <c r="BI77" s="74"/>
      <c r="BK77" s="5" t="str">
        <f t="shared" si="23"/>
        <v>-</v>
      </c>
      <c r="BM77" s="5"/>
    </row>
    <row r="78" ht="37.5" customHeight="1">
      <c r="A78" s="45"/>
      <c r="B78" s="46">
        <f>IFERROR(__xludf.DUMMYFUNCTION("""COMPUTED_VALUE"""),76.0)</f>
        <v>76</v>
      </c>
      <c r="C78" s="47" t="str">
        <f>IFERROR(__xludf.DUMMYFUNCTION("""COMPUTED_VALUE"""),"Direccionamiento estratégico")</f>
        <v>Direccionamiento estratégico</v>
      </c>
      <c r="D78" s="48" t="str">
        <f>IFERROR(__xludf.DUMMYFUNCTION("""COMPUTED_VALUE"""),"Planeación")</f>
        <v>Planeación</v>
      </c>
      <c r="E78" s="48" t="str">
        <f>IFERROR(__xludf.DUMMYFUNCTION("""COMPUTED_VALUE"""),"Fortalecimiento de la capacidad de gestión de la autoridad nacional de acuicultura y pesca - aunap nacional")</f>
        <v>Fortalecimiento de la capacidad de gestión de la autoridad nacional de acuicultura y pesca - aunap nacional</v>
      </c>
      <c r="F78" s="49">
        <f>IFERROR(__xludf.DUMMYFUNCTION("""COMPUTED_VALUE"""),2.018011000241E12)</f>
        <v>2018011000241</v>
      </c>
      <c r="G78" s="50" t="str">
        <f>IFERROR(__xludf.DUMMYFUNCTION("""COMPUTED_VALUE"""),"Fortalecimiento")</f>
        <v>Fortalecimiento</v>
      </c>
      <c r="H78" s="48" t="str">
        <f>IFERROR(__xludf.DUMMYFUNCTION("""COMPUTED_VALUE"""),"Fortalecer los sistemas de gestión de la Entidad")</f>
        <v>Fortalecer los sistemas de gestión de la Entidad</v>
      </c>
      <c r="I78" s="48" t="str">
        <f>IFERROR(__xludf.DUMMYFUNCTION("""COMPUTED_VALUE"""),"Servicio de Implementación Sistemas de Gestión")</f>
        <v>Servicio de Implementación Sistemas de Gestión</v>
      </c>
      <c r="J78"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8" s="51" t="str">
        <f>IFERROR(__xludf.DUMMYFUNCTION("""COMPUTED_VALUE"""),"Gestión del área")</f>
        <v>Gestión del área</v>
      </c>
      <c r="L78" s="51" t="str">
        <f>IFERROR(__xludf.DUMMYFUNCTION("""COMPUTED_VALUE"""),"Eficiencia")</f>
        <v>Eficiencia</v>
      </c>
      <c r="M78" s="51" t="str">
        <f>IFERROR(__xludf.DUMMYFUNCTION("""COMPUTED_VALUE"""),"Número")</f>
        <v>Número</v>
      </c>
      <c r="N78" s="52" t="str">
        <f>IFERROR(__xludf.DUMMYFUNCTION("""COMPUTED_VALUE"""),"Número de informes de gestión realizados/Número de informes de gestión programados")</f>
        <v>Número de informes de gestión realizados/Número de informes de gestión programados</v>
      </c>
      <c r="O78" s="53"/>
      <c r="P78" s="54">
        <f>IFERROR(__xludf.DUMMYFUNCTION("""COMPUTED_VALUE"""),1.0)</f>
        <v>1</v>
      </c>
      <c r="Q78" s="55" t="str">
        <f>IFERROR(__xludf.DUMMYFUNCTION("""COMPUTED_VALUE"""),"Elaborar un informe de gestion de la entidad.")</f>
        <v>Elaborar un informe de gestion de la entidad.</v>
      </c>
      <c r="R78" s="14" t="str">
        <f>IFERROR(__xludf.DUMMYFUNCTION("""COMPUTED_VALUE"""),"Anual")</f>
        <v>Anual</v>
      </c>
      <c r="S78" s="54">
        <f>IFERROR(__xludf.DUMMYFUNCTION("""COMPUTED_VALUE"""),0.0)</f>
        <v>0</v>
      </c>
      <c r="T78" s="54">
        <f>IFERROR(__xludf.DUMMYFUNCTION("""COMPUTED_VALUE"""),0.0)</f>
        <v>0</v>
      </c>
      <c r="U78" s="54">
        <f>IFERROR(__xludf.DUMMYFUNCTION("""COMPUTED_VALUE"""),0.0)</f>
        <v>0</v>
      </c>
      <c r="V78" s="54">
        <f>IFERROR(__xludf.DUMMYFUNCTION("""COMPUTED_VALUE"""),1.0)</f>
        <v>1</v>
      </c>
      <c r="W78" s="56" t="str">
        <f>IFERROR(__xludf.DUMMYFUNCTION("""COMPUTED_VALUE"""),"Planeación")</f>
        <v>Planeación</v>
      </c>
      <c r="X78" s="57" t="str">
        <f>IFERROR(__xludf.DUMMYFUNCTION("""COMPUTED_VALUE"""),"Elsa Malo Lecompte")</f>
        <v>Elsa Malo Lecompte</v>
      </c>
      <c r="Y78" s="47" t="str">
        <f>IFERROR(__xludf.DUMMYFUNCTION("""COMPUTED_VALUE"""),"Profesional Especializado con Funciones de Planeación")</f>
        <v>Profesional Especializado con Funciones de Planeación</v>
      </c>
      <c r="Z78" s="57" t="str">
        <f>IFERROR(__xludf.DUMMYFUNCTION("""COMPUTED_VALUE"""),"elsa.malo@aunap.gov.co")</f>
        <v>elsa.malo@aunap.gov.co</v>
      </c>
      <c r="AA78" s="47" t="str">
        <f>IFERROR(__xludf.DUMMYFUNCTION("""COMPUTED_VALUE"""),"Talento Humano")</f>
        <v>Talento Humano</v>
      </c>
      <c r="AB78" s="47" t="str">
        <f>IFERROR(__xludf.DUMMYFUNCTION("""COMPUTED_VALUE"""),"No asociado")</f>
        <v>No asociado</v>
      </c>
      <c r="AC78" s="47" t="str">
        <f>IFERROR(__xludf.DUMMYFUNCTION("""COMPUTED_VALUE"""),"Propiciar la formalización de la pesca y la acuicultura")</f>
        <v>Propiciar la formalización de la pesca y la acuicultura</v>
      </c>
      <c r="AD78" s="47" t="str">
        <f>IFERROR(__xludf.DUMMYFUNCTION("""COMPUTED_VALUE"""),"Evaluación de Resultados")</f>
        <v>Evaluación de Resultados</v>
      </c>
      <c r="AE78" s="47" t="str">
        <f>IFERROR(__xludf.DUMMYFUNCTION("""COMPUTED_VALUE"""),"Seguimiento y evaluación del desempeño institucional")</f>
        <v>Seguimiento y evaluación del desempeño institucional</v>
      </c>
      <c r="AF78" s="47" t="str">
        <f>IFERROR(__xludf.DUMMYFUNCTION("""COMPUTED_VALUE"""),"16. Paz, justicia e instituciones sólidas")</f>
        <v>16. Paz, justicia e instituciones sólidas</v>
      </c>
      <c r="AG78" s="58">
        <f>IFERROR(__xludf.DUMMYFUNCTION("""COMPUTED_VALUE"""),0.0)</f>
        <v>0</v>
      </c>
      <c r="AH78" s="59" t="str">
        <f>IFERROR(__xludf.DUMMYFUNCTION("""COMPUTED_VALUE"""),"No se tiene establecida meta de avance para este trimestre")</f>
        <v>No se tiene establecida meta de avance para este trimestre</v>
      </c>
      <c r="AI78" s="59" t="str">
        <f>IFERROR(__xludf.DUMMYFUNCTION("""COMPUTED_VALUE"""),"N/A")</f>
        <v>N/A</v>
      </c>
      <c r="AJ78" s="60">
        <f>IFERROR(__xludf.DUMMYFUNCTION("""COMPUTED_VALUE"""),44396.0)</f>
        <v>44396</v>
      </c>
      <c r="AK78" s="61" t="str">
        <f>IFERROR(IF((AL78+1)&lt;2,Alertas!$B$2&amp;TEXT(AL78,"0%")&amp;Alertas!$D$2, IF((AL78+1)=2,Alertas!$B$3,IF((AL78+1)&gt;2,Alertas!$B$4&amp;TEXT(AL78,"0%")&amp;Alertas!$D$4,AL78+1))),"Sin meta para el segundo trimestre")</f>
        <v>Sin meta para el segundo trimestre</v>
      </c>
      <c r="AL78" s="62" t="str">
        <f t="shared" si="2"/>
        <v>-</v>
      </c>
      <c r="AM78" s="61" t="str">
        <f t="shared" si="3"/>
        <v>Sin meta para el segundo trimestre.</v>
      </c>
      <c r="AN78" s="63"/>
      <c r="AO78" s="64"/>
      <c r="AP78" s="65"/>
      <c r="AQ78" s="65"/>
      <c r="AR78" s="66"/>
      <c r="AS78" s="67"/>
      <c r="AT78" s="68"/>
      <c r="AU78" s="63"/>
      <c r="AV78" s="64"/>
      <c r="AW78" s="69"/>
      <c r="AX78" s="65"/>
      <c r="AY78" s="70"/>
      <c r="AZ78" s="71"/>
      <c r="BA78" s="72"/>
      <c r="BB78" s="73"/>
      <c r="BC78" s="64"/>
      <c r="BD78" s="69"/>
      <c r="BE78" s="65"/>
      <c r="BF78" s="66"/>
      <c r="BG78" s="71"/>
      <c r="BH78" s="72"/>
      <c r="BI78" s="74"/>
      <c r="BK78" s="5" t="str">
        <f t="shared" si="23"/>
        <v>-</v>
      </c>
      <c r="BM78" s="5"/>
    </row>
    <row r="79" ht="37.5" customHeight="1">
      <c r="A79" s="45"/>
      <c r="B79" s="46">
        <f>IFERROR(__xludf.DUMMYFUNCTION("""COMPUTED_VALUE"""),77.0)</f>
        <v>77</v>
      </c>
      <c r="C79" s="47" t="str">
        <f>IFERROR(__xludf.DUMMYFUNCTION("""COMPUTED_VALUE"""),"Gestión de la información y generación del conocimiento")</f>
        <v>Gestión de la información y generación del conocimiento</v>
      </c>
      <c r="D79" s="48" t="str">
        <f>IFERROR(__xludf.DUMMYFUNCTION("""COMPUTED_VALUE"""),"Sistemas")</f>
        <v>Sistemas</v>
      </c>
      <c r="E79" s="48" t="str">
        <f>IFERROR(__xludf.DUMMYFUNCTION("""COMPUTED_VALUE"""),"Fortalecimiento de la capacidad de gestión de la autoridad nacional de acuicultura y pesca - aunap nacional")</f>
        <v>Fortalecimiento de la capacidad de gestión de la autoridad nacional de acuicultura y pesca - aunap nacional</v>
      </c>
      <c r="F79" s="49">
        <f>IFERROR(__xludf.DUMMYFUNCTION("""COMPUTED_VALUE"""),2.018011000241E12)</f>
        <v>2018011000241</v>
      </c>
      <c r="G79" s="50" t="str">
        <f>IFERROR(__xludf.DUMMYFUNCTION("""COMPUTED_VALUE"""),"Fortalecimiento")</f>
        <v>Fortalecimiento</v>
      </c>
      <c r="H79" s="48" t="str">
        <f>IFERROR(__xludf.DUMMYFUNCTION("""COMPUTED_VALUE"""),"Fortalecer la Infraestructura Tecnológica de la entidad")</f>
        <v>Fortalecer la Infraestructura Tecnológica de la entidad</v>
      </c>
      <c r="I79" s="48" t="str">
        <f>IFERROR(__xludf.DUMMYFUNCTION("""COMPUTED_VALUE"""),"Servicios tecnológicos")</f>
        <v>Servicios tecnológicos</v>
      </c>
      <c r="J79" s="48" t="str">
        <f>IFERROR(__xludf.DUMMYFUNCTION("""COMPUTED_VALUE"""),"Implementar y gestionar los procesos de soporte y mantenimiento de los servicios Tecnológicos de la Entidad.")</f>
        <v>Implementar y gestionar los procesos de soporte y mantenimiento de los servicios Tecnológicos de la Entidad.</v>
      </c>
      <c r="K79" s="51" t="str">
        <f>IFERROR(__xludf.DUMMYFUNCTION("""COMPUTED_VALUE"""),"Gestión del área")</f>
        <v>Gestión del área</v>
      </c>
      <c r="L79" s="51" t="str">
        <f>IFERROR(__xludf.DUMMYFUNCTION("""COMPUTED_VALUE"""),"Eficacia")</f>
        <v>Eficacia</v>
      </c>
      <c r="M79" s="51" t="str">
        <f>IFERROR(__xludf.DUMMYFUNCTION("""COMPUTED_VALUE"""),"Número")</f>
        <v>Número</v>
      </c>
      <c r="N79" s="52" t="str">
        <f>IFERROR(__xludf.DUMMYFUNCTION("""COMPUTED_VALUE"""),"Lista de activos tangibles e intangibles operando")</f>
        <v>Lista de activos tangibles e intangibles operando</v>
      </c>
      <c r="O79" s="53">
        <f>IFERROR(__xludf.DUMMYFUNCTION("""COMPUTED_VALUE"""),1.0)</f>
        <v>1</v>
      </c>
      <c r="P79" s="54">
        <f>IFERROR(__xludf.DUMMYFUNCTION("""COMPUTED_VALUE"""),1.0)</f>
        <v>1</v>
      </c>
      <c r="Q79" s="55" t="str">
        <f>IFERROR(__xludf.DUMMYFUNCTION("""COMPUTED_VALUE"""),"Mantener actualizado el inventario de activos de las TICs que facilite el plan de mantenimiento.")</f>
        <v>Mantener actualizado el inventario de activos de las TICs que facilite el plan de mantenimiento.</v>
      </c>
      <c r="R79" s="14" t="str">
        <f>IFERROR(__xludf.DUMMYFUNCTION("""COMPUTED_VALUE"""),"Anual")</f>
        <v>Anual</v>
      </c>
      <c r="S79" s="54">
        <f>IFERROR(__xludf.DUMMYFUNCTION("""COMPUTED_VALUE"""),0.0)</f>
        <v>0</v>
      </c>
      <c r="T79" s="54">
        <f>IFERROR(__xludf.DUMMYFUNCTION("""COMPUTED_VALUE"""),0.0)</f>
        <v>0</v>
      </c>
      <c r="U79" s="54">
        <f>IFERROR(__xludf.DUMMYFUNCTION("""COMPUTED_VALUE"""),0.0)</f>
        <v>0</v>
      </c>
      <c r="V79" s="54">
        <f>IFERROR(__xludf.DUMMYFUNCTION("""COMPUTED_VALUE"""),1.0)</f>
        <v>1</v>
      </c>
      <c r="W79" s="56" t="str">
        <f>IFERROR(__xludf.DUMMYFUNCTION("""COMPUTED_VALUE"""),"Sistemas")</f>
        <v>Sistemas</v>
      </c>
      <c r="X79" s="57" t="str">
        <f>IFERROR(__xludf.DUMMYFUNCTION("""COMPUTED_VALUE"""),"Maria Angarita Peñaranda")</f>
        <v>Maria Angarita Peñaranda</v>
      </c>
      <c r="Y79" s="47" t="str">
        <f>IFERROR(__xludf.DUMMYFUNCTION("""COMPUTED_VALUE"""),"Jefe de Oficina")</f>
        <v>Jefe de Oficina</v>
      </c>
      <c r="Z79" s="57" t="str">
        <f>IFERROR(__xludf.DUMMYFUNCTION("""COMPUTED_VALUE"""),"maria.angarita@aunap.gov.co")</f>
        <v>maria.angarita@aunap.gov.co</v>
      </c>
      <c r="AA79" s="47" t="str">
        <f>IFERROR(__xludf.DUMMYFUNCTION("""COMPUTED_VALUE"""),"Humanos, fisicos, financieros y tecnologicos")</f>
        <v>Humanos, fisicos, financieros y tecnologicos</v>
      </c>
      <c r="AB79" s="47" t="str">
        <f>IFERROR(__xludf.DUMMYFUNCTION("""COMPUTED_VALUE"""),"Plan Estratégico de Tecnologías de la Información y las Comunicaciones -PETIT")</f>
        <v>Plan Estratégico de Tecnologías de la Información y las Comunicaciones -PETIT</v>
      </c>
      <c r="AC79" s="47" t="str">
        <f>IFERROR(__xludf.DUMMYFUNCTION("""COMPUTED_VALUE"""),"Llegar con actividades de pesca y acuicultura a todas las regiones")</f>
        <v>Llegar con actividades de pesca y acuicultura a todas las regiones</v>
      </c>
      <c r="AD79" s="47" t="str">
        <f>IFERROR(__xludf.DUMMYFUNCTION("""COMPUTED_VALUE"""),"Gestión del conocimiento")</f>
        <v>Gestión del conocimiento</v>
      </c>
      <c r="AE79" s="47" t="str">
        <f>IFERROR(__xludf.DUMMYFUNCTION("""COMPUTED_VALUE"""),"Seguridad Digital")</f>
        <v>Seguridad Digital</v>
      </c>
      <c r="AF79" s="47" t="str">
        <f>IFERROR(__xludf.DUMMYFUNCTION("""COMPUTED_VALUE"""),"9. Industria, innovación e infraestructura")</f>
        <v>9. Industria, innovación e infraestructura</v>
      </c>
      <c r="AG79" s="58">
        <f>IFERROR(__xludf.DUMMYFUNCTION("""COMPUTED_VALUE"""),0.0)</f>
        <v>0</v>
      </c>
      <c r="AH79" s="59" t="str">
        <f>IFERROR(__xludf.DUMMYFUNCTION("""COMPUTED_VALUE"""),"El reporte de esta actividad es anual, por ende no se debe reportar en este trimestre")</f>
        <v>El reporte de esta actividad es anual, por ende no se debe reportar en este trimestre</v>
      </c>
      <c r="AI79" s="59"/>
      <c r="AJ79" s="60">
        <f>IFERROR(__xludf.DUMMYFUNCTION("""COMPUTED_VALUE"""),44396.0)</f>
        <v>44396</v>
      </c>
      <c r="AK79" s="61" t="str">
        <f>IFERROR(IF((AL79+1)&lt;2,Alertas!$B$2&amp;TEXT(AL79,"0%")&amp;Alertas!$D$2, IF((AL79+1)=2,Alertas!$B$3,IF((AL79+1)&gt;2,Alertas!$B$4&amp;TEXT(AL79,"0%")&amp;Alertas!$D$4,AL79+1))),"Sin meta para el segundo trimestre")</f>
        <v>Sin meta para el segundo trimestre</v>
      </c>
      <c r="AL79" s="62" t="str">
        <f t="shared" si="2"/>
        <v>-</v>
      </c>
      <c r="AM79" s="61" t="str">
        <f t="shared" si="3"/>
        <v>Sin meta para el segundo trimestre.</v>
      </c>
      <c r="AN79" s="63"/>
      <c r="AO79" s="64"/>
      <c r="AP79" s="65"/>
      <c r="AQ79" s="65"/>
      <c r="AR79" s="66"/>
      <c r="AS79" s="67"/>
      <c r="AT79" s="68"/>
      <c r="AU79" s="63"/>
      <c r="AV79" s="64"/>
      <c r="AW79" s="69"/>
      <c r="AX79" s="65"/>
      <c r="AY79" s="70"/>
      <c r="AZ79" s="71"/>
      <c r="BA79" s="72"/>
      <c r="BB79" s="73"/>
      <c r="BC79" s="64"/>
      <c r="BD79" s="69"/>
      <c r="BE79" s="65"/>
      <c r="BF79" s="66"/>
      <c r="BG79" s="71"/>
      <c r="BH79" s="72"/>
      <c r="BI79" s="74"/>
      <c r="BK79" s="5" t="str">
        <f t="shared" si="23"/>
        <v>-</v>
      </c>
      <c r="BM79" s="5"/>
    </row>
    <row r="80" ht="37.5" customHeight="1">
      <c r="A80" s="45"/>
      <c r="B80" s="46">
        <f>IFERROR(__xludf.DUMMYFUNCTION("""COMPUTED_VALUE"""),78.0)</f>
        <v>78</v>
      </c>
      <c r="C80" s="47" t="str">
        <f>IFERROR(__xludf.DUMMYFUNCTION("""COMPUTED_VALUE"""),"Gestión de la información y generación del conocimiento")</f>
        <v>Gestión de la información y generación del conocimiento</v>
      </c>
      <c r="D80" s="48" t="str">
        <f>IFERROR(__xludf.DUMMYFUNCTION("""COMPUTED_VALUE"""),"Sistemas")</f>
        <v>Sistemas</v>
      </c>
      <c r="E80" s="48" t="str">
        <f>IFERROR(__xludf.DUMMYFUNCTION("""COMPUTED_VALUE"""),"Fortalecimiento de la capacidad de gestión de la autoridad nacional de acuicultura y pesca - aunap nacional")</f>
        <v>Fortalecimiento de la capacidad de gestión de la autoridad nacional de acuicultura y pesca - aunap nacional</v>
      </c>
      <c r="F80" s="49">
        <f>IFERROR(__xludf.DUMMYFUNCTION("""COMPUTED_VALUE"""),2.018011000241E12)</f>
        <v>2018011000241</v>
      </c>
      <c r="G80" s="50" t="str">
        <f>IFERROR(__xludf.DUMMYFUNCTION("""COMPUTED_VALUE"""),"Fortalecimiento")</f>
        <v>Fortalecimiento</v>
      </c>
      <c r="H80" s="48" t="str">
        <f>IFERROR(__xludf.DUMMYFUNCTION("""COMPUTED_VALUE"""),"Fortalecer la Infraestructura Tecnológica de la entidad")</f>
        <v>Fortalecer la Infraestructura Tecnológica de la entidad</v>
      </c>
      <c r="I80" s="48" t="str">
        <f>IFERROR(__xludf.DUMMYFUNCTION("""COMPUTED_VALUE"""),"Servicios tecnológicos")</f>
        <v>Servicios tecnológicos</v>
      </c>
      <c r="J80" s="48" t="str">
        <f>IFERROR(__xludf.DUMMYFUNCTION("""COMPUTED_VALUE"""),"Actualizar la infraestructura (hardware y software) de servicios, para soportar la gestión de los procesos de entidad")</f>
        <v>Actualizar la infraestructura (hardware y software) de servicios, para soportar la gestión de los procesos de entidad</v>
      </c>
      <c r="K80" s="51" t="str">
        <f>IFERROR(__xludf.DUMMYFUNCTION("""COMPUTED_VALUE"""),"Gestión del área")</f>
        <v>Gestión del área</v>
      </c>
      <c r="L80" s="51" t="str">
        <f>IFERROR(__xludf.DUMMYFUNCTION("""COMPUTED_VALUE"""),"Eficacia")</f>
        <v>Eficacia</v>
      </c>
      <c r="M80" s="51" t="str">
        <f>IFERROR(__xludf.DUMMYFUNCTION("""COMPUTED_VALUE"""),"Número")</f>
        <v>Número</v>
      </c>
      <c r="N80" s="52" t="str">
        <f>IFERROR(__xludf.DUMMYFUNCTION("""COMPUTED_VALUE"""),"Lista de equipos adquiridos que fortalecen la operación de la AUNAP")</f>
        <v>Lista de equipos adquiridos que fortalecen la operación de la AUNAP</v>
      </c>
      <c r="O80" s="53">
        <f>IFERROR(__xludf.DUMMYFUNCTION("""COMPUTED_VALUE"""),1.0)</f>
        <v>1</v>
      </c>
      <c r="P80" s="54">
        <f>IFERROR(__xludf.DUMMYFUNCTION("""COMPUTED_VALUE"""),1.0)</f>
        <v>1</v>
      </c>
      <c r="Q80" s="55" t="str">
        <f>IFERROR(__xludf.DUMMYFUNCTION("""COMPUTED_VALUE"""),"Continuar con el fortalecemiento de la infraestructura de TICs para atender los requerimientos tecnológicos de las diferentes dependencias y oficinas de la AUNAP a nivel central y regional y su DATACENTER")</f>
        <v>Continuar con el fortalecemiento de la infraestructura de TICs para atender los requerimientos tecnológicos de las diferentes dependencias y oficinas de la AUNAP a nivel central y regional y su DATACENTER</v>
      </c>
      <c r="R80" s="14" t="str">
        <f>IFERROR(__xludf.DUMMYFUNCTION("""COMPUTED_VALUE"""),"Anual")</f>
        <v>Anual</v>
      </c>
      <c r="S80" s="54">
        <f>IFERROR(__xludf.DUMMYFUNCTION("""COMPUTED_VALUE"""),0.0)</f>
        <v>0</v>
      </c>
      <c r="T80" s="54">
        <f>IFERROR(__xludf.DUMMYFUNCTION("""COMPUTED_VALUE"""),0.0)</f>
        <v>0</v>
      </c>
      <c r="U80" s="54">
        <f>IFERROR(__xludf.DUMMYFUNCTION("""COMPUTED_VALUE"""),0.0)</f>
        <v>0</v>
      </c>
      <c r="V80" s="54">
        <f>IFERROR(__xludf.DUMMYFUNCTION("""COMPUTED_VALUE"""),1.0)</f>
        <v>1</v>
      </c>
      <c r="W80" s="56" t="str">
        <f>IFERROR(__xludf.DUMMYFUNCTION("""COMPUTED_VALUE"""),"Sistemas")</f>
        <v>Sistemas</v>
      </c>
      <c r="X80" s="57" t="str">
        <f>IFERROR(__xludf.DUMMYFUNCTION("""COMPUTED_VALUE"""),"Maria Angarita Peñaranda")</f>
        <v>Maria Angarita Peñaranda</v>
      </c>
      <c r="Y80" s="47" t="str">
        <f>IFERROR(__xludf.DUMMYFUNCTION("""COMPUTED_VALUE"""),"Jefe de Oficina")</f>
        <v>Jefe de Oficina</v>
      </c>
      <c r="Z80" s="57" t="str">
        <f>IFERROR(__xludf.DUMMYFUNCTION("""COMPUTED_VALUE"""),"maria.angarita@aunap.gov.co")</f>
        <v>maria.angarita@aunap.gov.co</v>
      </c>
      <c r="AA80" s="47" t="str">
        <f>IFERROR(__xludf.DUMMYFUNCTION("""COMPUTED_VALUE"""),"Humanos, fisicos, financieros y tecnologicos")</f>
        <v>Humanos, fisicos, financieros y tecnologicos</v>
      </c>
      <c r="AB80" s="47" t="str">
        <f>IFERROR(__xludf.DUMMYFUNCTION("""COMPUTED_VALUE"""),"Plan Estratégico de Tecnologías de la Información y las Comunicaciones -PETIT")</f>
        <v>Plan Estratégico de Tecnologías de la Información y las Comunicaciones -PETIT</v>
      </c>
      <c r="AC80" s="47" t="str">
        <f>IFERROR(__xludf.DUMMYFUNCTION("""COMPUTED_VALUE"""),"Llegar con actividades de pesca y acuicultura a todas las regiones")</f>
        <v>Llegar con actividades de pesca y acuicultura a todas las regiones</v>
      </c>
      <c r="AD80" s="47" t="str">
        <f>IFERROR(__xludf.DUMMYFUNCTION("""COMPUTED_VALUE"""),"Gestión del conocimiento")</f>
        <v>Gestión del conocimiento</v>
      </c>
      <c r="AE80" s="47" t="str">
        <f>IFERROR(__xludf.DUMMYFUNCTION("""COMPUTED_VALUE"""),"Seguridad Digital")</f>
        <v>Seguridad Digital</v>
      </c>
      <c r="AF80" s="47" t="str">
        <f>IFERROR(__xludf.DUMMYFUNCTION("""COMPUTED_VALUE"""),"9. Industria, innovación e infraestructura")</f>
        <v>9. Industria, innovación e infraestructura</v>
      </c>
      <c r="AG80" s="58">
        <f>IFERROR(__xludf.DUMMYFUNCTION("""COMPUTED_VALUE"""),0.0)</f>
        <v>0</v>
      </c>
      <c r="AH80" s="59" t="str">
        <f>IFERROR(__xludf.DUMMYFUNCTION("""COMPUTED_VALUE"""),"El reporte de esta actividad es anual, por ende no se debe reportar en este trimestre")</f>
        <v>El reporte de esta actividad es anual, por ende no se debe reportar en este trimestre</v>
      </c>
      <c r="AI80" s="59"/>
      <c r="AJ80" s="60">
        <f>IFERROR(__xludf.DUMMYFUNCTION("""COMPUTED_VALUE"""),44396.0)</f>
        <v>44396</v>
      </c>
      <c r="AK80" s="61" t="str">
        <f>IFERROR(IF((AL80+1)&lt;2,Alertas!$B$2&amp;TEXT(AL80,"0%")&amp;Alertas!$D$2, IF((AL80+1)=2,Alertas!$B$3,IF((AL80+1)&gt;2,Alertas!$B$4&amp;TEXT(AL80,"0%")&amp;Alertas!$D$4,AL80+1))),"Sin meta para el segundo trimestre")</f>
        <v>Sin meta para el segundo trimestre</v>
      </c>
      <c r="AL80" s="62" t="str">
        <f t="shared" si="2"/>
        <v>-</v>
      </c>
      <c r="AM80" s="61" t="str">
        <f t="shared" si="3"/>
        <v>Sin meta para el segundo trimestre.</v>
      </c>
      <c r="AN80" s="63"/>
      <c r="AO80" s="64"/>
      <c r="AP80" s="65"/>
      <c r="AQ80" s="65"/>
      <c r="AR80" s="66"/>
      <c r="AS80" s="67"/>
      <c r="AT80" s="68"/>
      <c r="AU80" s="63"/>
      <c r="AV80" s="64"/>
      <c r="AW80" s="69"/>
      <c r="AX80" s="65"/>
      <c r="AY80" s="70"/>
      <c r="AZ80" s="71"/>
      <c r="BA80" s="72"/>
      <c r="BB80" s="73"/>
      <c r="BC80" s="64"/>
      <c r="BD80" s="69"/>
      <c r="BE80" s="65"/>
      <c r="BF80" s="66"/>
      <c r="BG80" s="71"/>
      <c r="BH80" s="72"/>
      <c r="BI80" s="74"/>
      <c r="BK80" s="5" t="str">
        <f t="shared" si="23"/>
        <v>-</v>
      </c>
      <c r="BM80" s="5"/>
    </row>
    <row r="81" ht="37.5" customHeight="1">
      <c r="A81" s="45"/>
      <c r="B81" s="46">
        <f>IFERROR(__xludf.DUMMYFUNCTION("""COMPUTED_VALUE"""),79.0)</f>
        <v>79</v>
      </c>
      <c r="C81" s="47" t="str">
        <f>IFERROR(__xludf.DUMMYFUNCTION("""COMPUTED_VALUE"""),"Gestión de la información y generación del conocimiento")</f>
        <v>Gestión de la información y generación del conocimiento</v>
      </c>
      <c r="D81" s="48" t="str">
        <f>IFERROR(__xludf.DUMMYFUNCTION("""COMPUTED_VALUE"""),"Sistemas")</f>
        <v>Sistemas</v>
      </c>
      <c r="E81" s="48" t="str">
        <f>IFERROR(__xludf.DUMMYFUNCTION("""COMPUTED_VALUE"""),"Fortalecimiento de la capacidad de gestión de la autoridad nacional de acuicultura y pesca - aunap nacional")</f>
        <v>Fortalecimiento de la capacidad de gestión de la autoridad nacional de acuicultura y pesca - aunap nacional</v>
      </c>
      <c r="F81" s="49">
        <f>IFERROR(__xludf.DUMMYFUNCTION("""COMPUTED_VALUE"""),2.018011000241E12)</f>
        <v>2018011000241</v>
      </c>
      <c r="G81" s="50" t="str">
        <f>IFERROR(__xludf.DUMMYFUNCTION("""COMPUTED_VALUE"""),"Fortalecimiento")</f>
        <v>Fortalecimiento</v>
      </c>
      <c r="H81" s="48" t="str">
        <f>IFERROR(__xludf.DUMMYFUNCTION("""COMPUTED_VALUE"""),"Fortalecer la Infraestructura Tecnológica de la entidad")</f>
        <v>Fortalecer la Infraestructura Tecnológica de la entidad</v>
      </c>
      <c r="I81" s="48" t="str">
        <f>IFERROR(__xludf.DUMMYFUNCTION("""COMPUTED_VALUE"""),"Servicios tecnológicos")</f>
        <v>Servicios tecnológicos</v>
      </c>
      <c r="J81"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1" s="51" t="str">
        <f>IFERROR(__xludf.DUMMYFUNCTION("""COMPUTED_VALUE"""),"Gestión del área")</f>
        <v>Gestión del área</v>
      </c>
      <c r="L81" s="51" t="str">
        <f>IFERROR(__xludf.DUMMYFUNCTION("""COMPUTED_VALUE"""),"Eficacia")</f>
        <v>Eficacia</v>
      </c>
      <c r="M81" s="51" t="str">
        <f>IFERROR(__xludf.DUMMYFUNCTION("""COMPUTED_VALUE"""),"Número")</f>
        <v>Número</v>
      </c>
      <c r="N81" s="52" t="str">
        <f>IFERROR(__xludf.DUMMYFUNCTION("""COMPUTED_VALUE"""),"Documentos técnicos fortalecidos")</f>
        <v>Documentos técnicos fortalecidos</v>
      </c>
      <c r="O81" s="53">
        <f>IFERROR(__xludf.DUMMYFUNCTION("""COMPUTED_VALUE"""),2.0)</f>
        <v>2</v>
      </c>
      <c r="P81" s="54">
        <f>IFERROR(__xludf.DUMMYFUNCTION("""COMPUTED_VALUE"""),2.0)</f>
        <v>2</v>
      </c>
      <c r="Q81" s="55" t="str">
        <f>IFERROR(__xludf.DUMMYFUNCTION("""COMPUTED_VALUE"""),"Fortalecer la formulación del manual del sistema de gestión de seguridad de la información-SGSI y del Plan Estrategico de Tecnologias de la Informacion-PETI")</f>
        <v>Fortalecer la formulación del manual del sistema de gestión de seguridad de la información-SGSI y del Plan Estrategico de Tecnologias de la Informacion-PETI</v>
      </c>
      <c r="R81" s="14" t="str">
        <f>IFERROR(__xludf.DUMMYFUNCTION("""COMPUTED_VALUE"""),"Trimestral")</f>
        <v>Trimestral</v>
      </c>
      <c r="S81" s="54">
        <f>IFERROR(__xludf.DUMMYFUNCTION("""COMPUTED_VALUE"""),0.0)</f>
        <v>0</v>
      </c>
      <c r="T81" s="54">
        <f>IFERROR(__xludf.DUMMYFUNCTION("""COMPUTED_VALUE"""),1.0)</f>
        <v>1</v>
      </c>
      <c r="U81" s="54">
        <f>IFERROR(__xludf.DUMMYFUNCTION("""COMPUTED_VALUE"""),1.0)</f>
        <v>1</v>
      </c>
      <c r="V81" s="54">
        <f>IFERROR(__xludf.DUMMYFUNCTION("""COMPUTED_VALUE"""),0.0)</f>
        <v>0</v>
      </c>
      <c r="W81" s="56" t="str">
        <f>IFERROR(__xludf.DUMMYFUNCTION("""COMPUTED_VALUE"""),"Sistemas")</f>
        <v>Sistemas</v>
      </c>
      <c r="X81" s="57" t="str">
        <f>IFERROR(__xludf.DUMMYFUNCTION("""COMPUTED_VALUE"""),"Maria Angarita Peñaranda")</f>
        <v>Maria Angarita Peñaranda</v>
      </c>
      <c r="Y81" s="47" t="str">
        <f>IFERROR(__xludf.DUMMYFUNCTION("""COMPUTED_VALUE"""),"Jefe de Oficina")</f>
        <v>Jefe de Oficina</v>
      </c>
      <c r="Z81" s="57" t="str">
        <f>IFERROR(__xludf.DUMMYFUNCTION("""COMPUTED_VALUE"""),"maria.angarita@aunap.gov.co")</f>
        <v>maria.angarita@aunap.gov.co</v>
      </c>
      <c r="AA81" s="47" t="str">
        <f>IFERROR(__xludf.DUMMYFUNCTION("""COMPUTED_VALUE"""),"Humanos, fisicos, financieros y tecnologicos")</f>
        <v>Humanos, fisicos, financieros y tecnologicos</v>
      </c>
      <c r="AB81" s="47" t="str">
        <f>IFERROR(__xludf.DUMMYFUNCTION("""COMPUTED_VALUE"""),"Plan Estratégico de Tecnologías de la Información y las Comunicaciones -PETIT")</f>
        <v>Plan Estratégico de Tecnologías de la Información y las Comunicaciones -PETIT</v>
      </c>
      <c r="AC81" s="47" t="str">
        <f>IFERROR(__xludf.DUMMYFUNCTION("""COMPUTED_VALUE"""),"Llegar con actividades de pesca y acuicultura a todas las regiones")</f>
        <v>Llegar con actividades de pesca y acuicultura a todas las regiones</v>
      </c>
      <c r="AD81" s="47" t="str">
        <f>IFERROR(__xludf.DUMMYFUNCTION("""COMPUTED_VALUE"""),"Gestión del conocimiento")</f>
        <v>Gestión del conocimiento</v>
      </c>
      <c r="AE81" s="47" t="str">
        <f>IFERROR(__xludf.DUMMYFUNCTION("""COMPUTED_VALUE"""),"Seguridad Digital")</f>
        <v>Seguridad Digital</v>
      </c>
      <c r="AF81" s="47" t="str">
        <f>IFERROR(__xludf.DUMMYFUNCTION("""COMPUTED_VALUE"""),"9. Industria, innovación e infraestructura")</f>
        <v>9. Industria, innovación e infraestructura</v>
      </c>
      <c r="AG81" s="58">
        <f>IFERROR(__xludf.DUMMYFUNCTION("""COMPUTED_VALUE"""),1.0)</f>
        <v>1</v>
      </c>
      <c r="AH81" s="59" t="str">
        <f>IFERROR(__xludf.DUMMYFUNCTION("""COMPUTED_VALUE"""),"Se fortalece el documento Plan Estratégico de Seguridad de la Información – PESI, el cual será formalizado en el trancurso de lo que queda de esta vigencia")</f>
        <v>Se fortalece el documento Plan Estratégico de Seguridad de la Información – PESI, el cual será formalizado en el trancurso de lo que queda de esta vigencia</v>
      </c>
      <c r="AI81" s="80" t="str">
        <f>IFERROR(__xludf.DUMMYFUNCTION("""COMPUTED_VALUE"""),"https://drive.google.com/file/d/1PHt6v_0dgDD_KulceYCVdR5tnzYTRTlS/view?usp=sharing")</f>
        <v>https://drive.google.com/file/d/1PHt6v_0dgDD_KulceYCVdR5tnzYTRTlS/view?usp=sharing</v>
      </c>
      <c r="AJ81" s="60">
        <f>IFERROR(__xludf.DUMMYFUNCTION("""COMPUTED_VALUE"""),44396.0)</f>
        <v>44396</v>
      </c>
      <c r="AK81" s="61" t="str">
        <f>IFERROR(IF((AL81+1)&lt;2,Alertas!$B$2&amp;TEXT(AL81,"0%")&amp;Alertas!$D$2, IF((AL81+1)=2,Alertas!$B$3,IF((AL81+1)&gt;2,Alertas!$B$4&amp;TEXT(AL81,"0%")&amp;Alertas!$D$4,AL81+1))),"Sin meta para el segundo trimestre")</f>
        <v>La ejecución de la meta registrada se encuentra acorde a la meta programada en la formulación del plan de acción para el segundo trimestre</v>
      </c>
      <c r="AL81" s="62">
        <f t="shared" si="2"/>
        <v>1</v>
      </c>
      <c r="AM81" s="61" t="str">
        <f t="shared" si="3"/>
        <v>La ejecución de la meta registrada se encuentra acorde a la meta programada en la formulación del plan de acción para el segundo trimestre.</v>
      </c>
      <c r="AN81" s="63"/>
      <c r="AO81" s="64"/>
      <c r="AP81" s="65"/>
      <c r="AQ81" s="65"/>
      <c r="AR81" s="66"/>
      <c r="AS81" s="67"/>
      <c r="AT81" s="68"/>
      <c r="AU81" s="63"/>
      <c r="AV81" s="64"/>
      <c r="AW81" s="69"/>
      <c r="AX81" s="65"/>
      <c r="AY81" s="70"/>
      <c r="AZ81" s="71"/>
      <c r="BA81" s="72"/>
      <c r="BB81" s="73"/>
      <c r="BC81" s="64"/>
      <c r="BD81" s="69"/>
      <c r="BE81" s="65"/>
      <c r="BF81" s="66"/>
      <c r="BG81" s="71"/>
      <c r="BH81" s="72"/>
      <c r="BI81" s="74"/>
      <c r="BK81" s="5" t="str">
        <f t="shared" si="23"/>
        <v>0</v>
      </c>
      <c r="BM81" s="5"/>
    </row>
    <row r="82" ht="37.5" customHeight="1">
      <c r="A82" s="45"/>
      <c r="B82" s="46">
        <f>IFERROR(__xludf.DUMMYFUNCTION("""COMPUTED_VALUE"""),80.0)</f>
        <v>80</v>
      </c>
      <c r="C82" s="47" t="str">
        <f>IFERROR(__xludf.DUMMYFUNCTION("""COMPUTED_VALUE"""),"Gestión de la información y generación del conocimiento")</f>
        <v>Gestión de la información y generación del conocimiento</v>
      </c>
      <c r="D82" s="48" t="str">
        <f>IFERROR(__xludf.DUMMYFUNCTION("""COMPUTED_VALUE"""),"Sistemas")</f>
        <v>Sistemas</v>
      </c>
      <c r="E82" s="48" t="str">
        <f>IFERROR(__xludf.DUMMYFUNCTION("""COMPUTED_VALUE"""),"Fortalecimiento de la capacidad de gestión de la autoridad nacional de acuicultura y pesca - aunap nacional")</f>
        <v>Fortalecimiento de la capacidad de gestión de la autoridad nacional de acuicultura y pesca - aunap nacional</v>
      </c>
      <c r="F82" s="49">
        <f>IFERROR(__xludf.DUMMYFUNCTION("""COMPUTED_VALUE"""),2.018011000241E12)</f>
        <v>2018011000241</v>
      </c>
      <c r="G82" s="50" t="str">
        <f>IFERROR(__xludf.DUMMYFUNCTION("""COMPUTED_VALUE"""),"Fortalecimiento")</f>
        <v>Fortalecimiento</v>
      </c>
      <c r="H82" s="48" t="str">
        <f>IFERROR(__xludf.DUMMYFUNCTION("""COMPUTED_VALUE"""),"Fortalecer la Infraestructura Tecnológica de la entidad")</f>
        <v>Fortalecer la Infraestructura Tecnológica de la entidad</v>
      </c>
      <c r="I82" s="48" t="str">
        <f>IFERROR(__xludf.DUMMYFUNCTION("""COMPUTED_VALUE"""),"Servicios tecnológicos")</f>
        <v>Servicios tecnológicos</v>
      </c>
      <c r="J82"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2" s="51" t="str">
        <f>IFERROR(__xludf.DUMMYFUNCTION("""COMPUTED_VALUE"""),"Gestión del área")</f>
        <v>Gestión del área</v>
      </c>
      <c r="L82" s="51" t="str">
        <f>IFERROR(__xludf.DUMMYFUNCTION("""COMPUTED_VALUE"""),"Eficacia")</f>
        <v>Eficacia</v>
      </c>
      <c r="M82" s="51" t="str">
        <f>IFERROR(__xludf.DUMMYFUNCTION("""COMPUTED_VALUE"""),"Número")</f>
        <v>Número</v>
      </c>
      <c r="N82" s="52" t="str">
        <f>IFERROR(__xludf.DUMMYFUNCTION("""COMPUTED_VALUE"""),"Documentos técnicos actualizados")</f>
        <v>Documentos técnicos actualizados</v>
      </c>
      <c r="O82" s="53">
        <f>IFERROR(__xludf.DUMMYFUNCTION("""COMPUTED_VALUE"""),2.0)</f>
        <v>2</v>
      </c>
      <c r="P82" s="54">
        <f>IFERROR(__xludf.DUMMYFUNCTION("""COMPUTED_VALUE"""),2.0)</f>
        <v>2</v>
      </c>
      <c r="Q82" s="55" t="str">
        <f>IFERROR(__xludf.DUMMYFUNCTION("""COMPUTED_VALUE"""),"Conforme a los resultados de la socializacion y retroalimentacion de los planes de tecnologias de la AUNAP, se actualizara el plan estratégicos de seguridad de la información - PESI  y el plan de tratamiento de riesgos de seguridad y privacidad de la Info"&amp;"rmación")</f>
        <v>Conforme a los resultados de la socializacion y retroalimentacion de los planes de tecnologias de la AUNAP, se actualizara el plan estratégicos de seguridad de la información - PESI  y el plan de tratamiento de riesgos de seguridad y privacidad de la Información</v>
      </c>
      <c r="R82" s="14" t="str">
        <f>IFERROR(__xludf.DUMMYFUNCTION("""COMPUTED_VALUE"""),"Trimestral")</f>
        <v>Trimestral</v>
      </c>
      <c r="S82" s="54">
        <f>IFERROR(__xludf.DUMMYFUNCTION("""COMPUTED_VALUE"""),0.0)</f>
        <v>0</v>
      </c>
      <c r="T82" s="54">
        <f>IFERROR(__xludf.DUMMYFUNCTION("""COMPUTED_VALUE"""),0.0)</f>
        <v>0</v>
      </c>
      <c r="U82" s="54">
        <f>IFERROR(__xludf.DUMMYFUNCTION("""COMPUTED_VALUE"""),1.0)</f>
        <v>1</v>
      </c>
      <c r="V82" s="54">
        <f>IFERROR(__xludf.DUMMYFUNCTION("""COMPUTED_VALUE"""),1.0)</f>
        <v>1</v>
      </c>
      <c r="W82" s="56" t="str">
        <f>IFERROR(__xludf.DUMMYFUNCTION("""COMPUTED_VALUE"""),"Sistemas")</f>
        <v>Sistemas</v>
      </c>
      <c r="X82" s="57" t="str">
        <f>IFERROR(__xludf.DUMMYFUNCTION("""COMPUTED_VALUE"""),"Maria Angarita Peñaranda")</f>
        <v>Maria Angarita Peñaranda</v>
      </c>
      <c r="Y82" s="47" t="str">
        <f>IFERROR(__xludf.DUMMYFUNCTION("""COMPUTED_VALUE"""),"Jefe de Oficina")</f>
        <v>Jefe de Oficina</v>
      </c>
      <c r="Z82" s="57" t="str">
        <f>IFERROR(__xludf.DUMMYFUNCTION("""COMPUTED_VALUE"""),"maria.angarita@aunap.gov.co")</f>
        <v>maria.angarita@aunap.gov.co</v>
      </c>
      <c r="AA82" s="47" t="str">
        <f>IFERROR(__xludf.DUMMYFUNCTION("""COMPUTED_VALUE"""),"Humanos, fisicos, financieros y tecnologicos")</f>
        <v>Humanos, fisicos, financieros y tecnologicos</v>
      </c>
      <c r="AB82" s="47" t="str">
        <f>IFERROR(__xludf.DUMMYFUNCTION("""COMPUTED_VALUE"""),"Plan Estratégico de Tecnologías de la Información y las Comunicaciones -PETIT")</f>
        <v>Plan Estratégico de Tecnologías de la Información y las Comunicaciones -PETIT</v>
      </c>
      <c r="AC82" s="47" t="str">
        <f>IFERROR(__xludf.DUMMYFUNCTION("""COMPUTED_VALUE"""),"Llegar con actividades de pesca y acuicultura a todas las regiones")</f>
        <v>Llegar con actividades de pesca y acuicultura a todas las regiones</v>
      </c>
      <c r="AD82" s="47" t="str">
        <f>IFERROR(__xludf.DUMMYFUNCTION("""COMPUTED_VALUE"""),"Gestión del conocimiento")</f>
        <v>Gestión del conocimiento</v>
      </c>
      <c r="AE82" s="47" t="str">
        <f>IFERROR(__xludf.DUMMYFUNCTION("""COMPUTED_VALUE"""),"Seguridad Digital")</f>
        <v>Seguridad Digital</v>
      </c>
      <c r="AF82" s="47" t="str">
        <f>IFERROR(__xludf.DUMMYFUNCTION("""COMPUTED_VALUE"""),"9. Industria, innovación e infraestructura")</f>
        <v>9. Industria, innovación e infraestructura</v>
      </c>
      <c r="AG82" s="58">
        <f>IFERROR(__xludf.DUMMYFUNCTION("""COMPUTED_VALUE"""),0.0)</f>
        <v>0</v>
      </c>
      <c r="AH82" s="59" t="str">
        <f>IFERROR(__xludf.DUMMYFUNCTION("""COMPUTED_VALUE"""),"Para este trimestre no se reporta actividad para esta meta")</f>
        <v>Para este trimestre no se reporta actividad para esta meta</v>
      </c>
      <c r="AI82" s="59"/>
      <c r="AJ82" s="60">
        <f>IFERROR(__xludf.DUMMYFUNCTION("""COMPUTED_VALUE"""),44396.0)</f>
        <v>44396</v>
      </c>
      <c r="AK82" s="61" t="str">
        <f>IFERROR(IF((AL82+1)&lt;2,Alertas!$B$2&amp;TEXT(AL82,"0%")&amp;Alertas!$D$2, IF((AL82+1)=2,Alertas!$B$3,IF((AL82+1)&gt;2,Alertas!$B$4&amp;TEXT(AL82,"0%")&amp;Alertas!$D$4,AL82+1))),"Sin meta para el segundo trimestre")</f>
        <v>Sin meta para el segundo trimestre</v>
      </c>
      <c r="AL82" s="62" t="str">
        <f t="shared" si="2"/>
        <v>-</v>
      </c>
      <c r="AM82" s="61" t="str">
        <f t="shared" si="3"/>
        <v>Sin meta para el segundo trimestre.</v>
      </c>
      <c r="AN82" s="63"/>
      <c r="AO82" s="64"/>
      <c r="AP82" s="65"/>
      <c r="AQ82" s="65"/>
      <c r="AR82" s="66"/>
      <c r="AS82" s="67"/>
      <c r="AT82" s="68"/>
      <c r="AU82" s="63"/>
      <c r="AV82" s="64"/>
      <c r="AW82" s="69"/>
      <c r="AX82" s="65"/>
      <c r="AY82" s="70"/>
      <c r="AZ82" s="71"/>
      <c r="BA82" s="72"/>
      <c r="BB82" s="73"/>
      <c r="BC82" s="64"/>
      <c r="BD82" s="69"/>
      <c r="BE82" s="65"/>
      <c r="BF82" s="66"/>
      <c r="BG82" s="71"/>
      <c r="BH82" s="72"/>
      <c r="BI82" s="74"/>
      <c r="BK82" s="5" t="str">
        <f t="shared" si="23"/>
        <v>-</v>
      </c>
      <c r="BM82" s="5"/>
    </row>
    <row r="83" ht="37.5" customHeight="1">
      <c r="A83" s="45"/>
      <c r="B83" s="46">
        <f>IFERROR(__xludf.DUMMYFUNCTION("""COMPUTED_VALUE"""),81.0)</f>
        <v>81</v>
      </c>
      <c r="C83" s="47" t="str">
        <f>IFERROR(__xludf.DUMMYFUNCTION("""COMPUTED_VALUE"""),"Gestión de la información y generación del conocimiento")</f>
        <v>Gestión de la información y generación del conocimiento</v>
      </c>
      <c r="D83" s="48" t="str">
        <f>IFERROR(__xludf.DUMMYFUNCTION("""COMPUTED_VALUE"""),"Sistemas")</f>
        <v>Sistemas</v>
      </c>
      <c r="E83" s="48" t="str">
        <f>IFERROR(__xludf.DUMMYFUNCTION("""COMPUTED_VALUE"""),"Fortalecimiento de la capacidad de gestión de la autoridad nacional de acuicultura y pesca - aunap nacional")</f>
        <v>Fortalecimiento de la capacidad de gestión de la autoridad nacional de acuicultura y pesca - aunap nacional</v>
      </c>
      <c r="F83" s="49">
        <f>IFERROR(__xludf.DUMMYFUNCTION("""COMPUTED_VALUE"""),2.018011000241E12)</f>
        <v>2018011000241</v>
      </c>
      <c r="G83" s="50" t="str">
        <f>IFERROR(__xludf.DUMMYFUNCTION("""COMPUTED_VALUE"""),"Fortalecimiento")</f>
        <v>Fortalecimiento</v>
      </c>
      <c r="H83" s="48" t="str">
        <f>IFERROR(__xludf.DUMMYFUNCTION("""COMPUTED_VALUE"""),"Fortalecer la Infraestructura Tecnológica de la entidad")</f>
        <v>Fortalecer la Infraestructura Tecnológica de la entidad</v>
      </c>
      <c r="I83" s="48" t="str">
        <f>IFERROR(__xludf.DUMMYFUNCTION("""COMPUTED_VALUE"""),"Servicios tecnológicos")</f>
        <v>Servicios tecnológicos</v>
      </c>
      <c r="J83"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3" s="51" t="str">
        <f>IFERROR(__xludf.DUMMYFUNCTION("""COMPUTED_VALUE"""),"Gestión del área")</f>
        <v>Gestión del área</v>
      </c>
      <c r="L83" s="51" t="str">
        <f>IFERROR(__xludf.DUMMYFUNCTION("""COMPUTED_VALUE"""),"Eficacia")</f>
        <v>Eficacia</v>
      </c>
      <c r="M83" s="51" t="str">
        <f>IFERROR(__xludf.DUMMYFUNCTION("""COMPUTED_VALUE"""),"Número")</f>
        <v>Número</v>
      </c>
      <c r="N83" s="52" t="str">
        <f>IFERROR(__xludf.DUMMYFUNCTION("""COMPUTED_VALUE"""),"Formatos")</f>
        <v>Formatos</v>
      </c>
      <c r="O83" s="53">
        <f>IFERROR(__xludf.DUMMYFUNCTION("""COMPUTED_VALUE"""),2.0)</f>
        <v>2</v>
      </c>
      <c r="P83" s="54">
        <f>IFERROR(__xludf.DUMMYFUNCTION("""COMPUTED_VALUE"""),3.0)</f>
        <v>3</v>
      </c>
      <c r="Q83" s="55" t="str">
        <f>IFERROR(__xludf.DUMMYFUNCTION("""COMPUTED_VALUE"""),"Fortalecer el compromiso de confidencialidad para ser diligenciado por los contratistas, y crear formato de paz y salvo para contratistas y formato de acta de entrega para los funcionarios, con la finalidad de entregar la documentación trabajada durante e"&amp;"l vínculo con la entidad, y solicitar a la coordinación de gestión contractual, incluir esto como obligación general en los estudios previos de los contratistas, con el fin de dar cumplimiento con lo estipulado en el Plan Estratégico de Seguridad de la In"&amp;"formación.")</f>
        <v>Fortalecer el compromiso de confidencialidad para ser diligenciado por los contratistas, y crear formato de paz y salvo para contratistas y formato de acta de entrega para los funcionarios, con la finalidad de entregar la documentación trabajada durante el vínculo con la entidad, y solicitar a la coordinación de gestión contractual, incluir esto como obligación general en los estudios previos de los contratistas, con el fin de dar cumplimiento con lo estipulado en el Plan Estratégico de Seguridad de la Información.</v>
      </c>
      <c r="R83" s="14" t="str">
        <f>IFERROR(__xludf.DUMMYFUNCTION("""COMPUTED_VALUE"""),"Trimestral")</f>
        <v>Trimestral</v>
      </c>
      <c r="S83" s="54">
        <f>IFERROR(__xludf.DUMMYFUNCTION("""COMPUTED_VALUE"""),1.0)</f>
        <v>1</v>
      </c>
      <c r="T83" s="54">
        <f>IFERROR(__xludf.DUMMYFUNCTION("""COMPUTED_VALUE"""),0.0)</f>
        <v>0</v>
      </c>
      <c r="U83" s="54">
        <f>IFERROR(__xludf.DUMMYFUNCTION("""COMPUTED_VALUE"""),2.0)</f>
        <v>2</v>
      </c>
      <c r="V83" s="54">
        <f>IFERROR(__xludf.DUMMYFUNCTION("""COMPUTED_VALUE"""),0.0)</f>
        <v>0</v>
      </c>
      <c r="W83" s="56" t="str">
        <f>IFERROR(__xludf.DUMMYFUNCTION("""COMPUTED_VALUE"""),"Sistemas")</f>
        <v>Sistemas</v>
      </c>
      <c r="X83" s="57" t="str">
        <f>IFERROR(__xludf.DUMMYFUNCTION("""COMPUTED_VALUE"""),"Maria Angarita Peñaranda")</f>
        <v>Maria Angarita Peñaranda</v>
      </c>
      <c r="Y83" s="47" t="str">
        <f>IFERROR(__xludf.DUMMYFUNCTION("""COMPUTED_VALUE"""),"Jefe de Oficina")</f>
        <v>Jefe de Oficina</v>
      </c>
      <c r="Z83" s="57" t="str">
        <f>IFERROR(__xludf.DUMMYFUNCTION("""COMPUTED_VALUE"""),"maria.angarita@aunap.gov.co")</f>
        <v>maria.angarita@aunap.gov.co</v>
      </c>
      <c r="AA83" s="47" t="str">
        <f>IFERROR(__xludf.DUMMYFUNCTION("""COMPUTED_VALUE"""),"Humanos, fisicos, financieros y tecnologicos")</f>
        <v>Humanos, fisicos, financieros y tecnologicos</v>
      </c>
      <c r="AB83" s="47" t="str">
        <f>IFERROR(__xludf.DUMMYFUNCTION("""COMPUTED_VALUE"""),"Plan Estratégico de Tecnologías de la Información y las Comunicaciones -PETIT")</f>
        <v>Plan Estratégico de Tecnologías de la Información y las Comunicaciones -PETIT</v>
      </c>
      <c r="AC83" s="47" t="str">
        <f>IFERROR(__xludf.DUMMYFUNCTION("""COMPUTED_VALUE"""),"Llegar con actividades de pesca y acuicultura a todas las regiones")</f>
        <v>Llegar con actividades de pesca y acuicultura a todas las regiones</v>
      </c>
      <c r="AD83" s="47" t="str">
        <f>IFERROR(__xludf.DUMMYFUNCTION("""COMPUTED_VALUE"""),"Gestión del conocimiento")</f>
        <v>Gestión del conocimiento</v>
      </c>
      <c r="AE83" s="47" t="str">
        <f>IFERROR(__xludf.DUMMYFUNCTION("""COMPUTED_VALUE"""),"Seguridad Digital")</f>
        <v>Seguridad Digital</v>
      </c>
      <c r="AF83" s="47" t="str">
        <f>IFERROR(__xludf.DUMMYFUNCTION("""COMPUTED_VALUE"""),"9. Industria, innovación e infraestructura")</f>
        <v>9. Industria, innovación e infraestructura</v>
      </c>
      <c r="AG83" s="58">
        <f>IFERROR(__xludf.DUMMYFUNCTION("""COMPUTED_VALUE"""),0.0)</f>
        <v>0</v>
      </c>
      <c r="AH83" s="59" t="str">
        <f>IFERROR(__xludf.DUMMYFUNCTION("""COMPUTED_VALUE"""),"Para este trimestre no se reporta actividad para esta meta")</f>
        <v>Para este trimestre no se reporta actividad para esta meta</v>
      </c>
      <c r="AI83" s="59"/>
      <c r="AJ83" s="60">
        <f>IFERROR(__xludf.DUMMYFUNCTION("""COMPUTED_VALUE"""),44396.0)</f>
        <v>44396</v>
      </c>
      <c r="AK83" s="61" t="str">
        <f>IFERROR(IF((AL83+1)&lt;2,Alertas!$B$2&amp;TEXT(AL83,"0%")&amp;Alertas!$D$2, IF((AL83+1)=2,Alertas!$B$3,IF((AL83+1)&gt;2,Alertas!$B$4&amp;TEXT(AL83,"0%")&amp;Alertas!$D$4,AL83+1))),"Sin meta para el segundo trimestre")</f>
        <v>Sin meta para el segundo trimestre</v>
      </c>
      <c r="AL83" s="62" t="str">
        <f t="shared" si="2"/>
        <v>-</v>
      </c>
      <c r="AM83" s="61" t="str">
        <f t="shared" si="3"/>
        <v>Sin meta para el segundo trimestre.</v>
      </c>
      <c r="AN83" s="63"/>
      <c r="AO83" s="64"/>
      <c r="AP83" s="65"/>
      <c r="AQ83" s="65"/>
      <c r="AR83" s="66"/>
      <c r="AS83" s="67"/>
      <c r="AT83" s="68"/>
      <c r="AU83" s="63"/>
      <c r="AV83" s="64"/>
      <c r="AW83" s="69"/>
      <c r="AX83" s="65"/>
      <c r="AY83" s="70"/>
      <c r="AZ83" s="71"/>
      <c r="BA83" s="72"/>
      <c r="BB83" s="73"/>
      <c r="BC83" s="64"/>
      <c r="BD83" s="69"/>
      <c r="BE83" s="65"/>
      <c r="BF83" s="66"/>
      <c r="BG83" s="71"/>
      <c r="BH83" s="72"/>
      <c r="BI83" s="74"/>
      <c r="BK83" s="5" t="str">
        <f t="shared" si="23"/>
        <v>-</v>
      </c>
      <c r="BM83" s="5"/>
    </row>
    <row r="84" ht="37.5" customHeight="1">
      <c r="A84" s="45"/>
      <c r="B84" s="46">
        <f>IFERROR(__xludf.DUMMYFUNCTION("""COMPUTED_VALUE"""),82.0)</f>
        <v>82</v>
      </c>
      <c r="C84" s="47" t="str">
        <f>IFERROR(__xludf.DUMMYFUNCTION("""COMPUTED_VALUE"""),"Gestión del talento humano")</f>
        <v>Gestión del talento humano</v>
      </c>
      <c r="D84" s="48" t="str">
        <f>IFERROR(__xludf.DUMMYFUNCTION("""COMPUTED_VALUE"""),"Talento Humano")</f>
        <v>Talento Humano</v>
      </c>
      <c r="E84" s="48" t="str">
        <f>IFERROR(__xludf.DUMMYFUNCTION("""COMPUTED_VALUE"""),"Fortalecimiento de la capacidad de gestión de la autoridad nacional de acuicultura y pesca - aunap nacional")</f>
        <v>Fortalecimiento de la capacidad de gestión de la autoridad nacional de acuicultura y pesca - aunap nacional</v>
      </c>
      <c r="F84" s="49">
        <f>IFERROR(__xludf.DUMMYFUNCTION("""COMPUTED_VALUE"""),2.018011000241E12)</f>
        <v>2018011000241</v>
      </c>
      <c r="G84" s="50" t="str">
        <f>IFERROR(__xludf.DUMMYFUNCTION("""COMPUTED_VALUE"""),"Fortalecimiento")</f>
        <v>Fortalecimiento</v>
      </c>
      <c r="H84" s="48" t="str">
        <f>IFERROR(__xludf.DUMMYFUNCTION("""COMPUTED_VALUE"""),"Fortalecer los sistemas de gestión de la Entidad")</f>
        <v>Fortalecer los sistemas de gestión de la Entidad</v>
      </c>
      <c r="I84" s="48" t="str">
        <f>IFERROR(__xludf.DUMMYFUNCTION("""COMPUTED_VALUE"""),"Servicio de Implementación Sistemas de Gestión")</f>
        <v>Servicio de Implementación Sistemas de Gestión</v>
      </c>
      <c r="J84"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4" s="51" t="str">
        <f>IFERROR(__xludf.DUMMYFUNCTION("""COMPUTED_VALUE"""),"Gestión del área")</f>
        <v>Gestión del área</v>
      </c>
      <c r="L84" s="51" t="str">
        <f>IFERROR(__xludf.DUMMYFUNCTION("""COMPUTED_VALUE"""),"Eficacia")</f>
        <v>Eficacia</v>
      </c>
      <c r="M84" s="51" t="str">
        <f>IFERROR(__xludf.DUMMYFUNCTION("""COMPUTED_VALUE"""),"Porcentaje")</f>
        <v>Porcentaje</v>
      </c>
      <c r="N84" s="52" t="str">
        <f>IFERROR(__xludf.DUMMYFUNCTION("""COMPUTED_VALUE"""),"Numero de actividades desarrolladas Vs Numero de actividades propuestas en el plan de Bienestar e incentivos")</f>
        <v>Numero de actividades desarrolladas Vs Numero de actividades propuestas en el plan de Bienestar e incentivos</v>
      </c>
      <c r="O84" s="82"/>
      <c r="P84" s="54">
        <f>IFERROR(__xludf.DUMMYFUNCTION("""COMPUTED_VALUE"""),1.0)</f>
        <v>1</v>
      </c>
      <c r="Q84" s="55" t="str">
        <f>IFERROR(__xludf.DUMMYFUNCTION("""COMPUTED_VALUE"""),"Ejecutar las actividades propuestas en el plan de Bienestar e incentivos")</f>
        <v>Ejecutar las actividades propuestas en el plan de Bienestar e incentivos</v>
      </c>
      <c r="R84" s="14" t="str">
        <f>IFERROR(__xludf.DUMMYFUNCTION("""COMPUTED_VALUE"""),"Semestral")</f>
        <v>Semestral</v>
      </c>
      <c r="S84" s="54">
        <f>IFERROR(__xludf.DUMMYFUNCTION("""COMPUTED_VALUE"""),0.0)</f>
        <v>0</v>
      </c>
      <c r="T84" s="54">
        <f>IFERROR(__xludf.DUMMYFUNCTION("""COMPUTED_VALUE"""),0.5)</f>
        <v>0.5</v>
      </c>
      <c r="U84" s="54">
        <f>IFERROR(__xludf.DUMMYFUNCTION("""COMPUTED_VALUE"""),0.0)</f>
        <v>0</v>
      </c>
      <c r="V84" s="54">
        <f>IFERROR(__xludf.DUMMYFUNCTION("""COMPUTED_VALUE"""),0.5)</f>
        <v>0.5</v>
      </c>
      <c r="W84" s="56" t="str">
        <f>IFERROR(__xludf.DUMMYFUNCTION("""COMPUTED_VALUE"""),"Talento Humano")</f>
        <v>Talento Humano</v>
      </c>
      <c r="X84" s="57" t="str">
        <f>IFERROR(__xludf.DUMMYFUNCTION("""COMPUTED_VALUE"""),"Helmuth Bettin")</f>
        <v>Helmuth Bettin</v>
      </c>
      <c r="Y84" s="47" t="str">
        <f>IFERROR(__xludf.DUMMYFUNCTION("""COMPUTED_VALUE"""),"Coordinador del Area")</f>
        <v>Coordinador del Area</v>
      </c>
      <c r="Z84" s="57" t="str">
        <f>IFERROR(__xludf.DUMMYFUNCTION("""COMPUTED_VALUE"""),"helmuth.bettin@aunap.gov.co")</f>
        <v>helmuth.bettin@aunap.gov.co</v>
      </c>
      <c r="AA84" s="47" t="str">
        <f>IFERROR(__xludf.DUMMYFUNCTION("""COMPUTED_VALUE"""),"Humano, físico, financiero, tecnológico")</f>
        <v>Humano, físico, financiero, tecnológico</v>
      </c>
      <c r="AB84" s="47" t="str">
        <f>IFERROR(__xludf.DUMMYFUNCTION("""COMPUTED_VALUE"""),"Plan de Incentivos Institucionales")</f>
        <v>Plan de Incentivos Institucionales</v>
      </c>
      <c r="AC84" s="47" t="str">
        <f>IFERROR(__xludf.DUMMYFUNCTION("""COMPUTED_VALUE"""),"Llegar con actividades de pesca y acuicultura a todas las regiones")</f>
        <v>Llegar con actividades de pesca y acuicultura a todas las regiones</v>
      </c>
      <c r="AD84" s="47" t="str">
        <f>IFERROR(__xludf.DUMMYFUNCTION("""COMPUTED_VALUE"""),"Talento Humano")</f>
        <v>Talento Humano</v>
      </c>
      <c r="AE84" s="47" t="str">
        <f>IFERROR(__xludf.DUMMYFUNCTION("""COMPUTED_VALUE"""),"Talento Humano")</f>
        <v>Talento Humano</v>
      </c>
      <c r="AF84" s="47" t="str">
        <f>IFERROR(__xludf.DUMMYFUNCTION("""COMPUTED_VALUE"""),"16. Paz, justicia e instituciones sólidas")</f>
        <v>16. Paz, justicia e instituciones sólidas</v>
      </c>
      <c r="AG84" s="79">
        <f>IFERROR(__xludf.DUMMYFUNCTION("""COMPUTED_VALUE"""),0.5)</f>
        <v>0.5</v>
      </c>
      <c r="AH84" s="59" t="str">
        <f>IFERROR(__xludf.DUMMYFUNCTION("""COMPUTED_VALUE"""),"Se cumplieron con todas actividades establecidas en el cronograma del Plan de Binestar para el Segundo trimestre del año ")</f>
        <v>Se cumplieron con todas actividades establecidas en el cronograma del Plan de Binestar para el Segundo trimestre del año </v>
      </c>
      <c r="AI84" s="80" t="str">
        <f>IFERROR(__xludf.DUMMYFUNCTION("""COMPUTED_VALUE"""),"https://drive.google.com/drive/u/1/folders/1R9b7_7SE4iA0CimBa2qexD6XSAofr_wl")</f>
        <v>https://drive.google.com/drive/u/1/folders/1R9b7_7SE4iA0CimBa2qexD6XSAofr_wl</v>
      </c>
      <c r="AJ84" s="60">
        <f>IFERROR(__xludf.DUMMYFUNCTION("""COMPUTED_VALUE"""),44396.0)</f>
        <v>44396</v>
      </c>
      <c r="AK84" s="61" t="str">
        <f>IFERROR(IF((AL84+1)&lt;2,Alertas!$B$2&amp;TEXT(AL84,"0%")&amp;Alertas!$D$2, IF((AL84+1)=2,Alertas!$B$3,IF((AL84+1)&gt;2,Alertas!$B$4&amp;TEXT(AL84,"0%")&amp;Alertas!$D$4,AL84+1))),"Sin meta para el segundo trimestre")</f>
        <v>La ejecución de la meta registrada se encuentra acorde a la meta programada en la formulación del plan de acción para el segundo trimestre</v>
      </c>
      <c r="AL84" s="62">
        <f t="shared" si="2"/>
        <v>1</v>
      </c>
      <c r="AM84" s="61" t="str">
        <f t="shared" si="3"/>
        <v>La ejecución de la meta registrada se encuentra acorde a la meta programada en la formulación del plan de acción para el segundo trimestre.</v>
      </c>
      <c r="AN84" s="63"/>
      <c r="AO84" s="64"/>
      <c r="AP84" s="65"/>
      <c r="AQ84" s="65"/>
      <c r="AR84" s="66"/>
      <c r="AS84" s="67"/>
      <c r="AT84" s="68"/>
      <c r="AU84" s="63"/>
      <c r="AV84" s="64"/>
      <c r="AW84" s="69"/>
      <c r="AX84" s="65"/>
      <c r="AY84" s="70"/>
      <c r="AZ84" s="71"/>
      <c r="BA84" s="72"/>
      <c r="BB84" s="73"/>
      <c r="BC84" s="64"/>
      <c r="BD84" s="69"/>
      <c r="BE84" s="65"/>
      <c r="BF84" s="66"/>
      <c r="BG84" s="71"/>
      <c r="BH84" s="72"/>
      <c r="BI84" s="74"/>
      <c r="BK84" s="5" t="str">
        <f t="shared" si="23"/>
        <v>0</v>
      </c>
      <c r="BM84" s="5"/>
    </row>
    <row r="85" ht="37.5" customHeight="1">
      <c r="A85" s="45"/>
      <c r="B85" s="46">
        <f>IFERROR(__xludf.DUMMYFUNCTION("""COMPUTED_VALUE"""),83.0)</f>
        <v>83</v>
      </c>
      <c r="C85" s="47" t="str">
        <f>IFERROR(__xludf.DUMMYFUNCTION("""COMPUTED_VALUE"""),"Gestión del talento humano")</f>
        <v>Gestión del talento humano</v>
      </c>
      <c r="D85" s="48" t="str">
        <f>IFERROR(__xludf.DUMMYFUNCTION("""COMPUTED_VALUE"""),"Talento Humano")</f>
        <v>Talento Humano</v>
      </c>
      <c r="E85" s="48" t="str">
        <f>IFERROR(__xludf.DUMMYFUNCTION("""COMPUTED_VALUE"""),"Fortalecimiento de la capacidad de gestión de la autoridad nacional de acuicultura y pesca - aunap nacional")</f>
        <v>Fortalecimiento de la capacidad de gestión de la autoridad nacional de acuicultura y pesca - aunap nacional</v>
      </c>
      <c r="F85" s="49">
        <f>IFERROR(__xludf.DUMMYFUNCTION("""COMPUTED_VALUE"""),2.018011000241E12)</f>
        <v>2018011000241</v>
      </c>
      <c r="G85" s="50" t="str">
        <f>IFERROR(__xludf.DUMMYFUNCTION("""COMPUTED_VALUE"""),"Fortalecimiento")</f>
        <v>Fortalecimiento</v>
      </c>
      <c r="H85" s="48" t="str">
        <f>IFERROR(__xludf.DUMMYFUNCTION("""COMPUTED_VALUE"""),"Fortalecer los sistemas de gestión de la Entidad")</f>
        <v>Fortalecer los sistemas de gestión de la Entidad</v>
      </c>
      <c r="I85" s="48" t="str">
        <f>IFERROR(__xludf.DUMMYFUNCTION("""COMPUTED_VALUE"""),"Servicio de Implementación Sistemas de Gestión")</f>
        <v>Servicio de Implementación Sistemas de Gestión</v>
      </c>
      <c r="J85"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5" s="51" t="str">
        <f>IFERROR(__xludf.DUMMYFUNCTION("""COMPUTED_VALUE"""),"Gestión del área")</f>
        <v>Gestión del área</v>
      </c>
      <c r="L85" s="51" t="str">
        <f>IFERROR(__xludf.DUMMYFUNCTION("""COMPUTED_VALUE"""),"Eficacia")</f>
        <v>Eficacia</v>
      </c>
      <c r="M85" s="51" t="str">
        <f>IFERROR(__xludf.DUMMYFUNCTION("""COMPUTED_VALUE"""),"Porcentaje")</f>
        <v>Porcentaje</v>
      </c>
      <c r="N85" s="52" t="str">
        <f>IFERROR(__xludf.DUMMYFUNCTION("""COMPUTED_VALUE"""),"Numero de actividades realizadas Vs Numero de actividades establecidas en el Plan de Seguridad y Salud en el Trabajo PTASST")</f>
        <v>Numero de actividades realizadas Vs Numero de actividades establecidas en el Plan de Seguridad y Salud en el Trabajo PTASST</v>
      </c>
      <c r="O85" s="53"/>
      <c r="P85" s="54">
        <f>IFERROR(__xludf.DUMMYFUNCTION("""COMPUTED_VALUE"""),1.0)</f>
        <v>1</v>
      </c>
      <c r="Q85" s="55" t="str">
        <f>IFERROR(__xludf.DUMMYFUNCTION("""COMPUTED_VALUE"""),"Ejecutar las actividades establecidas el Plan de Seguridad y Salud en el Trabajo PTASST")</f>
        <v>Ejecutar las actividades establecidas el Plan de Seguridad y Salud en el Trabajo PTASST</v>
      </c>
      <c r="R85" s="14" t="str">
        <f>IFERROR(__xludf.DUMMYFUNCTION("""COMPUTED_VALUE"""),"Anual")</f>
        <v>Anual</v>
      </c>
      <c r="S85" s="54">
        <f>IFERROR(__xludf.DUMMYFUNCTION("""COMPUTED_VALUE"""),0.0)</f>
        <v>0</v>
      </c>
      <c r="T85" s="54">
        <f>IFERROR(__xludf.DUMMYFUNCTION("""COMPUTED_VALUE"""),0.0)</f>
        <v>0</v>
      </c>
      <c r="U85" s="54">
        <f>IFERROR(__xludf.DUMMYFUNCTION("""COMPUTED_VALUE"""),0.0)</f>
        <v>0</v>
      </c>
      <c r="V85" s="54">
        <f>IFERROR(__xludf.DUMMYFUNCTION("""COMPUTED_VALUE"""),1.0)</f>
        <v>1</v>
      </c>
      <c r="W85" s="56" t="str">
        <f>IFERROR(__xludf.DUMMYFUNCTION("""COMPUTED_VALUE"""),"Talento Humano")</f>
        <v>Talento Humano</v>
      </c>
      <c r="X85" s="57" t="str">
        <f>IFERROR(__xludf.DUMMYFUNCTION("""COMPUTED_VALUE"""),"Helmuth Bettin")</f>
        <v>Helmuth Bettin</v>
      </c>
      <c r="Y85" s="47" t="str">
        <f>IFERROR(__xludf.DUMMYFUNCTION("""COMPUTED_VALUE"""),"Coordinador del Area")</f>
        <v>Coordinador del Area</v>
      </c>
      <c r="Z85" s="57" t="str">
        <f>IFERROR(__xludf.DUMMYFUNCTION("""COMPUTED_VALUE"""),"helmuth.bettin@aunap.gov.co")</f>
        <v>helmuth.bettin@aunap.gov.co</v>
      </c>
      <c r="AA85" s="47" t="str">
        <f>IFERROR(__xludf.DUMMYFUNCTION("""COMPUTED_VALUE"""),"Humano, físico, financiero, tecnológico")</f>
        <v>Humano, físico, financiero, tecnológico</v>
      </c>
      <c r="AB85" s="47" t="str">
        <f>IFERROR(__xludf.DUMMYFUNCTION("""COMPUTED_VALUE"""),"Plan de Trabajo Anual en Seguridad y Salud en el Trabajo PTASST")</f>
        <v>Plan de Trabajo Anual en Seguridad y Salud en el Trabajo PTASST</v>
      </c>
      <c r="AC85" s="47" t="str">
        <f>IFERROR(__xludf.DUMMYFUNCTION("""COMPUTED_VALUE"""),"Llegar con actividades de pesca y acuicultura a todas las regiones")</f>
        <v>Llegar con actividades de pesca y acuicultura a todas las regiones</v>
      </c>
      <c r="AD85" s="47" t="str">
        <f>IFERROR(__xludf.DUMMYFUNCTION("""COMPUTED_VALUE"""),"Talento Humano")</f>
        <v>Talento Humano</v>
      </c>
      <c r="AE85" s="47" t="str">
        <f>IFERROR(__xludf.DUMMYFUNCTION("""COMPUTED_VALUE"""),"Talento Humano")</f>
        <v>Talento Humano</v>
      </c>
      <c r="AF85" s="47" t="str">
        <f>IFERROR(__xludf.DUMMYFUNCTION("""COMPUTED_VALUE"""),"16. Paz, justicia e instituciones sólidas")</f>
        <v>16. Paz, justicia e instituciones sólidas</v>
      </c>
      <c r="AG85" s="79">
        <f>IFERROR(__xludf.DUMMYFUNCTION("""COMPUTED_VALUE"""),0.0)</f>
        <v>0</v>
      </c>
      <c r="AH85" s="59" t="str">
        <f>IFERROR(__xludf.DUMMYFUNCTION("""COMPUTED_VALUE"""),"Se estan adelantando la ejecución de las actividades establecidas en el cronograma del Plan Anual en Seguridad y Salud en el Trabajo garantizando la ejecución del plan total al finalizar la vigencia 2021")</f>
        <v>Se estan adelantando la ejecución de las actividades establecidas en el cronograma del Plan Anual en Seguridad y Salud en el Trabajo garantizando la ejecución del plan total al finalizar la vigencia 2021</v>
      </c>
      <c r="AI85" s="81" t="str">
        <f>IFERROR(__xludf.DUMMYFUNCTION("""COMPUTED_VALUE"""),"https://drive.google.com/drive/u/1/folders/1s3FB80LqvI8SPwr9S_0BieGYn5TwHs9q")</f>
        <v>https://drive.google.com/drive/u/1/folders/1s3FB80LqvI8SPwr9S_0BieGYn5TwHs9q</v>
      </c>
      <c r="AJ85" s="60">
        <f>IFERROR(__xludf.DUMMYFUNCTION("""COMPUTED_VALUE"""),44396.0)</f>
        <v>44396</v>
      </c>
      <c r="AK85" s="61" t="str">
        <f>IFERROR(IF((AL85+1)&lt;2,Alertas!$B$2&amp;TEXT(AL85,"0%")&amp;Alertas!$D$2, IF((AL85+1)=2,Alertas!$B$3,IF((AL85+1)&gt;2,Alertas!$B$4&amp;TEXT(AL85,"0%")&amp;Alertas!$D$4,AL85+1))),"Sin meta para el segundo trimestre")</f>
        <v>Sin meta para el segundo trimestre</v>
      </c>
      <c r="AL85" s="62" t="str">
        <f t="shared" si="2"/>
        <v>-</v>
      </c>
      <c r="AM85" s="61" t="str">
        <f t="shared" si="3"/>
        <v>Sin meta para el segundo trimestre.</v>
      </c>
      <c r="AN85" s="63"/>
      <c r="AO85" s="64"/>
      <c r="AP85" s="65"/>
      <c r="AQ85" s="65"/>
      <c r="AR85" s="66"/>
      <c r="AS85" s="67"/>
      <c r="AT85" s="68"/>
      <c r="AU85" s="63"/>
      <c r="AV85" s="64"/>
      <c r="AW85" s="69"/>
      <c r="AX85" s="65"/>
      <c r="AY85" s="70"/>
      <c r="AZ85" s="71"/>
      <c r="BA85" s="72"/>
      <c r="BB85" s="73"/>
      <c r="BC85" s="64"/>
      <c r="BD85" s="69"/>
      <c r="BE85" s="65"/>
      <c r="BF85" s="66"/>
      <c r="BG85" s="71"/>
      <c r="BH85" s="72"/>
      <c r="BI85" s="74"/>
      <c r="BK85" s="5" t="str">
        <f t="shared" si="23"/>
        <v>-</v>
      </c>
      <c r="BM85" s="5"/>
    </row>
    <row r="86" ht="37.5" customHeight="1">
      <c r="A86" s="45"/>
      <c r="B86" s="46">
        <f>IFERROR(__xludf.DUMMYFUNCTION("""COMPUTED_VALUE"""),84.0)</f>
        <v>84</v>
      </c>
      <c r="C86" s="47" t="str">
        <f>IFERROR(__xludf.DUMMYFUNCTION("""COMPUTED_VALUE"""),"Gestión del talento humano")</f>
        <v>Gestión del talento humano</v>
      </c>
      <c r="D86" s="48" t="str">
        <f>IFERROR(__xludf.DUMMYFUNCTION("""COMPUTED_VALUE"""),"Talento Humano")</f>
        <v>Talento Humano</v>
      </c>
      <c r="E86" s="48" t="str">
        <f>IFERROR(__xludf.DUMMYFUNCTION("""COMPUTED_VALUE"""),"Fortalecimiento de la capacidad de gestión de la autoridad nacional de acuicultura y pesca - aunap nacional")</f>
        <v>Fortalecimiento de la capacidad de gestión de la autoridad nacional de acuicultura y pesca - aunap nacional</v>
      </c>
      <c r="F86" s="49">
        <f>IFERROR(__xludf.DUMMYFUNCTION("""COMPUTED_VALUE"""),2.018011000241E12)</f>
        <v>2018011000241</v>
      </c>
      <c r="G86" s="50" t="str">
        <f>IFERROR(__xludf.DUMMYFUNCTION("""COMPUTED_VALUE"""),"Fortalecimiento")</f>
        <v>Fortalecimiento</v>
      </c>
      <c r="H86" s="48" t="str">
        <f>IFERROR(__xludf.DUMMYFUNCTION("""COMPUTED_VALUE"""),"Fortalecer los sistemas de gestión de la Entidad")</f>
        <v>Fortalecer los sistemas de gestión de la Entidad</v>
      </c>
      <c r="I86" s="48" t="str">
        <f>IFERROR(__xludf.DUMMYFUNCTION("""COMPUTED_VALUE"""),"Servicio de Educación Informal para la Gestión Administrativa")</f>
        <v>Servicio de Educación Informal para la Gestión Administrativa</v>
      </c>
      <c r="J86" s="48" t="str">
        <f>IFERROR(__xludf.DUMMYFUNCTION("""COMPUTED_VALUE"""),"Capacitar a los servidores públicos, en los procesos de gestión institucional de la entidad")</f>
        <v>Capacitar a los servidores públicos, en los procesos de gestión institucional de la entidad</v>
      </c>
      <c r="K86" s="51" t="str">
        <f>IFERROR(__xludf.DUMMYFUNCTION("""COMPUTED_VALUE"""),"Gestión del área")</f>
        <v>Gestión del área</v>
      </c>
      <c r="L86" s="51" t="str">
        <f>IFERROR(__xludf.DUMMYFUNCTION("""COMPUTED_VALUE"""),"Eficacia")</f>
        <v>Eficacia</v>
      </c>
      <c r="M86" s="51" t="str">
        <f>IFERROR(__xludf.DUMMYFUNCTION("""COMPUTED_VALUE"""),"Porcentaje")</f>
        <v>Porcentaje</v>
      </c>
      <c r="N86" s="52" t="str">
        <f>IFERROR(__xludf.DUMMYFUNCTION("""COMPUTED_VALUE"""),"Numero de capacitaciones realizadas Vs Numero de capacitaciones programadas en el PNFC")</f>
        <v>Numero de capacitaciones realizadas Vs Numero de capacitaciones programadas en el PNFC</v>
      </c>
      <c r="O86" s="53"/>
      <c r="P86" s="77">
        <f>IFERROR(__xludf.DUMMYFUNCTION("""COMPUTED_VALUE"""),1.0)</f>
        <v>1</v>
      </c>
      <c r="Q86" s="78" t="str">
        <f>IFERROR(__xludf.DUMMYFUNCTION("""COMPUTED_VALUE"""),"Ejecutar las capacitaciones programadas en el Plan Nacional de Formación Capacitación")</f>
        <v>Ejecutar las capacitaciones programadas en el Plan Nacional de Formación Capacitación</v>
      </c>
      <c r="R86" s="78" t="str">
        <f>IFERROR(__xludf.DUMMYFUNCTION("""COMPUTED_VALUE"""),"Anual")</f>
        <v>Anual</v>
      </c>
      <c r="S86" s="77">
        <f>IFERROR(__xludf.DUMMYFUNCTION("""COMPUTED_VALUE"""),0.0)</f>
        <v>0</v>
      </c>
      <c r="T86" s="77">
        <f>IFERROR(__xludf.DUMMYFUNCTION("""COMPUTED_VALUE"""),0.0)</f>
        <v>0</v>
      </c>
      <c r="U86" s="77">
        <f>IFERROR(__xludf.DUMMYFUNCTION("""COMPUTED_VALUE"""),0.0)</f>
        <v>0</v>
      </c>
      <c r="V86" s="77">
        <f>IFERROR(__xludf.DUMMYFUNCTION("""COMPUTED_VALUE"""),1.0)</f>
        <v>1</v>
      </c>
      <c r="W86" s="56" t="str">
        <f>IFERROR(__xludf.DUMMYFUNCTION("""COMPUTED_VALUE"""),"Talento Humano")</f>
        <v>Talento Humano</v>
      </c>
      <c r="X86" s="57" t="str">
        <f>IFERROR(__xludf.DUMMYFUNCTION("""COMPUTED_VALUE"""),"Helmuth Bettin")</f>
        <v>Helmuth Bettin</v>
      </c>
      <c r="Y86" s="47" t="str">
        <f>IFERROR(__xludf.DUMMYFUNCTION("""COMPUTED_VALUE"""),"Coordinador del Area")</f>
        <v>Coordinador del Area</v>
      </c>
      <c r="Z86" s="57" t="str">
        <f>IFERROR(__xludf.DUMMYFUNCTION("""COMPUTED_VALUE"""),"helmuth.bettin@aunap.gov.co")</f>
        <v>helmuth.bettin@aunap.gov.co</v>
      </c>
      <c r="AA86" s="47" t="str">
        <f>IFERROR(__xludf.DUMMYFUNCTION("""COMPUTED_VALUE"""),"Humano, físico, financiero, tecnológico")</f>
        <v>Humano, físico, financiero, tecnológico</v>
      </c>
      <c r="AB86" s="47" t="str">
        <f>IFERROR(__xludf.DUMMYFUNCTION("""COMPUTED_VALUE"""),"Plan Institucional de Capacitación")</f>
        <v>Plan Institucional de Capacitación</v>
      </c>
      <c r="AC86" s="47" t="str">
        <f>IFERROR(__xludf.DUMMYFUNCTION("""COMPUTED_VALUE"""),"Llegar con actividades de pesca y acuicultura a todas las regiones")</f>
        <v>Llegar con actividades de pesca y acuicultura a todas las regiones</v>
      </c>
      <c r="AD86" s="47" t="str">
        <f>IFERROR(__xludf.DUMMYFUNCTION("""COMPUTED_VALUE"""),"Talento Humano")</f>
        <v>Talento Humano</v>
      </c>
      <c r="AE86" s="47" t="str">
        <f>IFERROR(__xludf.DUMMYFUNCTION("""COMPUTED_VALUE"""),"Talento Humano")</f>
        <v>Talento Humano</v>
      </c>
      <c r="AF86" s="47" t="str">
        <f>IFERROR(__xludf.DUMMYFUNCTION("""COMPUTED_VALUE"""),"16. Paz, justicia e instituciones sólidas")</f>
        <v>16. Paz, justicia e instituciones sólidas</v>
      </c>
      <c r="AG86" s="79">
        <f>IFERROR(__xludf.DUMMYFUNCTION("""COMPUTED_VALUE"""),0.0)</f>
        <v>0</v>
      </c>
      <c r="AH86" s="59" t="str">
        <f>IFERROR(__xludf.DUMMYFUNCTION("""COMPUTED_VALUE"""),"Se estan adelantando las actividades establecidas en el cronograma del  Plan Institucional de Capacitación de acuerdo con la medición anual planteada")</f>
        <v>Se estan adelantando las actividades establecidas en el cronograma del  Plan Institucional de Capacitación de acuerdo con la medición anual planteada</v>
      </c>
      <c r="AI86" s="81" t="str">
        <f>IFERROR(__xludf.DUMMYFUNCTION("""COMPUTED_VALUE"""),"https://drive.google.com/drive/u/1/folders/1YiqM_h7N_dbsy6gEfFMdFil7EWI2gKbW")</f>
        <v>https://drive.google.com/drive/u/1/folders/1YiqM_h7N_dbsy6gEfFMdFil7EWI2gKbW</v>
      </c>
      <c r="AJ86" s="60">
        <f>IFERROR(__xludf.DUMMYFUNCTION("""COMPUTED_VALUE"""),44396.0)</f>
        <v>44396</v>
      </c>
      <c r="AK86" s="61" t="str">
        <f>IFERROR(IF((AL86+1)&lt;2,Alertas!$B$2&amp;TEXT(AL86,"0%")&amp;Alertas!$D$2, IF((AL86+1)=2,Alertas!$B$3,IF((AL86+1)&gt;2,Alertas!$B$4&amp;TEXT(AL86,"0%")&amp;Alertas!$D$4,AL86+1))),"Sin meta para el segundo trimestre")</f>
        <v>Sin meta para el segundo trimestre</v>
      </c>
      <c r="AL86" s="62" t="str">
        <f t="shared" si="2"/>
        <v>-</v>
      </c>
      <c r="AM86" s="61" t="str">
        <f t="shared" si="3"/>
        <v>Sin meta para el segundo trimestre.</v>
      </c>
      <c r="AN86" s="63"/>
      <c r="AO86" s="64"/>
      <c r="AP86" s="65"/>
      <c r="AQ86" s="65"/>
      <c r="AR86" s="66"/>
      <c r="AS86" s="67"/>
      <c r="AT86" s="68"/>
      <c r="AU86" s="63"/>
      <c r="AV86" s="64"/>
      <c r="AW86" s="69"/>
      <c r="AX86" s="65"/>
      <c r="AY86" s="70"/>
      <c r="AZ86" s="71"/>
      <c r="BA86" s="72"/>
      <c r="BB86" s="73"/>
      <c r="BC86" s="64"/>
      <c r="BD86" s="69"/>
      <c r="BE86" s="65"/>
      <c r="BF86" s="66"/>
      <c r="BG86" s="71"/>
      <c r="BH86" s="72"/>
      <c r="BI86" s="74"/>
      <c r="BK86" s="5" t="str">
        <f t="shared" si="23"/>
        <v>-</v>
      </c>
      <c r="BM86" s="5"/>
    </row>
    <row r="87" ht="37.5" customHeight="1">
      <c r="A87" s="45"/>
      <c r="B87" s="46">
        <f>IFERROR(__xludf.DUMMYFUNCTION("""COMPUTED_VALUE"""),85.0)</f>
        <v>85</v>
      </c>
      <c r="C87" s="47" t="str">
        <f>IFERROR(__xludf.DUMMYFUNCTION("""COMPUTED_VALUE"""),"Gestión del talento humano")</f>
        <v>Gestión del talento humano</v>
      </c>
      <c r="D87" s="48" t="str">
        <f>IFERROR(__xludf.DUMMYFUNCTION("""COMPUTED_VALUE"""),"Talento Humano")</f>
        <v>Talento Humano</v>
      </c>
      <c r="E87" s="48" t="str">
        <f>IFERROR(__xludf.DUMMYFUNCTION("""COMPUTED_VALUE"""),"Fortalecimiento de la capacidad de gestión de la autoridad nacional de acuicultura y pesca - aunap nacional")</f>
        <v>Fortalecimiento de la capacidad de gestión de la autoridad nacional de acuicultura y pesca - aunap nacional</v>
      </c>
      <c r="F87" s="49">
        <f>IFERROR(__xludf.DUMMYFUNCTION("""COMPUTED_VALUE"""),2.018011000241E12)</f>
        <v>2018011000241</v>
      </c>
      <c r="G87" s="50" t="str">
        <f>IFERROR(__xludf.DUMMYFUNCTION("""COMPUTED_VALUE"""),"Fortalecimiento")</f>
        <v>Fortalecimiento</v>
      </c>
      <c r="H87" s="48" t="str">
        <f>IFERROR(__xludf.DUMMYFUNCTION("""COMPUTED_VALUE"""),"Fortalecer los sistemas de gestión de la Entidad")</f>
        <v>Fortalecer los sistemas de gestión de la Entidad</v>
      </c>
      <c r="I87" s="48" t="str">
        <f>IFERROR(__xludf.DUMMYFUNCTION("""COMPUTED_VALUE"""),"Servicio de Implementación Sistemas de Gestión")</f>
        <v>Servicio de Implementación Sistemas de Gestión</v>
      </c>
      <c r="J87"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7" s="51" t="str">
        <f>IFERROR(__xludf.DUMMYFUNCTION("""COMPUTED_VALUE"""),"Gestión del área")</f>
        <v>Gestión del área</v>
      </c>
      <c r="L87" s="51" t="str">
        <f>IFERROR(__xludf.DUMMYFUNCTION("""COMPUTED_VALUE"""),"Eficacia")</f>
        <v>Eficacia</v>
      </c>
      <c r="M87" s="51" t="str">
        <f>IFERROR(__xludf.DUMMYFUNCTION("""COMPUTED_VALUE"""),"Porcentaje")</f>
        <v>Porcentaje</v>
      </c>
      <c r="N87" s="52" t="str">
        <f>IFERROR(__xludf.DUMMYFUNCTION("""COMPUTED_VALUE"""),"Numero de actividades  realizadas Vs Numero de actividades programadas")</f>
        <v>Numero de actividades  realizadas Vs Numero de actividades programadas</v>
      </c>
      <c r="O87" s="53"/>
      <c r="P87" s="54">
        <f>IFERROR(__xludf.DUMMYFUNCTION("""COMPUTED_VALUE"""),1.0)</f>
        <v>1</v>
      </c>
      <c r="Q87" s="55" t="str">
        <f>IFERROR(__xludf.DUMMYFUNCTION("""COMPUTED_VALUE"""),"Cumplir con el 100% de las actividades propuestas en el Procedimiento de Vinculacion de Vacantes en cada uno de los nombramientos.")</f>
        <v>Cumplir con el 100% de las actividades propuestas en el Procedimiento de Vinculacion de Vacantes en cada uno de los nombramientos.</v>
      </c>
      <c r="R87" s="14" t="str">
        <f>IFERROR(__xludf.DUMMYFUNCTION("""COMPUTED_VALUE"""),"Trimestral")</f>
        <v>Trimestral</v>
      </c>
      <c r="S87" s="54">
        <f>IFERROR(__xludf.DUMMYFUNCTION("""COMPUTED_VALUE"""),0.25)</f>
        <v>0.25</v>
      </c>
      <c r="T87" s="54">
        <f>IFERROR(__xludf.DUMMYFUNCTION("""COMPUTED_VALUE"""),0.25)</f>
        <v>0.25</v>
      </c>
      <c r="U87" s="54">
        <f>IFERROR(__xludf.DUMMYFUNCTION("""COMPUTED_VALUE"""),0.25)</f>
        <v>0.25</v>
      </c>
      <c r="V87" s="54">
        <f>IFERROR(__xludf.DUMMYFUNCTION("""COMPUTED_VALUE"""),0.25)</f>
        <v>0.25</v>
      </c>
      <c r="W87" s="56" t="str">
        <f>IFERROR(__xludf.DUMMYFUNCTION("""COMPUTED_VALUE"""),"Talento Humano")</f>
        <v>Talento Humano</v>
      </c>
      <c r="X87" s="57" t="str">
        <f>IFERROR(__xludf.DUMMYFUNCTION("""COMPUTED_VALUE"""),"Helmuth Bettin")</f>
        <v>Helmuth Bettin</v>
      </c>
      <c r="Y87" s="47" t="str">
        <f>IFERROR(__xludf.DUMMYFUNCTION("""COMPUTED_VALUE"""),"Coordinador del Area")</f>
        <v>Coordinador del Area</v>
      </c>
      <c r="Z87" s="57" t="str">
        <f>IFERROR(__xludf.DUMMYFUNCTION("""COMPUTED_VALUE"""),"helmuth.bettin@aunap.gov.co")</f>
        <v>helmuth.bettin@aunap.gov.co</v>
      </c>
      <c r="AA87" s="47" t="str">
        <f>IFERROR(__xludf.DUMMYFUNCTION("""COMPUTED_VALUE"""),"Humano, físico, financiero, tecnológico")</f>
        <v>Humano, físico, financiero, tecnológico</v>
      </c>
      <c r="AB87" s="47" t="str">
        <f>IFERROR(__xludf.DUMMYFUNCTION("""COMPUTED_VALUE"""),"Plan Anual de Vacantes")</f>
        <v>Plan Anual de Vacantes</v>
      </c>
      <c r="AC87" s="47" t="str">
        <f>IFERROR(__xludf.DUMMYFUNCTION("""COMPUTED_VALUE"""),"Llegar con actividades de pesca y acuicultura a todas las regiones")</f>
        <v>Llegar con actividades de pesca y acuicultura a todas las regiones</v>
      </c>
      <c r="AD87" s="47" t="str">
        <f>IFERROR(__xludf.DUMMYFUNCTION("""COMPUTED_VALUE"""),"Talento Humano")</f>
        <v>Talento Humano</v>
      </c>
      <c r="AE87" s="47" t="str">
        <f>IFERROR(__xludf.DUMMYFUNCTION("""COMPUTED_VALUE"""),"Talento Humano")</f>
        <v>Talento Humano</v>
      </c>
      <c r="AF87" s="47" t="str">
        <f>IFERROR(__xludf.DUMMYFUNCTION("""COMPUTED_VALUE"""),"16. Paz, justicia e instituciones sólidas")</f>
        <v>16. Paz, justicia e instituciones sólidas</v>
      </c>
      <c r="AG87" s="79">
        <f>IFERROR(__xludf.DUMMYFUNCTION("""COMPUTED_VALUE"""),1.0)</f>
        <v>1</v>
      </c>
      <c r="AH87" s="59" t="str">
        <f>IFERROR(__xludf.DUMMYFUNCTION("""COMPUTED_VALUE"""),"Se cumplieron con todas actividades establecidas en el cronograma del  Plan Anual de Vacantes para el Segundo trimestre del año.")</f>
        <v>Se cumplieron con todas actividades establecidas en el cronograma del  Plan Anual de Vacantes para el Segundo trimestre del año.</v>
      </c>
      <c r="AI87" s="81" t="str">
        <f>IFERROR(__xludf.DUMMYFUNCTION("""COMPUTED_VALUE"""),"https://drive.google.com/drive/u/0/folders/19n-BfvodAqqRDwR-VKQ-mDrZZuO43Jp9")</f>
        <v>https://drive.google.com/drive/u/0/folders/19n-BfvodAqqRDwR-VKQ-mDrZZuO43Jp9</v>
      </c>
      <c r="AJ87" s="60">
        <f>IFERROR(__xludf.DUMMYFUNCTION("""COMPUTED_VALUE"""),44396.0)</f>
        <v>44396</v>
      </c>
      <c r="AK87" s="61" t="str">
        <f>IFERROR(IF((AL87+1)&lt;2,Alertas!$B$2&amp;TEXT(AL87,"0%")&amp;Alertas!$D$2, IF((AL87+1)=2,Alertas!$B$3,IF((AL87+1)&gt;2,Alertas!$B$4&amp;TEXT(AL87,"0%")&amp;Alertas!$D$4,AL87+1))),"Sin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87" s="62">
        <f t="shared" si="2"/>
        <v>4</v>
      </c>
      <c r="AM87"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87" s="63"/>
      <c r="AO87" s="64"/>
      <c r="AP87" s="65"/>
      <c r="AQ87" s="65"/>
      <c r="AR87" s="66"/>
      <c r="AS87" s="67"/>
      <c r="AT87" s="68"/>
      <c r="AU87" s="63"/>
      <c r="AV87" s="64"/>
      <c r="AW87" s="69"/>
      <c r="AX87" s="65"/>
      <c r="AY87" s="70"/>
      <c r="AZ87" s="71"/>
      <c r="BA87" s="72"/>
      <c r="BB87" s="73"/>
      <c r="BC87" s="64"/>
      <c r="BD87" s="69"/>
      <c r="BE87" s="65"/>
      <c r="BF87" s="66"/>
      <c r="BG87" s="71"/>
      <c r="BH87" s="72"/>
      <c r="BI87" s="74"/>
      <c r="BK87" s="5" t="str">
        <f t="shared" si="23"/>
        <v>1</v>
      </c>
      <c r="BM87" s="5"/>
    </row>
    <row r="88" ht="37.5" customHeight="1">
      <c r="A88" s="45"/>
      <c r="B88" s="46">
        <f>IFERROR(__xludf.DUMMYFUNCTION("""COMPUTED_VALUE"""),86.0)</f>
        <v>86</v>
      </c>
      <c r="C88" s="47" t="str">
        <f>IFERROR(__xludf.DUMMYFUNCTION("""COMPUTED_VALUE"""),"Gestión de la inspección y vigilancia")</f>
        <v>Gestión de la inspección y vigilancia</v>
      </c>
      <c r="D88" s="48" t="str">
        <f>IFERROR(__xludf.DUMMYFUNCTION("""COMPUTED_VALUE"""),"Regional Barrancabermeja")</f>
        <v>Regional Barrancabermeja</v>
      </c>
      <c r="E88"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88" s="49">
        <f>IFERROR(__xludf.DUMMYFUNCTION("""COMPUTED_VALUE"""),2.019011000276E12)</f>
        <v>2019011000276</v>
      </c>
      <c r="G88" s="50" t="str">
        <f>IFERROR(__xludf.DUMMYFUNCTION("""COMPUTED_VALUE"""),"Inspección")</f>
        <v>Inspección</v>
      </c>
      <c r="H88" s="48" t="str">
        <f>IFERROR(__xludf.DUMMYFUNCTION("""COMPUTED_VALUE"""),"Fortalecer los mecanismos de seguimiento y control de la actividad pesquera y de la acuicultura.")</f>
        <v>Fortalecer los mecanismos de seguimiento y control de la actividad pesquera y de la acuicultura.</v>
      </c>
      <c r="I88" s="48" t="str">
        <f>IFERROR(__xludf.DUMMYFUNCTION("""COMPUTED_VALUE"""),"Servicio de inspección, vigilancia y control de la pesca y la acuicultura")</f>
        <v>Servicio de inspección, vigilancia y control de la pesca y la acuicultura</v>
      </c>
      <c r="J88" s="48" t="str">
        <f>IFERROR(__xludf.DUMMYFUNCTION("""COMPUTED_VALUE"""),"Realizar los operativos de inspección, vigilancia y control.")</f>
        <v>Realizar los operativos de inspección, vigilancia y control.</v>
      </c>
      <c r="K88" s="51" t="str">
        <f>IFERROR(__xludf.DUMMYFUNCTION("""COMPUTED_VALUE"""),"Producto")</f>
        <v>Producto</v>
      </c>
      <c r="L88" s="51" t="str">
        <f>IFERROR(__xludf.DUMMYFUNCTION("""COMPUTED_VALUE"""),"Eficacia")</f>
        <v>Eficacia</v>
      </c>
      <c r="M88" s="51" t="str">
        <f>IFERROR(__xludf.DUMMYFUNCTION("""COMPUTED_VALUE"""),"Número")</f>
        <v>Número</v>
      </c>
      <c r="N88" s="52" t="str">
        <f>IFERROR(__xludf.DUMMYFUNCTION("""COMPUTED_VALUE"""),"Operativos de inspección, vigilancia y control realizados")</f>
        <v>Operativos de inspección, vigilancia y control realizados</v>
      </c>
      <c r="O88" s="53">
        <f>IFERROR(__xludf.DUMMYFUNCTION("""COMPUTED_VALUE"""),157.0)</f>
        <v>157</v>
      </c>
      <c r="P88" s="54">
        <f>IFERROR(__xludf.DUMMYFUNCTION("""COMPUTED_VALUE"""),280.0)</f>
        <v>280</v>
      </c>
      <c r="Q88" s="55" t="str">
        <f>IFERROR(__xludf.DUMMYFUNCTION("""COMPUTED_VALUE"""),"Realizar operativos de control y sensibilización")</f>
        <v>Realizar operativos de control y sensibilización</v>
      </c>
      <c r="R88" s="14" t="str">
        <f>IFERROR(__xludf.DUMMYFUNCTION("""COMPUTED_VALUE"""),"Trimestral")</f>
        <v>Trimestral</v>
      </c>
      <c r="S88" s="54">
        <f>IFERROR(__xludf.DUMMYFUNCTION("""COMPUTED_VALUE"""),36.0)</f>
        <v>36</v>
      </c>
      <c r="T88" s="54">
        <f>IFERROR(__xludf.DUMMYFUNCTION("""COMPUTED_VALUE"""),94.0)</f>
        <v>94</v>
      </c>
      <c r="U88" s="54">
        <f>IFERROR(__xludf.DUMMYFUNCTION("""COMPUTED_VALUE"""),92.0)</f>
        <v>92</v>
      </c>
      <c r="V88" s="54">
        <f>IFERROR(__xludf.DUMMYFUNCTION("""COMPUTED_VALUE"""),58.0)</f>
        <v>58</v>
      </c>
      <c r="W88" s="56" t="str">
        <f>IFERROR(__xludf.DUMMYFUNCTION("""COMPUTED_VALUE"""),"Regional Barrancabermeja")</f>
        <v>Regional Barrancabermeja</v>
      </c>
      <c r="X88" s="57" t="str">
        <f>IFERROR(__xludf.DUMMYFUNCTION("""COMPUTED_VALUE"""),"JAVIER JESUS OVALLE MARTINEZ")</f>
        <v>JAVIER JESUS OVALLE MARTINEZ</v>
      </c>
      <c r="Y88" s="47" t="str">
        <f>IFERROR(__xludf.DUMMYFUNCTION("""COMPUTED_VALUE"""),"DIRECTOR REGIONAL")</f>
        <v>DIRECTOR REGIONAL</v>
      </c>
      <c r="Z88" s="57" t="str">
        <f>IFERROR(__xludf.DUMMYFUNCTION("""COMPUTED_VALUE"""),"javier.ovalle@aunap.gov.co")</f>
        <v>javier.ovalle@aunap.gov.co</v>
      </c>
      <c r="AA88" s="47" t="str">
        <f>IFERROR(__xludf.DUMMYFUNCTION("""COMPUTED_VALUE"""),"Personal, viaticos, transporte")</f>
        <v>Personal, viaticos, transporte</v>
      </c>
      <c r="AB88" s="47" t="str">
        <f>IFERROR(__xludf.DUMMYFUNCTION("""COMPUTED_VALUE"""),"No asociado")</f>
        <v>No asociado</v>
      </c>
      <c r="AC8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88" s="47" t="str">
        <f>IFERROR(__xludf.DUMMYFUNCTION("""COMPUTED_VALUE"""),"Gestión con valores para resultados")</f>
        <v>Gestión con valores para resultados</v>
      </c>
      <c r="AE88" s="47" t="str">
        <f>IFERROR(__xludf.DUMMYFUNCTION("""COMPUTED_VALUE"""),"Fortalecimiento Organizacional y Simplificación de Procesos")</f>
        <v>Fortalecimiento Organizacional y Simplificación de Procesos</v>
      </c>
      <c r="AF88" s="47" t="str">
        <f>IFERROR(__xludf.DUMMYFUNCTION("""COMPUTED_VALUE"""),"12. Producción y consumo responsable")</f>
        <v>12. Producción y consumo responsable</v>
      </c>
      <c r="AG88" s="58">
        <f>IFERROR(__xludf.DUMMYFUNCTION("""COMPUTED_VALUE"""),94.0)</f>
        <v>94</v>
      </c>
      <c r="AH88" s="59" t="str">
        <f>IFERROR(__xludf.DUMMYFUNCTION("""COMPUTED_VALUE"""),"Durante el segundo Trimestre del año 2021, se realizó un total de noventa y cuatro (94) Operativos, distribuidos de la siguiente manera: 
5 Operativos Acuícolas: Se inspeccionaron los establecimientos yo proyectos piscícolas de:  Bucaramanga: Vereda El A"&amp;"burrido; Curiti: Proyecto Piscícolas Barrio Las Brisas; Lebrija: Vereda La Puente; Morales: Vereda El Dique; Puerto Wilches: Corregimiento Puente Sogamoso;
62 Operativos a Establecimientos comerciales:  Se inspeccionaron los establecimientos comerciales "&amp;"de:  Barrancabermeja: Sector El Muelle y La Rampa. Bucaramanga: Centro de abastos, Plaza Guarín, Café Madrid. Cimitarra, Puerto Wilches, San Pablo, Puerto Triunfo, Puerto Berrio, Cúcuta, Puerto Boyacá, Piedecuesta, Floridablanca y San Gil en Centros de ab"&amp;"astos, Plazas de Mercado, Puntos de Venta. 
27 Operativo de Pesca Artesanal:  Se inspeccionaron a los pescadores artesanales al igual que sus equipos y aparejos de pesca reglamentarios en: Barrancabermeja: Sector La Represa, La Rampa, El Muelle, Puerto d"&amp;"e desembarco el Llanito. Cimitarra: Muelle (Vereda Vuelta Acuña). Puerto Boyacá Muelle de Pescadores.
Se efectuaron recorridos en las Ciénagas de Paredes (Sabana de Torres); Ciénaga Colorada (Puerto Wilches), Ciénaga Tabacuru y Bija (San Pablo); Ciénaga "&amp;"de Simiti (Simiti); Ciénaga Miramar, Ciénaga San Silvestre (Barrancabermeja); Ciénaga de Barbacoas (Yondó). 
Es importante resaltar que de los noventa y cuatro (94) operativos realizados durante el segundo trimestre, se efectuaron once (11) informes técn"&amp;"icos de decomiso.")</f>
        <v>Durante el segundo Trimestre del año 2021, se realizó un total de noventa y cuatro (94) Operativos, distribuidos de la siguiente manera: 
5 Operativos Acuícolas: Se inspeccionaron los establecimientos yo proyectos piscícolas de:  Bucaramanga: Vereda El Aburrido; Curiti: Proyecto Piscícolas Barrio Las Brisas; Lebrija: Vereda La Puente; Morales: Vereda El Dique; Puerto Wilches: Corregimiento Puente Sogamoso;
62 Operativos a Establecimientos comerciales:  Se inspeccionaron los establecimientos comerciales de:  Barrancabermeja: Sector El Muelle y La Rampa. Bucaramanga: Centro de abastos, Plaza Guarín, Café Madrid. Cimitarra, Puerto Wilches, San Pablo, Puerto Triunfo, Puerto Berrio, Cúcuta, Puerto Boyacá, Piedecuesta, Floridablanca y San Gil en Centros de abastos, Plazas de Mercado, Puntos de Venta. 
27 Operativo de Pesca Artesanal:  Se inspeccionaron a los pescadores artesanales al igual que sus equipos y aparejos de pesca reglamentarios en: Barrancabermeja: Sector La Represa, La Rampa, El Muelle, Puerto de desembarco el Llanito. Cimitarra: Muelle (Vereda Vuelta Acuña). Puerto Boyacá Muelle de Pescadores.
Se efectuaron recorridos en las Ciénagas de Paredes (Sabana de Torres); Ciénaga Colorada (Puerto Wilches), Ciénaga Tabacuru y Bija (San Pablo); Ciénaga de Simiti (Simiti); Ciénaga Miramar, Ciénaga San Silvestre (Barrancabermeja); Ciénaga de Barbacoas (Yondó). 
Es importante resaltar que de los noventa y cuatro (94) operativos realizados durante el segundo trimestre, se efectuaron once (11) informes técnicos de decomiso.</v>
      </c>
      <c r="AI88" s="80" t="str">
        <f>IFERROR(__xludf.DUMMYFUNCTION("""COMPUTED_VALUE"""),"https://drive.google.com/drive/folders/1NB7I2PfIMRwSSADTj-4W8IroElIBzlyQ?usp=sharing")</f>
        <v>https://drive.google.com/drive/folders/1NB7I2PfIMRwSSADTj-4W8IroElIBzlyQ?usp=sharing</v>
      </c>
      <c r="AJ88" s="60">
        <f>IFERROR(__xludf.DUMMYFUNCTION("""COMPUTED_VALUE"""),44396.0)</f>
        <v>44396</v>
      </c>
      <c r="AK88" s="61" t="str">
        <f>IFERROR(IF((AL88+1)&lt;2,Alertas!$B$2&amp;TEXT(AL88,"0%")&amp;Alertas!$D$2, IF((AL88+1)=2,Alertas!$B$3,IF((AL88+1)&gt;2,Alertas!$B$4&amp;TEXT(AL88,"0%")&amp;Alertas!$D$4,AL88+1))),"Sin meta para el segundo trimestre")</f>
        <v>La ejecución de la meta registrada se encuentra acorde a la meta programada en la formulación del plan de acción para el segundo trimestre</v>
      </c>
      <c r="AL88" s="62">
        <f t="shared" si="2"/>
        <v>1</v>
      </c>
      <c r="AM88" s="61" t="str">
        <f t="shared" si="3"/>
        <v>La ejecución de la meta registrada se encuentra acorde a la meta programada en la formulación del plan de acción para el segundo trimestre.</v>
      </c>
      <c r="AN88" s="63"/>
      <c r="AO88" s="64"/>
      <c r="AP88" s="65"/>
      <c r="AQ88" s="65"/>
      <c r="AR88" s="66"/>
      <c r="AS88" s="67"/>
      <c r="AT88" s="68"/>
      <c r="AU88" s="63"/>
      <c r="AV88" s="64"/>
      <c r="AW88" s="69"/>
      <c r="AX88" s="65"/>
      <c r="AY88" s="70"/>
      <c r="AZ88" s="71"/>
      <c r="BA88" s="72"/>
      <c r="BB88" s="73"/>
      <c r="BC88" s="64"/>
      <c r="BD88" s="69"/>
      <c r="BE88" s="65"/>
      <c r="BF88" s="66"/>
      <c r="BG88" s="71"/>
      <c r="BH88" s="72"/>
      <c r="BI88" s="74"/>
      <c r="BK88" s="5" t="str">
        <f t="shared" si="23"/>
        <v>0</v>
      </c>
      <c r="BM88" s="5"/>
    </row>
    <row r="89" ht="37.5" customHeight="1">
      <c r="A89" s="45"/>
      <c r="B89" s="46">
        <f>IFERROR(__xludf.DUMMYFUNCTION("""COMPUTED_VALUE"""),87.0)</f>
        <v>87</v>
      </c>
      <c r="C89" s="47" t="str">
        <f>IFERROR(__xludf.DUMMYFUNCTION("""COMPUTED_VALUE"""),"Gestión de la inspección y vigilancia")</f>
        <v>Gestión de la inspección y vigilancia</v>
      </c>
      <c r="D89" s="48" t="str">
        <f>IFERROR(__xludf.DUMMYFUNCTION("""COMPUTED_VALUE"""),"Regional Barrancabermeja")</f>
        <v>Regional Barrancabermeja</v>
      </c>
      <c r="E89"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89" s="49">
        <f>IFERROR(__xludf.DUMMYFUNCTION("""COMPUTED_VALUE"""),2.019011000276E12)</f>
        <v>2019011000276</v>
      </c>
      <c r="G89" s="50" t="str">
        <f>IFERROR(__xludf.DUMMYFUNCTION("""COMPUTED_VALUE"""),"Inspección")</f>
        <v>Inspección</v>
      </c>
      <c r="H89" s="48" t="str">
        <f>IFERROR(__xludf.DUMMYFUNCTION("""COMPUTED_VALUE"""),"Fortalecer los mecanismos de seguimiento y control de la actividad pesquera y de la acuicultura.")</f>
        <v>Fortalecer los mecanismos de seguimiento y control de la actividad pesquera y de la acuicultura.</v>
      </c>
      <c r="I89" s="48" t="str">
        <f>IFERROR(__xludf.DUMMYFUNCTION("""COMPUTED_VALUE"""),"Servicio de inspección, vigilancia y control de la pesca y la acuicultura")</f>
        <v>Servicio de inspección, vigilancia y control de la pesca y la acuicultura</v>
      </c>
      <c r="J89" s="48" t="str">
        <f>IFERROR(__xludf.DUMMYFUNCTION("""COMPUTED_VALUE"""),"Realizar los operativos de inspección, vigilancia y control.")</f>
        <v>Realizar los operativos de inspección, vigilancia y control.</v>
      </c>
      <c r="K89" s="51" t="str">
        <f>IFERROR(__xludf.DUMMYFUNCTION("""COMPUTED_VALUE"""),"Gestión del área")</f>
        <v>Gestión del área</v>
      </c>
      <c r="L89" s="51" t="str">
        <f>IFERROR(__xludf.DUMMYFUNCTION("""COMPUTED_VALUE"""),"Eficacia")</f>
        <v>Eficacia</v>
      </c>
      <c r="M89" s="51" t="str">
        <f>IFERROR(__xludf.DUMMYFUNCTION("""COMPUTED_VALUE"""),"Número")</f>
        <v>Número</v>
      </c>
      <c r="N89" s="52" t="str">
        <f>IFERROR(__xludf.DUMMYFUNCTION("""COMPUTED_VALUE"""),"Número de eventos realizados/número de eventos desarrollados.")</f>
        <v>Número de eventos realizados/número de eventos desarrollados.</v>
      </c>
      <c r="O89" s="53"/>
      <c r="P89" s="54">
        <f>IFERROR(__xludf.DUMMYFUNCTION("""COMPUTED_VALUE"""),45.0)</f>
        <v>45</v>
      </c>
      <c r="Q89" s="55" t="str">
        <f>IFERROR(__xludf.DUMMYFUNCTION("""COMPUTED_VALUE"""),"Realizar eventos de divulgación y socialización a nivel nacional en pro de disminuir las malas prácticas, en el ejercicio del control y vigilancia preventiva de la actividad pesquera y acuícola.")</f>
        <v>Realizar eventos de divulgación y socialización a nivel nacional en pro de disminuir las malas prácticas, en el ejercicio del control y vigilancia preventiva de la actividad pesquera y acuícola.</v>
      </c>
      <c r="R89" s="14" t="str">
        <f>IFERROR(__xludf.DUMMYFUNCTION("""COMPUTED_VALUE"""),"Trimestral")</f>
        <v>Trimestral</v>
      </c>
      <c r="S89" s="54">
        <f>IFERROR(__xludf.DUMMYFUNCTION("""COMPUTED_VALUE"""),8.0)</f>
        <v>8</v>
      </c>
      <c r="T89" s="54">
        <f>IFERROR(__xludf.DUMMYFUNCTION("""COMPUTED_VALUE"""),10.0)</f>
        <v>10</v>
      </c>
      <c r="U89" s="54">
        <f>IFERROR(__xludf.DUMMYFUNCTION("""COMPUTED_VALUE"""),20.0)</f>
        <v>20</v>
      </c>
      <c r="V89" s="54">
        <f>IFERROR(__xludf.DUMMYFUNCTION("""COMPUTED_VALUE"""),7.0)</f>
        <v>7</v>
      </c>
      <c r="W89" s="56" t="str">
        <f>IFERROR(__xludf.DUMMYFUNCTION("""COMPUTED_VALUE"""),"Regional Barrancabermeja")</f>
        <v>Regional Barrancabermeja</v>
      </c>
      <c r="X89" s="57" t="str">
        <f>IFERROR(__xludf.DUMMYFUNCTION("""COMPUTED_VALUE"""),"JAVIER JESUS OVALLE MARTINEZ")</f>
        <v>JAVIER JESUS OVALLE MARTINEZ</v>
      </c>
      <c r="Y89" s="47" t="str">
        <f>IFERROR(__xludf.DUMMYFUNCTION("""COMPUTED_VALUE"""),"DIRECTOR REGIONAL")</f>
        <v>DIRECTOR REGIONAL</v>
      </c>
      <c r="Z89" s="57" t="str">
        <f>IFERROR(__xludf.DUMMYFUNCTION("""COMPUTED_VALUE"""),"javier.ovalle@aunap.gov.co")</f>
        <v>javier.ovalle@aunap.gov.co</v>
      </c>
      <c r="AA89" s="47" t="str">
        <f>IFERROR(__xludf.DUMMYFUNCTION("""COMPUTED_VALUE"""),"Personal, viaticos, transporte")</f>
        <v>Personal, viaticos, transporte</v>
      </c>
      <c r="AB89" s="47" t="str">
        <f>IFERROR(__xludf.DUMMYFUNCTION("""COMPUTED_VALUE"""),"No asociado")</f>
        <v>No asociado</v>
      </c>
      <c r="AC8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89" s="47" t="str">
        <f>IFERROR(__xludf.DUMMYFUNCTION("""COMPUTED_VALUE"""),"Gestión con valores para resultados")</f>
        <v>Gestión con valores para resultados</v>
      </c>
      <c r="AE89" s="47" t="str">
        <f>IFERROR(__xludf.DUMMYFUNCTION("""COMPUTED_VALUE"""),"Fortalecimiento Organizacional y Simplificación de Procesos")</f>
        <v>Fortalecimiento Organizacional y Simplificación de Procesos</v>
      </c>
      <c r="AF89" s="47" t="str">
        <f>IFERROR(__xludf.DUMMYFUNCTION("""COMPUTED_VALUE"""),"12. Producción y consumo responsable")</f>
        <v>12. Producción y consumo responsable</v>
      </c>
      <c r="AG89" s="58">
        <f>IFERROR(__xludf.DUMMYFUNCTION("""COMPUTED_VALUE"""),14.0)</f>
        <v>14</v>
      </c>
      <c r="AH89" s="59" t="str">
        <f>IFERROR(__xludf.DUMMYFUNCTION("""COMPUTED_VALUE"""),"Durante el  segundo trimestre, se realizaron catorce (14) eventos de divulgación en pro de disminuir las malas prácticas pesqueras dirigidas a:        
                                                                                                       "&amp;"                                                                                                           
* Gremio de Comercializadores de Productos Pesqueros de Puerto Berrio (Ant); Santa Rosa (Bolívar), Bucaramanga y San Gil (Santander); Puerto Boyacá"&amp;" (Boyacá); Aguachica y Gamarra (Cesar).
* Integrantes de la Policía Nacional y Carabineros de los municipios de Landazuri (Santander); Bucaramanga (Santander).
*Integrantes de la Armada Nacional de Infantería de Marina de Barrancabermeja (Santander). 
*In"&amp;"tegrantes del Ejercito Nacional de Puerto Boyacá (Boyacá). 
Debido a la actualización de la normatividad y atención de solicitudes por parte de la Fuerza Pública y gremio de comerciantes,  se aumentó la meta programada.")</f>
        <v>Durante el  segundo trimestre, se realizaron catorce (14) eventos de divulgación en pro de disminuir las malas prácticas pesqueras dirigidas a:        
* Gremio de Comercializadores de Productos Pesqueros de Puerto Berrio (Ant); Santa Rosa (Bolívar), Bucaramanga y San Gil (Santander); Puerto Boyacá (Boyacá); Aguachica y Gamarra (Cesar).
* Integrantes de la Policía Nacional y Carabineros de los municipios de Landazuri (Santander); Bucaramanga (Santander).
*Integrantes de la Armada Nacional de Infantería de Marina de Barrancabermeja (Santander). 
*Integrantes del Ejercito Nacional de Puerto Boyacá (Boyacá). 
Debido a la actualización de la normatividad y atención de solicitudes por parte de la Fuerza Pública y gremio de comerciantes,  se aumentó la meta programada.</v>
      </c>
      <c r="AI89" s="80" t="str">
        <f>IFERROR(__xludf.DUMMYFUNCTION("""COMPUTED_VALUE"""),"https://drive.google.com/drive/folders/1lmzrgbDyzTtLVELP4XvDM1zoob1wxf96?usp=sharing")</f>
        <v>https://drive.google.com/drive/folders/1lmzrgbDyzTtLVELP4XvDM1zoob1wxf96?usp=sharing</v>
      </c>
      <c r="AJ89" s="60">
        <f>IFERROR(__xludf.DUMMYFUNCTION("""COMPUTED_VALUE"""),44396.0)</f>
        <v>44396</v>
      </c>
      <c r="AK89" s="61" t="str">
        <f>IFERROR(IF((AL89+1)&lt;2,Alertas!$B$2&amp;TEXT(AL89,"0%")&amp;Alertas!$D$2, IF((AL89+1)=2,Alertas!$B$3,IF((AL89+1)&gt;2,Alertas!$B$4&amp;TEXT(AL89,"0%")&amp;Alertas!$D$4,AL89+1))),"Sin meta para el segundo trimestre")</f>
        <v>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89" s="62">
        <f t="shared" si="2"/>
        <v>1.4</v>
      </c>
      <c r="AM89" s="61" t="str">
        <f t="shared" si="3"/>
        <v>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89" s="63"/>
      <c r="AO89" s="64"/>
      <c r="AP89" s="65"/>
      <c r="AQ89" s="65"/>
      <c r="AR89" s="66"/>
      <c r="AS89" s="67"/>
      <c r="AT89" s="68"/>
      <c r="AU89" s="63"/>
      <c r="AV89" s="64"/>
      <c r="AW89" s="69"/>
      <c r="AX89" s="65"/>
      <c r="AY89" s="70"/>
      <c r="AZ89" s="71"/>
      <c r="BA89" s="72"/>
      <c r="BB89" s="73"/>
      <c r="BC89" s="64"/>
      <c r="BD89" s="69"/>
      <c r="BE89" s="65"/>
      <c r="BF89" s="66"/>
      <c r="BG89" s="71"/>
      <c r="BH89" s="72"/>
      <c r="BI89" s="74"/>
      <c r="BK89" s="5" t="str">
        <f t="shared" si="23"/>
        <v>1</v>
      </c>
      <c r="BM89" s="5"/>
    </row>
    <row r="90" ht="37.5" customHeight="1">
      <c r="A90" s="45"/>
      <c r="B90" s="46">
        <f>IFERROR(__xludf.DUMMYFUNCTION("""COMPUTED_VALUE"""),88.0)</f>
        <v>88</v>
      </c>
      <c r="C90" s="47" t="str">
        <f>IFERROR(__xludf.DUMMYFUNCTION("""COMPUTED_VALUE"""),"Gestión de la administración y fomento")</f>
        <v>Gestión de la administración y fomento</v>
      </c>
      <c r="D90" s="48" t="str">
        <f>IFERROR(__xludf.DUMMYFUNCTION("""COMPUTED_VALUE"""),"Regional Barrancabermeja")</f>
        <v>Regional Barrancabermeja</v>
      </c>
      <c r="E90" s="48" t="str">
        <f>IFERROR(__xludf.DUMMYFUNCTION("""COMPUTED_VALUE"""),"Fortalecimiento de la sostenibilidad del sector pesquero y de la acuicultura en el territorio nacional")</f>
        <v>Fortalecimiento de la sostenibilidad del sector pesquero y de la acuicultura en el territorio nacional</v>
      </c>
      <c r="F90" s="49">
        <f>IFERROR(__xludf.DUMMYFUNCTION("""COMPUTED_VALUE"""),2.01901100028E12)</f>
        <v>2019011000280</v>
      </c>
      <c r="G90" s="50" t="str">
        <f>IFERROR(__xludf.DUMMYFUNCTION("""COMPUTED_VALUE"""),"Sostenibilidad")</f>
        <v>Sostenibilidad</v>
      </c>
      <c r="H90" s="48" t="str">
        <f>IFERROR(__xludf.DUMMYFUNCTION("""COMPUTED_VALUE"""),"Mejorar la explotación de los recursos pesqueros y de la acuicultura.")</f>
        <v>Mejorar la explotación de los recursos pesqueros y de la acuicultura.</v>
      </c>
      <c r="I90" s="48" t="str">
        <f>IFERROR(__xludf.DUMMYFUNCTION("""COMPUTED_VALUE"""),"Servicios de administración de los recurso pesqueros y de la acuicultura")</f>
        <v>Servicios de administración de los recurso pesqueros y de la acuicultura</v>
      </c>
      <c r="J90" s="48" t="str">
        <f>IFERROR(__xludf.DUMMYFUNCTION("""COMPUTED_VALUE"""),"Regular el manejo y el ejercicio de la actividad pesquera y de la acuicultura.")</f>
        <v>Regular el manejo y el ejercicio de la actividad pesquera y de la acuicultura.</v>
      </c>
      <c r="K90" s="51" t="str">
        <f>IFERROR(__xludf.DUMMYFUNCTION("""COMPUTED_VALUE"""),"Producto")</f>
        <v>Producto</v>
      </c>
      <c r="L90" s="51" t="str">
        <f>IFERROR(__xludf.DUMMYFUNCTION("""COMPUTED_VALUE"""),"Eficacia")</f>
        <v>Eficacia</v>
      </c>
      <c r="M90" s="51" t="str">
        <f>IFERROR(__xludf.DUMMYFUNCTION("""COMPUTED_VALUE"""),"Número")</f>
        <v>Número</v>
      </c>
      <c r="N90" s="52" t="str">
        <f>IFERROR(__xludf.DUMMYFUNCTION("""COMPUTED_VALUE"""),"Trámites atendidos")</f>
        <v>Trámites atendidos</v>
      </c>
      <c r="O90" s="53">
        <f>IFERROR(__xludf.DUMMYFUNCTION("""COMPUTED_VALUE"""),-7140.0)</f>
        <v>-7140</v>
      </c>
      <c r="P90" s="54">
        <f>IFERROR(__xludf.DUMMYFUNCTION("""COMPUTED_VALUE"""),100.0)</f>
        <v>100</v>
      </c>
      <c r="Q90" s="55" t="str">
        <f>IFERROR(__xludf.DUMMYFUNCTION("""COMPUTED_VALUE"""),"Atender Trámites")</f>
        <v>Atender Trámites</v>
      </c>
      <c r="R90" s="14" t="str">
        <f>IFERROR(__xludf.DUMMYFUNCTION("""COMPUTED_VALUE"""),"Trimestral")</f>
        <v>Trimestral</v>
      </c>
      <c r="S90" s="54">
        <f>IFERROR(__xludf.DUMMYFUNCTION("""COMPUTED_VALUE"""),18.0)</f>
        <v>18</v>
      </c>
      <c r="T90" s="54">
        <f>IFERROR(__xludf.DUMMYFUNCTION("""COMPUTED_VALUE"""),26.0)</f>
        <v>26</v>
      </c>
      <c r="U90" s="54">
        <f>IFERROR(__xludf.DUMMYFUNCTION("""COMPUTED_VALUE"""),33.0)</f>
        <v>33</v>
      </c>
      <c r="V90" s="54">
        <f>IFERROR(__xludf.DUMMYFUNCTION("""COMPUTED_VALUE"""),23.0)</f>
        <v>23</v>
      </c>
      <c r="W90" s="56" t="str">
        <f>IFERROR(__xludf.DUMMYFUNCTION("""COMPUTED_VALUE"""),"Regional Barrancabermeja")</f>
        <v>Regional Barrancabermeja</v>
      </c>
      <c r="X90" s="57" t="str">
        <f>IFERROR(__xludf.DUMMYFUNCTION("""COMPUTED_VALUE"""),"JAVIER JESUS OVALLE MARTINEZ")</f>
        <v>JAVIER JESUS OVALLE MARTINEZ</v>
      </c>
      <c r="Y90" s="47" t="str">
        <f>IFERROR(__xludf.DUMMYFUNCTION("""COMPUTED_VALUE"""),"DIRECTOR REGIONAL")</f>
        <v>DIRECTOR REGIONAL</v>
      </c>
      <c r="Z90" s="57" t="str">
        <f>IFERROR(__xludf.DUMMYFUNCTION("""COMPUTED_VALUE"""),"javier.ovalle@aunap.gov.co")</f>
        <v>javier.ovalle@aunap.gov.co</v>
      </c>
      <c r="AA90" s="47" t="str">
        <f>IFERROR(__xludf.DUMMYFUNCTION("""COMPUTED_VALUE"""),"Personal, viaticos, transporte")</f>
        <v>Personal, viaticos, transporte</v>
      </c>
      <c r="AB90" s="47" t="str">
        <f>IFERROR(__xludf.DUMMYFUNCTION("""COMPUTED_VALUE"""),"No asociado")</f>
        <v>No asociado</v>
      </c>
      <c r="AC90" s="47" t="str">
        <f>IFERROR(__xludf.DUMMYFUNCTION("""COMPUTED_VALUE"""),"Propiciar la formalización de la pesca y la acuicultura")</f>
        <v>Propiciar la formalización de la pesca y la acuicultura</v>
      </c>
      <c r="AD90" s="47" t="str">
        <f>IFERROR(__xludf.DUMMYFUNCTION("""COMPUTED_VALUE"""),"Gestión con valores para resultados")</f>
        <v>Gestión con valores para resultados</v>
      </c>
      <c r="AE90" s="47" t="str">
        <f>IFERROR(__xludf.DUMMYFUNCTION("""COMPUTED_VALUE"""),"Fortalecimiento Organizacional y Simplificación de Procesos")</f>
        <v>Fortalecimiento Organizacional y Simplificación de Procesos</v>
      </c>
      <c r="AF90" s="47" t="str">
        <f>IFERROR(__xludf.DUMMYFUNCTION("""COMPUTED_VALUE"""),"12. Producción y consumo responsable")</f>
        <v>12. Producción y consumo responsable</v>
      </c>
      <c r="AG90" s="58">
        <f>IFERROR(__xludf.DUMMYFUNCTION("""COMPUTED_VALUE"""),47.0)</f>
        <v>47</v>
      </c>
      <c r="AH90" s="59" t="str">
        <f>IFERROR(__xludf.DUMMYFUNCTION("""COMPUTED_VALUE"""),"
Durante el Segundo trimestre, la Dirección Regional Barrancabermeja atendió y gestionó: 
*Once (11) Permisos Arel:
•        Bolívar: Morales: No. 2892. Ana Armesto; No. 2893; No. Milena Rodríguez; No. 2894. Sunilda Pontón; No. 2895. Mileinis Ruiz; No. "&amp;"2896. Juliet Hernández; No. 2897. Liadis Sierra; No. 2898. Yesica Acosta; No. 2899. Mariana Quintero; No. 2900. Johana Acosta; No. 2901. Elvia Larios.
•        Santander: Simacota: No. 2907. Angel Rivero.
*Treinta y seis (36) Conceptos Técnicos correspon"&amp;"dientes a:
(17) Prórrogas de Permisos de Comercialización: 
Antioquia: Puerto Berrio: PTB 002. Luis Fernando Vahos; PTB 003. Rafael Ospina. 
Norte de Santander: Cúcuta: CUC 018. Comercializadora Montes de Colombia S.A.S; CUC 022. Supermercado JM PLUS S"&amp;".A.S. CUC 024.  Pescadería JJ Escobar. CUC 025. Pescadería Roa; CUC 026. Pescadería Marlebis. CUC 029. Proservinorte S.A.S. CUC 030. Pescadería Polo Norte. CUC 031. Inversiones SABUCU S.A.S
Santander: Socorro: BUC 006. Omar Useda Corredor. Socorro: Bucar"&amp;"amanga: BUC 11: Pescaderia El Viagara. BUC 012. Jose Oscar Ortiz. BUC 014.  Heriberto Arenas. BUC 018. PA y PEZ. 
Cesar: Aguachica: SIM 001. Maria Tellez. SIM 002. Fábrica de Hielo y Pesquera La Pacora.  
(3) Otorgamiento de Permisos de Comercialización"&amp;" y (2) Otorgamiento de Repoblamiento: 
Cimitarra: PTB 001. Alcaldía Municipal de Cimitarra- Repoblamiento. 
Barrancabermeja: BAR 009. Piscícola San Silvestre. 
Bucaramanga: BUC 009. Surtimax ; BUC 010. Tarazona Ardila Hermes. 
(8) Otorgamiento de Permi"&amp;"so de Cultivo:
Antioquia. BAR 010. piscícola Gustavo Adolfo. 
Santander: El Playón: BUC 007. Centro piscícola de los Andes. BUC 008. Productora de Mojarra Oibas FISH CULTURE LTDA; BUC 016. Freidy Alejandro Hernández; BUC 017. Pesquera La Granja El Cucha"&amp;"ro. BUC 019. Pescaos SAS.
Norte de Santander: CUC 019. Piscicultura El Manantial S.A.S; CUC 020. piscícola La Gaviota.
(6) Inclusión o Modificación de Permiso de Comercialización:
Norte de Santander: CUC 017. Comercializadora Montes de Colombia S.A.S; "&amp;"CUC 021. Supermercado JM PLUS S.A.S. BUC 31. Compañía Pesquera del Mar S.A.S; BUC 32. Compañía Pesquera del Mar S.A.S. CUC 028. Proservinorte S.A.S. BUC 020. Compañía Pesquera del Mar S.A.S
(3) Cancelación de Permisos de Cultivo: 
Norte de Santander: CU"&amp;"C 023. Trucha La Isla. CUC 027. Pamplonita.   
Santander: BUC 013. Edgar Saldoval. 
(1) Cancelación de Permisos de Comercialización: 
BUC 021. Pesquera Danamar.
Cabe anotar que la cancelación de los permisos no se cuenta. Por consiguiente, se dio trám"&amp;"ite a 47 solicitudes, reflejando a su vez, un aumento en la meta programada.
")</f>
        <v>
Durante el Segundo trimestre, la Dirección Regional Barrancabermeja atendió y gestionó: 
*Once (11) Permisos Arel:
•        Bolívar: Morales: No. 2892. Ana Armesto; No. 2893; No. Milena Rodríguez; No. 2894. Sunilda Pontón; No. 2895. Mileinis Ruiz; No. 2896. Juliet Hernández; No. 2897. Liadis Sierra; No. 2898. Yesica Acosta; No. 2899. Mariana Quintero; No. 2900. Johana Acosta; No. 2901. Elvia Larios.
•        Santander: Simacota: No. 2907. Angel Rivero.
*Treinta y seis (36) Conceptos Técnicos correspondientes a:
(17) Prórrogas de Permisos de Comercialización: 
Antioquia: Puerto Berrio: PTB 002. Luis Fernando Vahos; PTB 003. Rafael Ospina. 
Norte de Santander: Cúcuta: CUC 018. Comercializadora Montes de Colombia S.A.S; CUC 022. Supermercado JM PLUS S.A.S. CUC 024.  Pescadería JJ Escobar. CUC 025. Pescadería Roa; CUC 026. Pescadería Marlebis. CUC 029. Proservinorte S.A.S. CUC 030. Pescadería Polo Norte. CUC 031. Inversiones SABUCU S.A.S
Santander: Socorro: BUC 006. Omar Useda Corredor. Socorro: Bucaramanga: BUC 11: Pescaderia El Viagara. BUC 012. Jose Oscar Ortiz. BUC 014.  Heriberto Arenas. BUC 018. PA y PEZ. 
Cesar: Aguachica: SIM 001. Maria Tellez. SIM 002. Fábrica de Hielo y Pesquera La Pacora.  
(3) Otorgamiento de Permisos de Comercialización y (2) Otorgamiento de Repoblamiento: 
Cimitarra: PTB 001. Alcaldía Municipal de Cimitarra- Repoblamiento. 
Barrancabermeja: BAR 009. Piscícola San Silvestre. 
Bucaramanga: BUC 009. Surtimax ; BUC 010. Tarazona Ardila Hermes. 
(8) Otorgamiento de Permiso de Cultivo:
Antioquia. BAR 010. piscícola Gustavo Adolfo. 
Santander: El Playón: BUC 007. Centro piscícola de los Andes. BUC 008. Productora de Mojarra Oibas FISH CULTURE LTDA; BUC 016. Freidy Alejandro Hernández; BUC 017. Pesquera La Granja El Cucharo. BUC 019. Pescaos SAS.
Norte de Santander: CUC 019. Piscicultura El Manantial S.A.S; CUC 020. piscícola La Gaviota.
(6) Inclusión o Modificación de Permiso de Comercialización:
Norte de Santander: CUC 017. Comercializadora Montes de Colombia S.A.S; CUC 021. Supermercado JM PLUS S.A.S. BUC 31. Compañía Pesquera del Mar S.A.S; BUC 32. Compañía Pesquera del Mar S.A.S. CUC 028. Proservinorte S.A.S. BUC 020. Compañía Pesquera del Mar S.A.S
(3) Cancelación de Permisos de Cultivo: 
Norte de Santander: CUC 023. Trucha La Isla. CUC 027. Pamplonita.   
Santander: BUC 013. Edgar Saldoval. 
(1) Cancelación de Permisos de Comercialización: 
BUC 021. Pesquera Danamar.
Cabe anotar que la cancelación de los permisos no se cuenta. Por consiguiente, se dio trámite a 47 solicitudes, reflejando a su vez, un aumento en la meta programada.
</v>
      </c>
      <c r="AI90" s="80" t="str">
        <f>IFERROR(__xludf.DUMMYFUNCTION("""COMPUTED_VALUE"""),"https://drive.google.com/drive/folders/1xGk0uSruhh86XnDQU2uX8TE-IaKSHx3f?usp=sharing")</f>
        <v>https://drive.google.com/drive/folders/1xGk0uSruhh86XnDQU2uX8TE-IaKSHx3f?usp=sharing</v>
      </c>
      <c r="AJ90" s="60">
        <f>IFERROR(__xludf.DUMMYFUNCTION("""COMPUTED_VALUE"""),44396.0)</f>
        <v>44396</v>
      </c>
      <c r="AK90" s="61" t="str">
        <f>IFERROR(IF((AL90+1)&lt;2,Alertas!$B$2&amp;TEXT(AL90,"0%")&amp;Alertas!$D$2, IF((AL90+1)=2,Alertas!$B$3,IF((AL90+1)&gt;2,Alertas!$B$4&amp;TEXT(AL90,"0%")&amp;Alertas!$D$4,AL90+1))),"Sin meta para el segundo trimestre")</f>
        <v>La ejecución de la meta registrada se encuentra por encima de la meta programada en la formulación del plan de acción para el segundo trimestre, su porcentaje de cumplimiento es 181%,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0" s="62">
        <f t="shared" si="2"/>
        <v>1.807692308</v>
      </c>
      <c r="AM90" s="61" t="str">
        <f t="shared" si="3"/>
        <v>La ejecución de la meta registrada se encuentra por encima de la meta programada en la formulación del plan de acción para el segundo trimestre, su porcentaje de cumplimiento es 181%,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0" s="63"/>
      <c r="AO90" s="64"/>
      <c r="AP90" s="65"/>
      <c r="AQ90" s="65"/>
      <c r="AR90" s="66"/>
      <c r="AS90" s="67"/>
      <c r="AT90" s="68"/>
      <c r="AU90" s="63"/>
      <c r="AV90" s="64"/>
      <c r="AW90" s="69"/>
      <c r="AX90" s="65"/>
      <c r="AY90" s="70"/>
      <c r="AZ90" s="71"/>
      <c r="BA90" s="72"/>
      <c r="BB90" s="73"/>
      <c r="BC90" s="64"/>
      <c r="BD90" s="69"/>
      <c r="BE90" s="65"/>
      <c r="BF90" s="66"/>
      <c r="BG90" s="71"/>
      <c r="BH90" s="72"/>
      <c r="BI90" s="74"/>
      <c r="BK90" s="5" t="str">
        <f t="shared" si="23"/>
        <v>1</v>
      </c>
      <c r="BM90" s="5"/>
    </row>
    <row r="91" ht="37.5" customHeight="1">
      <c r="A91" s="45"/>
      <c r="B91" s="46">
        <f>IFERROR(__xludf.DUMMYFUNCTION("""COMPUTED_VALUE"""),89.0)</f>
        <v>89</v>
      </c>
      <c r="C91" s="47" t="str">
        <f>IFERROR(__xludf.DUMMYFUNCTION("""COMPUTED_VALUE"""),"Gestión de la administración y fomento")</f>
        <v>Gestión de la administración y fomento</v>
      </c>
      <c r="D91" s="48" t="str">
        <f>IFERROR(__xludf.DUMMYFUNCTION("""COMPUTED_VALUE"""),"Regional Barrancabermeja")</f>
        <v>Regional Barrancabermeja</v>
      </c>
      <c r="E91" s="48" t="str">
        <f>IFERROR(__xludf.DUMMYFUNCTION("""COMPUTED_VALUE"""),"Fortalecimiento de la sostenibilidad del sector pesquero y de la acuicultura en el territorio nacional")</f>
        <v>Fortalecimiento de la sostenibilidad del sector pesquero y de la acuicultura en el territorio nacional</v>
      </c>
      <c r="F91" s="49">
        <f>IFERROR(__xludf.DUMMYFUNCTION("""COMPUTED_VALUE"""),2.01901100028E12)</f>
        <v>2019011000280</v>
      </c>
      <c r="G91" s="50" t="str">
        <f>IFERROR(__xludf.DUMMYFUNCTION("""COMPUTED_VALUE"""),"Sostenibilidad")</f>
        <v>Sostenibilidad</v>
      </c>
      <c r="H91" s="48" t="str">
        <f>IFERROR(__xludf.DUMMYFUNCTION("""COMPUTED_VALUE"""),"Mejorar la explotación de los recursos pesqueros y de la acuicultura.")</f>
        <v>Mejorar la explotación de los recursos pesqueros y de la acuicultura.</v>
      </c>
      <c r="I91" s="48" t="str">
        <f>IFERROR(__xludf.DUMMYFUNCTION("""COMPUTED_VALUE"""),"Servicios de administración de los recurso pesqueros y de la acuicultura")</f>
        <v>Servicios de administración de los recurso pesqueros y de la acuicultura</v>
      </c>
      <c r="J91" s="48" t="str">
        <f>IFERROR(__xludf.DUMMYFUNCTION("""COMPUTED_VALUE"""),"Realizar acciones de divulgación y formalización de la actividad pesquera y de la acuicultura.")</f>
        <v>Realizar acciones de divulgación y formalización de la actividad pesquera y de la acuicultura.</v>
      </c>
      <c r="K91" s="51" t="str">
        <f>IFERROR(__xludf.DUMMYFUNCTION("""COMPUTED_VALUE"""),"Gestión del área")</f>
        <v>Gestión del área</v>
      </c>
      <c r="L91" s="51" t="str">
        <f>IFERROR(__xludf.DUMMYFUNCTION("""COMPUTED_VALUE"""),"Eficacia")</f>
        <v>Eficacia</v>
      </c>
      <c r="M91" s="51" t="str">
        <f>IFERROR(__xludf.DUMMYFUNCTION("""COMPUTED_VALUE"""),"Número")</f>
        <v>Número</v>
      </c>
      <c r="N91" s="52" t="str">
        <f>IFERROR(__xludf.DUMMYFUNCTION("""COMPUTED_VALUE"""),"Número de Asociones capacitadas/Número de asociaciones programadas para capacitar")</f>
        <v>Número de Asociones capacitadas/Número de asociaciones programadas para capacitar</v>
      </c>
      <c r="O91" s="53"/>
      <c r="P91" s="54">
        <f>IFERROR(__xludf.DUMMYFUNCTION("""COMPUTED_VALUE"""),20.0)</f>
        <v>20</v>
      </c>
      <c r="Q91" s="55" t="str">
        <f>IFERROR(__xludf.DUMMYFUNCTION("""COMPUTED_VALUE"""),"Capacitar asociaciones en temas de pesca y acuicutura")</f>
        <v>Capacitar asociaciones en temas de pesca y acuicutura</v>
      </c>
      <c r="R91" s="14" t="str">
        <f>IFERROR(__xludf.DUMMYFUNCTION("""COMPUTED_VALUE"""),"Trimestral")</f>
        <v>Trimestral</v>
      </c>
      <c r="S91" s="54">
        <f>IFERROR(__xludf.DUMMYFUNCTION("""COMPUTED_VALUE"""),3.0)</f>
        <v>3</v>
      </c>
      <c r="T91" s="54">
        <f>IFERROR(__xludf.DUMMYFUNCTION("""COMPUTED_VALUE"""),3.0)</f>
        <v>3</v>
      </c>
      <c r="U91" s="54">
        <f>IFERROR(__xludf.DUMMYFUNCTION("""COMPUTED_VALUE"""),7.0)</f>
        <v>7</v>
      </c>
      <c r="V91" s="54">
        <f>IFERROR(__xludf.DUMMYFUNCTION("""COMPUTED_VALUE"""),7.0)</f>
        <v>7</v>
      </c>
      <c r="W91" s="56" t="str">
        <f>IFERROR(__xludf.DUMMYFUNCTION("""COMPUTED_VALUE"""),"Regional Barrancabermeja")</f>
        <v>Regional Barrancabermeja</v>
      </c>
      <c r="X91" s="57" t="str">
        <f>IFERROR(__xludf.DUMMYFUNCTION("""COMPUTED_VALUE"""),"JAVIER JESUS OVALLE MARTINEZ")</f>
        <v>JAVIER JESUS OVALLE MARTINEZ</v>
      </c>
      <c r="Y91" s="47" t="str">
        <f>IFERROR(__xludf.DUMMYFUNCTION("""COMPUTED_VALUE"""),"DIRECTOR REGIONAL")</f>
        <v>DIRECTOR REGIONAL</v>
      </c>
      <c r="Z91" s="57" t="str">
        <f>IFERROR(__xludf.DUMMYFUNCTION("""COMPUTED_VALUE"""),"javier.ovalle@aunap.gov.co")</f>
        <v>javier.ovalle@aunap.gov.co</v>
      </c>
      <c r="AA91" s="47" t="str">
        <f>IFERROR(__xludf.DUMMYFUNCTION("""COMPUTED_VALUE"""),"Personal, viaticos, transporte")</f>
        <v>Personal, viaticos, transporte</v>
      </c>
      <c r="AB91" s="47" t="str">
        <f>IFERROR(__xludf.DUMMYFUNCTION("""COMPUTED_VALUE"""),"No asociado")</f>
        <v>No asociado</v>
      </c>
      <c r="AC91" s="47" t="str">
        <f>IFERROR(__xludf.DUMMYFUNCTION("""COMPUTED_VALUE"""),"Propiciar la formalización de la pesca y la acuicultura")</f>
        <v>Propiciar la formalización de la pesca y la acuicultura</v>
      </c>
      <c r="AD91" s="47" t="str">
        <f>IFERROR(__xludf.DUMMYFUNCTION("""COMPUTED_VALUE"""),"Gestión con valores para resultados")</f>
        <v>Gestión con valores para resultados</v>
      </c>
      <c r="AE91" s="47" t="str">
        <f>IFERROR(__xludf.DUMMYFUNCTION("""COMPUTED_VALUE"""),"Fortalecimiento Organizacional y Simplificación de Procesos")</f>
        <v>Fortalecimiento Organizacional y Simplificación de Procesos</v>
      </c>
      <c r="AF91" s="47" t="str">
        <f>IFERROR(__xludf.DUMMYFUNCTION("""COMPUTED_VALUE"""),"12. Producción y consumo responsable")</f>
        <v>12. Producción y consumo responsable</v>
      </c>
      <c r="AG91" s="58">
        <f>IFERROR(__xludf.DUMMYFUNCTION("""COMPUTED_VALUE"""),4.0)</f>
        <v>4</v>
      </c>
      <c r="AH91" s="59" t="str">
        <f>IFERROR(__xludf.DUMMYFUNCTION("""COMPUTED_VALUE"""),"Durante el segundo trimestre, se realizaron cuatro (4) capacitaciones en temas de normatividad pesquera, proyectos productivos, actividades conexas. Se atendieron setenta (70) personas. 
Antioquia: Asociación de Pescadores del municipio de Puerto Nare-"&amp;" ASOPESNA
Santander: Asociación De Pescadores Artesanales, Pequeños Mineros Y Agricultores Del Centro Poblado De Provincia Y Sectores Aledaños Al Área De Influencia A Lo Largo Del Rio Lebrija- ASOPRIL Y Asociación De Pescadores Y Mineros Rio Lebrija.
"&amp;"
Simiti: Junta de Acción comunal Miraflores. 
Norte de Santander: Asociación De Pescadores De La Gabarra- ASOPESCAR")</f>
        <v>Durante el segundo trimestre, se realizaron cuatro (4) capacitaciones en temas de normatividad pesquera, proyectos productivos, actividades conexas. Se atendieron setenta (70) personas. 
Antioquia: Asociación de Pescadores del municipio de Puerto Nare- ASOPESNA
Santander: Asociación De Pescadores Artesanales, Pequeños Mineros Y Agricultores Del Centro Poblado De Provincia Y Sectores Aledaños Al Área De Influencia A Lo Largo Del Rio Lebrija- ASOPRIL Y Asociación De Pescadores Y Mineros Rio Lebrija.
Simiti: Junta de Acción comunal Miraflores. 
Norte de Santander: Asociación De Pescadores De La Gabarra- ASOPESCAR</v>
      </c>
      <c r="AI91" s="80" t="str">
        <f>IFERROR(__xludf.DUMMYFUNCTION("""COMPUTED_VALUE"""),"https://drive.google.com/drive/folders/1SZ0RG4S06cXdENPNHfd4pjJBOEejPU7f?usp=sharing")</f>
        <v>https://drive.google.com/drive/folders/1SZ0RG4S06cXdENPNHfd4pjJBOEejPU7f?usp=sharing</v>
      </c>
      <c r="AJ91" s="60">
        <f>IFERROR(__xludf.DUMMYFUNCTION("""COMPUTED_VALUE"""),44396.0)</f>
        <v>44396</v>
      </c>
      <c r="AK91" s="61" t="str">
        <f>IFERROR(IF((AL91+1)&lt;2,Alertas!$B$2&amp;TEXT(AL91,"0%")&amp;Alertas!$D$2, IF((AL91+1)=2,Alertas!$B$3,IF((AL91+1)&gt;2,Alertas!$B$4&amp;TEXT(AL91,"0%")&amp;Alertas!$D$4,AL91+1))),"Sin meta para el segundo trimestre")</f>
        <v>La ejecución de la meta registrada se encuentra por encima de la meta programada en la formulación del plan de acción para el segundo trimestre, su porcentaje de cumplimiento es 133%,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1" s="62">
        <f t="shared" si="2"/>
        <v>1.333333333</v>
      </c>
      <c r="AM91" s="61" t="str">
        <f t="shared" si="3"/>
        <v>La ejecución de la meta registrada se encuentra por encima de la meta programada en la formulación del plan de acción para el segundo trimestre, su porcentaje de cumplimiento es 133%,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1" s="63"/>
      <c r="AO91" s="64"/>
      <c r="AP91" s="65"/>
      <c r="AQ91" s="65"/>
      <c r="AR91" s="66"/>
      <c r="AS91" s="67"/>
      <c r="AT91" s="68"/>
      <c r="AU91" s="63"/>
      <c r="AV91" s="64"/>
      <c r="AW91" s="69"/>
      <c r="AX91" s="65"/>
      <c r="AY91" s="70"/>
      <c r="AZ91" s="71"/>
      <c r="BA91" s="72"/>
      <c r="BB91" s="73"/>
      <c r="BC91" s="64"/>
      <c r="BD91" s="69"/>
      <c r="BE91" s="65"/>
      <c r="BF91" s="66"/>
      <c r="BG91" s="71"/>
      <c r="BH91" s="72"/>
      <c r="BI91" s="74"/>
      <c r="BK91" s="5" t="str">
        <f t="shared" si="23"/>
        <v>1</v>
      </c>
      <c r="BM91" s="5"/>
    </row>
    <row r="92" ht="37.5" customHeight="1">
      <c r="A92" s="45"/>
      <c r="B92" s="46">
        <f>IFERROR(__xludf.DUMMYFUNCTION("""COMPUTED_VALUE"""),90.0)</f>
        <v>90</v>
      </c>
      <c r="C92" s="47" t="str">
        <f>IFERROR(__xludf.DUMMYFUNCTION("""COMPUTED_VALUE"""),"Gestión de la administración y fomento")</f>
        <v>Gestión de la administración y fomento</v>
      </c>
      <c r="D92" s="48" t="str">
        <f>IFERROR(__xludf.DUMMYFUNCTION("""COMPUTED_VALUE"""),"Regional Barrancabermeja")</f>
        <v>Regional Barrancabermeja</v>
      </c>
      <c r="E92" s="48" t="str">
        <f>IFERROR(__xludf.DUMMYFUNCTION("""COMPUTED_VALUE"""),"Fortalecimiento de la sostenibilidad del sector pesquero y de la acuicultura en el territorio nacional")</f>
        <v>Fortalecimiento de la sostenibilidad del sector pesquero y de la acuicultura en el territorio nacional</v>
      </c>
      <c r="F92" s="49">
        <f>IFERROR(__xludf.DUMMYFUNCTION("""COMPUTED_VALUE"""),2.01901100028E12)</f>
        <v>2019011000280</v>
      </c>
      <c r="G92" s="50" t="str">
        <f>IFERROR(__xludf.DUMMYFUNCTION("""COMPUTED_VALUE"""),"Sostenibilidad")</f>
        <v>Sostenibilidad</v>
      </c>
      <c r="H92" s="48" t="str">
        <f>IFERROR(__xludf.DUMMYFUNCTION("""COMPUTED_VALUE"""),"Mejorar la explotación de los recursos pesqueros y de la acuicultura.")</f>
        <v>Mejorar la explotación de los recursos pesqueros y de la acuicultura.</v>
      </c>
      <c r="I92" s="48" t="str">
        <f>IFERROR(__xludf.DUMMYFUNCTION("""COMPUTED_VALUE"""),"Servicios de administración de los recurso pesqueros y de la acuicultura")</f>
        <v>Servicios de administración de los recurso pesqueros y de la acuicultura</v>
      </c>
      <c r="J92" s="48" t="str">
        <f>IFERROR(__xludf.DUMMYFUNCTION("""COMPUTED_VALUE"""),"Regular el manejo y el ejercicio de la actividad pesquera y de la acuicultura.")</f>
        <v>Regular el manejo y el ejercicio de la actividad pesquera y de la acuicultura.</v>
      </c>
      <c r="K92" s="51" t="str">
        <f>IFERROR(__xludf.DUMMYFUNCTION("""COMPUTED_VALUE"""),"Producto")</f>
        <v>Producto</v>
      </c>
      <c r="L92" s="51" t="str">
        <f>IFERROR(__xludf.DUMMYFUNCTION("""COMPUTED_VALUE"""),"Eficacia")</f>
        <v>Eficacia</v>
      </c>
      <c r="M92" s="51" t="str">
        <f>IFERROR(__xludf.DUMMYFUNCTION("""COMPUTED_VALUE"""),"Número")</f>
        <v>Número</v>
      </c>
      <c r="N92" s="52" t="str">
        <f>IFERROR(__xludf.DUMMYFUNCTION("""COMPUTED_VALUE"""),"Trámites atendidos")</f>
        <v>Trámites atendidos</v>
      </c>
      <c r="O92" s="53">
        <f>IFERROR(__xludf.DUMMYFUNCTION("""COMPUTED_VALUE"""),-7140.0)</f>
        <v>-7140</v>
      </c>
      <c r="P92" s="54">
        <f>IFERROR(__xludf.DUMMYFUNCTION("""COMPUTED_VALUE"""),1300.0)</f>
        <v>1300</v>
      </c>
      <c r="Q92" s="55" t="str">
        <f>IFERROR(__xludf.DUMMYFUNCTION("""COMPUTED_VALUE"""),"Formalizar pescadores artesanales")</f>
        <v>Formalizar pescadores artesanales</v>
      </c>
      <c r="R92" s="14" t="str">
        <f>IFERROR(__xludf.DUMMYFUNCTION("""COMPUTED_VALUE"""),"Trimestral")</f>
        <v>Trimestral</v>
      </c>
      <c r="S92" s="54">
        <f>IFERROR(__xludf.DUMMYFUNCTION("""COMPUTED_VALUE"""),110.0)</f>
        <v>110</v>
      </c>
      <c r="T92" s="54">
        <f>IFERROR(__xludf.DUMMYFUNCTION("""COMPUTED_VALUE"""),290.0)</f>
        <v>290</v>
      </c>
      <c r="U92" s="54">
        <f>IFERROR(__xludf.DUMMYFUNCTION("""COMPUTED_VALUE"""),515.0)</f>
        <v>515</v>
      </c>
      <c r="V92" s="54">
        <f>IFERROR(__xludf.DUMMYFUNCTION("""COMPUTED_VALUE"""),385.0)</f>
        <v>385</v>
      </c>
      <c r="W92" s="56" t="str">
        <f>IFERROR(__xludf.DUMMYFUNCTION("""COMPUTED_VALUE"""),"Regional Barrancabermeja")</f>
        <v>Regional Barrancabermeja</v>
      </c>
      <c r="X92" s="57" t="str">
        <f>IFERROR(__xludf.DUMMYFUNCTION("""COMPUTED_VALUE"""),"JAVIER JESUS OVALLE MARTINEZ")</f>
        <v>JAVIER JESUS OVALLE MARTINEZ</v>
      </c>
      <c r="Y92" s="47" t="str">
        <f>IFERROR(__xludf.DUMMYFUNCTION("""COMPUTED_VALUE"""),"DIRECTOR REGIONAL")</f>
        <v>DIRECTOR REGIONAL</v>
      </c>
      <c r="Z92" s="57" t="str">
        <f>IFERROR(__xludf.DUMMYFUNCTION("""COMPUTED_VALUE"""),"javier.ovalle@aunap.gov.co")</f>
        <v>javier.ovalle@aunap.gov.co</v>
      </c>
      <c r="AA92" s="47" t="str">
        <f>IFERROR(__xludf.DUMMYFUNCTION("""COMPUTED_VALUE"""),"Personal, viaticos, transporte")</f>
        <v>Personal, viaticos, transporte</v>
      </c>
      <c r="AB92" s="47" t="str">
        <f>IFERROR(__xludf.DUMMYFUNCTION("""COMPUTED_VALUE"""),"No asociado")</f>
        <v>No asociado</v>
      </c>
      <c r="AC92" s="47" t="str">
        <f>IFERROR(__xludf.DUMMYFUNCTION("""COMPUTED_VALUE"""),"Propiciar la formalización de la pesca y la acuicultura")</f>
        <v>Propiciar la formalización de la pesca y la acuicultura</v>
      </c>
      <c r="AD92" s="47" t="str">
        <f>IFERROR(__xludf.DUMMYFUNCTION("""COMPUTED_VALUE"""),"Gestión con valores para resultados")</f>
        <v>Gestión con valores para resultados</v>
      </c>
      <c r="AE92" s="47" t="str">
        <f>IFERROR(__xludf.DUMMYFUNCTION("""COMPUTED_VALUE"""),"Fortalecimiento Organizacional y Simplificación de Procesos")</f>
        <v>Fortalecimiento Organizacional y Simplificación de Procesos</v>
      </c>
      <c r="AF92" s="47" t="str">
        <f>IFERROR(__xludf.DUMMYFUNCTION("""COMPUTED_VALUE"""),"12. Producción y consumo responsable")</f>
        <v>12. Producción y consumo responsable</v>
      </c>
      <c r="AG92" s="58">
        <f>IFERROR(__xludf.DUMMYFUNCTION("""COMPUTED_VALUE"""),332.0)</f>
        <v>332</v>
      </c>
      <c r="AH92" s="59" t="str">
        <f>IFERROR(__xludf.DUMMYFUNCTION("""COMPUTED_VALUE"""),"Durante el segundo Trimestre, se diligenciaron trescientos treinta y dos (332) Registros de Pesca Artesanal correspondientes a los consecutivos desde el CA2021040332- CA2021040663, las zonas atendidas fueron: 
ANTIOQUIA: Yondó:  ASPRECY (13). 
BOLIVAR: M"&amp;"orales: ASOAGROPESPAI (36). Simiti: INDEPENDIENTE: 21 
BOYACÁ: Puerto Boyacá: ASOPEZBOY (15); INDEPENDIENTE (04). 
NORTE DE SANTANDER: ASOPESCAR (12); INDEPENDIENTE (35)
SANTANDER: Cimitarra: ASOPEZ VUELTA ACUÑA (39), ASOPEVERNU (12); Lebrija: ASPEST (3);"&amp;" Barrancabermeja: FIBIMAG (1), APESTERGAL (5), ASOPELLMAG (1), ASOPETRACRMAGDALENA (14), ASOPENOR (13), PEZCOMAGDA (1), ASOPETRASAN (22), APACCO (41), APALL (1), INDEPENDIENTE (6); Sabana de Torres: ASOPESCAMAS (2); Betulia: ASOGAMOSO (1), ASOPESVESA (1),"&amp;" INDEPENDIENTE (1); Puerto Wilches: ASOPECACO (11), INDEPENDIENTE (4); Girón: CORTURPIALHES (17)
Se atendieron solicitudes de renovación de carnés, y vinculación de nuevas asociaciones. Por tanto, hubo un aumento en la meta programada.")</f>
        <v>Durante el segundo Trimestre, se diligenciaron trescientos treinta y dos (332) Registros de Pesca Artesanal correspondientes a los consecutivos desde el CA2021040332- CA2021040663, las zonas atendidas fueron: 
ANTIOQUIA: Yondó:  ASPRECY (13). 
BOLIVAR: Morales: ASOAGROPESPAI (36). Simiti: INDEPENDIENTE: 21 
BOYACÁ: Puerto Boyacá: ASOPEZBOY (15); INDEPENDIENTE (04). 
NORTE DE SANTANDER: ASOPESCAR (12); INDEPENDIENTE (35)
SANTANDER: Cimitarra: ASOPEZ VUELTA ACUÑA (39), ASOPEVERNU (12); Lebrija: ASPEST (3); Barrancabermeja: FIBIMAG (1), APESTERGAL (5), ASOPELLMAG (1), ASOPETRACRMAGDALENA (14), ASOPENOR (13), PEZCOMAGDA (1), ASOPETRASAN (22), APACCO (41), APALL (1), INDEPENDIENTE (6); Sabana de Torres: ASOPESCAMAS (2); Betulia: ASOGAMOSO (1), ASOPESVESA (1), INDEPENDIENTE (1); Puerto Wilches: ASOPECACO (11), INDEPENDIENTE (4); Girón: CORTURPIALHES (17)
Se atendieron solicitudes de renovación de carnés, y vinculación de nuevas asociaciones. Por tanto, hubo un aumento en la meta programada.</v>
      </c>
      <c r="AI92" s="81" t="str">
        <f>IFERROR(__xludf.DUMMYFUNCTION("""COMPUTED_VALUE"""),"https://drive.google.com/drive/folders/16-xxx6VG8M1l7YSVoP4W8QofwbIPkIPZ?usp=sharing")</f>
        <v>https://drive.google.com/drive/folders/16-xxx6VG8M1l7YSVoP4W8QofwbIPkIPZ?usp=sharing</v>
      </c>
      <c r="AJ92" s="60">
        <f>IFERROR(__xludf.DUMMYFUNCTION("""COMPUTED_VALUE"""),44396.0)</f>
        <v>44396</v>
      </c>
      <c r="AK92" s="61" t="str">
        <f>IFERROR(IF((AL92+1)&lt;2,Alertas!$B$2&amp;TEXT(AL92,"0%")&amp;Alertas!$D$2, IF((AL92+1)=2,Alertas!$B$3,IF((AL92+1)&gt;2,Alertas!$B$4&amp;TEXT(AL92,"0%")&amp;Alertas!$D$4,AL92+1))),"Sin meta para el segundo trimestre")</f>
        <v>La ejecución de la meta registrada se encuentra por encima de la meta programada en la formulación del plan de acción para el segundo trimestre, su porcentaje de cumplimiento es 114%,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2" s="62">
        <f t="shared" si="2"/>
        <v>1.144827586</v>
      </c>
      <c r="AM92" s="61" t="str">
        <f t="shared" si="3"/>
        <v>La ejecución de la meta registrada se encuentra por encima de la meta programada en la formulación del plan de acción para el segundo trimestre, su porcentaje de cumplimiento es 114%,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2" s="63"/>
      <c r="AO92" s="64"/>
      <c r="AP92" s="65"/>
      <c r="AQ92" s="65"/>
      <c r="AR92" s="66"/>
      <c r="AS92" s="67"/>
      <c r="AT92" s="68"/>
      <c r="AU92" s="63"/>
      <c r="AV92" s="64"/>
      <c r="AW92" s="69"/>
      <c r="AX92" s="65"/>
      <c r="AY92" s="70"/>
      <c r="AZ92" s="71"/>
      <c r="BA92" s="72"/>
      <c r="BB92" s="73"/>
      <c r="BC92" s="64"/>
      <c r="BD92" s="69"/>
      <c r="BE92" s="65"/>
      <c r="BF92" s="66"/>
      <c r="BG92" s="71"/>
      <c r="BH92" s="72"/>
      <c r="BI92" s="74"/>
      <c r="BK92" s="5" t="str">
        <f t="shared" si="23"/>
        <v>1</v>
      </c>
      <c r="BM92" s="5"/>
    </row>
    <row r="93" ht="37.5" customHeight="1">
      <c r="A93" s="45"/>
      <c r="B93" s="46">
        <f>IFERROR(__xludf.DUMMYFUNCTION("""COMPUTED_VALUE"""),91.0)</f>
        <v>91</v>
      </c>
      <c r="C93" s="47" t="str">
        <f>IFERROR(__xludf.DUMMYFUNCTION("""COMPUTED_VALUE"""),"Gestión de la administración y fomento")</f>
        <v>Gestión de la administración y fomento</v>
      </c>
      <c r="D93" s="48" t="str">
        <f>IFERROR(__xludf.DUMMYFUNCTION("""COMPUTED_VALUE"""),"Regional Barrancabermeja")</f>
        <v>Regional Barrancabermeja</v>
      </c>
      <c r="E93" s="48" t="str">
        <f>IFERROR(__xludf.DUMMYFUNCTION("""COMPUTED_VALUE"""),"Fortalecimiento de la sostenibilidad del sector pesquero y de la acuicultura en el territorio nacional")</f>
        <v>Fortalecimiento de la sostenibilidad del sector pesquero y de la acuicultura en el territorio nacional</v>
      </c>
      <c r="F93" s="49">
        <f>IFERROR(__xludf.DUMMYFUNCTION("""COMPUTED_VALUE"""),2.01901100028E12)</f>
        <v>2019011000280</v>
      </c>
      <c r="G93" s="50" t="str">
        <f>IFERROR(__xludf.DUMMYFUNCTION("""COMPUTED_VALUE"""),"Sostenibilidad")</f>
        <v>Sostenibilidad</v>
      </c>
      <c r="H93" s="48" t="str">
        <f>IFERROR(__xludf.DUMMYFUNCTION("""COMPUTED_VALUE"""),"Mejorar la explotación de los recursos pesqueros y de la acuicultura.")</f>
        <v>Mejorar la explotación de los recursos pesqueros y de la acuicultura.</v>
      </c>
      <c r="I93" s="48" t="str">
        <f>IFERROR(__xludf.DUMMYFUNCTION("""COMPUTED_VALUE"""),"Servicios de administración de los recurso pesqueros y de la acuicultura")</f>
        <v>Servicios de administración de los recurso pesqueros y de la acuicultura</v>
      </c>
      <c r="J93" s="48" t="str">
        <f>IFERROR(__xludf.DUMMYFUNCTION("""COMPUTED_VALUE"""),"Realizar acciones de divulgación y formalización de la actividad pesquera y de la acuicultura.")</f>
        <v>Realizar acciones de divulgación y formalización de la actividad pesquera y de la acuicultura.</v>
      </c>
      <c r="K93" s="51" t="str">
        <f>IFERROR(__xludf.DUMMYFUNCTION("""COMPUTED_VALUE"""),"Gestión del área")</f>
        <v>Gestión del área</v>
      </c>
      <c r="L93" s="51" t="str">
        <f>IFERROR(__xludf.DUMMYFUNCTION("""COMPUTED_VALUE"""),"Eficacia")</f>
        <v>Eficacia</v>
      </c>
      <c r="M93" s="51" t="str">
        <f>IFERROR(__xludf.DUMMYFUNCTION("""COMPUTED_VALUE"""),"Número")</f>
        <v>Número</v>
      </c>
      <c r="N93" s="52" t="str">
        <f>IFERROR(__xludf.DUMMYFUNCTION("""COMPUTED_VALUE"""),"Número de capacitaciones realizadas/Número de capacitaciones programadas")</f>
        <v>Número de capacitaciones realizadas/Número de capacitaciones programadas</v>
      </c>
      <c r="O93" s="82"/>
      <c r="P93" s="54">
        <f>IFERROR(__xludf.DUMMYFUNCTION("""COMPUTED_VALUE"""),40.0)</f>
        <v>40</v>
      </c>
      <c r="Q93" s="55" t="str">
        <f>IFERROR(__xludf.DUMMYFUNCTION("""COMPUTED_VALUE"""),"Capacitar a los grupos de interes en asociatividad y normatividad para el ejercicio de la acuicultura, pesca, y actividades conexas")</f>
        <v>Capacitar a los grupos de interes en asociatividad y normatividad para el ejercicio de la acuicultura, pesca, y actividades conexas</v>
      </c>
      <c r="R93" s="14" t="str">
        <f>IFERROR(__xludf.DUMMYFUNCTION("""COMPUTED_VALUE"""),"Trimestral")</f>
        <v>Trimestral</v>
      </c>
      <c r="S93" s="54">
        <f>IFERROR(__xludf.DUMMYFUNCTION("""COMPUTED_VALUE"""),4.0)</f>
        <v>4</v>
      </c>
      <c r="T93" s="54">
        <f>IFERROR(__xludf.DUMMYFUNCTION("""COMPUTED_VALUE"""),10.0)</f>
        <v>10</v>
      </c>
      <c r="U93" s="54">
        <f>IFERROR(__xludf.DUMMYFUNCTION("""COMPUTED_VALUE"""),12.0)</f>
        <v>12</v>
      </c>
      <c r="V93" s="54">
        <f>IFERROR(__xludf.DUMMYFUNCTION("""COMPUTED_VALUE"""),14.0)</f>
        <v>14</v>
      </c>
      <c r="W93" s="56" t="str">
        <f>IFERROR(__xludf.DUMMYFUNCTION("""COMPUTED_VALUE"""),"Regional Barrancabermeja")</f>
        <v>Regional Barrancabermeja</v>
      </c>
      <c r="X93" s="57" t="str">
        <f>IFERROR(__xludf.DUMMYFUNCTION("""COMPUTED_VALUE"""),"JAVIER JESUS OVALLE MARTINEZ")</f>
        <v>JAVIER JESUS OVALLE MARTINEZ</v>
      </c>
      <c r="Y93" s="47" t="str">
        <f>IFERROR(__xludf.DUMMYFUNCTION("""COMPUTED_VALUE"""),"DIRECTOR REGIONAL")</f>
        <v>DIRECTOR REGIONAL</v>
      </c>
      <c r="Z93" s="57" t="str">
        <f>IFERROR(__xludf.DUMMYFUNCTION("""COMPUTED_VALUE"""),"javier.ovalle@aunap.gov.co")</f>
        <v>javier.ovalle@aunap.gov.co</v>
      </c>
      <c r="AA93" s="47" t="str">
        <f>IFERROR(__xludf.DUMMYFUNCTION("""COMPUTED_VALUE"""),"Personal, viaticos, transporte")</f>
        <v>Personal, viaticos, transporte</v>
      </c>
      <c r="AB93" s="47" t="str">
        <f>IFERROR(__xludf.DUMMYFUNCTION("""COMPUTED_VALUE"""),"No asociado")</f>
        <v>No asociado</v>
      </c>
      <c r="AC93" s="47" t="str">
        <f>IFERROR(__xludf.DUMMYFUNCTION("""COMPUTED_VALUE"""),"Llegar con actividades de pesca y acuicultura a todas las regiones")</f>
        <v>Llegar con actividades de pesca y acuicultura a todas las regiones</v>
      </c>
      <c r="AD93" s="47" t="str">
        <f>IFERROR(__xludf.DUMMYFUNCTION("""COMPUTED_VALUE"""),"Gestión con valores para resultados")</f>
        <v>Gestión con valores para resultados</v>
      </c>
      <c r="AE93" s="47" t="str">
        <f>IFERROR(__xludf.DUMMYFUNCTION("""COMPUTED_VALUE"""),"Fortalecimiento Organizacional y Simplificación de Procesos")</f>
        <v>Fortalecimiento Organizacional y Simplificación de Procesos</v>
      </c>
      <c r="AF93" s="47" t="str">
        <f>IFERROR(__xludf.DUMMYFUNCTION("""COMPUTED_VALUE"""),"12. Producción y consumo responsable")</f>
        <v>12. Producción y consumo responsable</v>
      </c>
      <c r="AG93" s="79">
        <f>IFERROR(__xludf.DUMMYFUNCTION("""COMPUTED_VALUE"""),11.0)</f>
        <v>11</v>
      </c>
      <c r="AH93" s="59" t="str">
        <f>IFERROR(__xludf.DUMMYFUNCTION("""COMPUTED_VALUE"""),"Durante el segundo Trimestre del año, se realizaron once (11) Capacitaciones dirigidas a las asociaciones de pescadores artesanales y comerciantes que hacen parte de la jurisdicción Regional Barrancabermeja, socializando en temas de pesca en cuanto a trám"&amp;"ite de permisos de Pesca, Cultivo y/o comercialización (Resolución No. 2363 del 2020); socialización del programa coseche y venda a la fija,  desde Puerto Nare (Ant), Cúcuta (N. Stder), Puerto Parra (Stder), Puerto Boyacá (Boyacá)  Atendiendo ciento seten"&amp;"ta y ocho (178) pescadores artesanales de ASOPESNA, Comerciantes, ASOPESVABA, APECOP, ASOPESCAR Y ASOPESCANOS cumpliendo con los protocolos de bioseguridad ante COVID 19.  Se aumentó la meta programada.")</f>
        <v>Durante el segundo Trimestre del año, se realizaron once (11) Capacitaciones dirigidas a las asociaciones de pescadores artesanales y comerciantes que hacen parte de la jurisdicción Regional Barrancabermeja, socializando en temas de pesca en cuanto a trámite de permisos de Pesca, Cultivo y/o comercialización (Resolución No. 2363 del 2020); socialización del programa coseche y venda a la fija,  desde Puerto Nare (Ant), Cúcuta (N. Stder), Puerto Parra (Stder), Puerto Boyacá (Boyacá)  Atendiendo ciento setenta y ocho (178) pescadores artesanales de ASOPESNA, Comerciantes, ASOPESVABA, APECOP, ASOPESCAR Y ASOPESCANOS cumpliendo con los protocolos de bioseguridad ante COVID 19.  Se aumentó la meta programada.</v>
      </c>
      <c r="AI93" s="81" t="str">
        <f>IFERROR(__xludf.DUMMYFUNCTION("""COMPUTED_VALUE"""),"https://drive.google.com/drive/folders/1B0ercEBPx_Iv7xkTHYyiyth-nYnpCmYS?usp=sharing")</f>
        <v>https://drive.google.com/drive/folders/1B0ercEBPx_Iv7xkTHYyiyth-nYnpCmYS?usp=sharing</v>
      </c>
      <c r="AJ93" s="60">
        <f>IFERROR(__xludf.DUMMYFUNCTION("""COMPUTED_VALUE"""),44396.0)</f>
        <v>44396</v>
      </c>
      <c r="AK93" s="61" t="str">
        <f>IFERROR(IF((AL93+1)&lt;2,Alertas!$B$2&amp;TEXT(AL93,"0%")&amp;Alertas!$D$2, IF((AL93+1)=2,Alertas!$B$3,IF((AL93+1)&gt;2,Alertas!$B$4&amp;TEXT(AL93,"0%")&amp;Alertas!$D$4,AL93+1))),"Sin meta para el segundo trimestre")</f>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3" s="62">
        <f t="shared" si="2"/>
        <v>1.1</v>
      </c>
      <c r="AM93" s="61" t="str">
        <f t="shared" si="3"/>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3" s="63"/>
      <c r="AO93" s="64"/>
      <c r="AP93" s="65"/>
      <c r="AQ93" s="65"/>
      <c r="AR93" s="66"/>
      <c r="AS93" s="67"/>
      <c r="AT93" s="68"/>
      <c r="AU93" s="63"/>
      <c r="AV93" s="64"/>
      <c r="AW93" s="69"/>
      <c r="AX93" s="65"/>
      <c r="AY93" s="70"/>
      <c r="AZ93" s="71"/>
      <c r="BA93" s="72"/>
      <c r="BB93" s="73"/>
      <c r="BC93" s="64"/>
      <c r="BD93" s="69"/>
      <c r="BE93" s="65"/>
      <c r="BF93" s="66"/>
      <c r="BG93" s="71"/>
      <c r="BH93" s="72"/>
      <c r="BI93" s="74"/>
      <c r="BK93" s="5" t="str">
        <f t="shared" si="23"/>
        <v>1</v>
      </c>
      <c r="BM93" s="5"/>
    </row>
    <row r="94" ht="37.5" customHeight="1">
      <c r="A94" s="45"/>
      <c r="B94" s="46">
        <f>IFERROR(__xludf.DUMMYFUNCTION("""COMPUTED_VALUE"""),92.0)</f>
        <v>92</v>
      </c>
      <c r="C94" s="47" t="str">
        <f>IFERROR(__xludf.DUMMYFUNCTION("""COMPUTED_VALUE"""),"Gestión de la administración y fomento")</f>
        <v>Gestión de la administración y fomento</v>
      </c>
      <c r="D94" s="48" t="str">
        <f>IFERROR(__xludf.DUMMYFUNCTION("""COMPUTED_VALUE"""),"Regional Barrancabermeja")</f>
        <v>Regional Barrancabermeja</v>
      </c>
      <c r="E94" s="48" t="str">
        <f>IFERROR(__xludf.DUMMYFUNCTION("""COMPUTED_VALUE"""),"Fortalecimiento de la sostenibilidad del sector pesquero y de la acuicultura en el territorio nacional")</f>
        <v>Fortalecimiento de la sostenibilidad del sector pesquero y de la acuicultura en el territorio nacional</v>
      </c>
      <c r="F94" s="49">
        <f>IFERROR(__xludf.DUMMYFUNCTION("""COMPUTED_VALUE"""),2.01901100028E12)</f>
        <v>2019011000280</v>
      </c>
      <c r="G94" s="50" t="str">
        <f>IFERROR(__xludf.DUMMYFUNCTION("""COMPUTED_VALUE"""),"Sostenibilidad")</f>
        <v>Sostenibilidad</v>
      </c>
      <c r="H94" s="48" t="str">
        <f>IFERROR(__xludf.DUMMYFUNCTION("""COMPUTED_VALUE"""),"Mejorar la explotación de los recursos pesqueros y de la acuicultura.")</f>
        <v>Mejorar la explotación de los recursos pesqueros y de la acuicultura.</v>
      </c>
      <c r="I94" s="48" t="str">
        <f>IFERROR(__xludf.DUMMYFUNCTION("""COMPUTED_VALUE"""),"Servicio de ordenación pesquera y de la acuicultura")</f>
        <v>Servicio de ordenación pesquera y de la acuicultura</v>
      </c>
      <c r="J94" s="48" t="str">
        <f>IFERROR(__xludf.DUMMYFUNCTION("""COMPUTED_VALUE"""),"Realizar seguimiento a los acuerdos de ordenación")</f>
        <v>Realizar seguimiento a los acuerdos de ordenación</v>
      </c>
      <c r="K94" s="51" t="str">
        <f>IFERROR(__xludf.DUMMYFUNCTION("""COMPUTED_VALUE"""),"Producto")</f>
        <v>Producto</v>
      </c>
      <c r="L94" s="51" t="str">
        <f>IFERROR(__xludf.DUMMYFUNCTION("""COMPUTED_VALUE"""),"Eficacia")</f>
        <v>Eficacia</v>
      </c>
      <c r="M94" s="51" t="str">
        <f>IFERROR(__xludf.DUMMYFUNCTION("""COMPUTED_VALUE"""),"Número")</f>
        <v>Número</v>
      </c>
      <c r="N94" s="52" t="str">
        <f>IFERROR(__xludf.DUMMYFUNCTION("""COMPUTED_VALUE"""),"Acuerdos de ordenacion atendidos")</f>
        <v>Acuerdos de ordenacion atendidos</v>
      </c>
      <c r="O94" s="82">
        <f>IFERROR(__xludf.DUMMYFUNCTION("""COMPUTED_VALUE"""),-3.0)</f>
        <v>-3</v>
      </c>
      <c r="P94" s="54">
        <f>IFERROR(__xludf.DUMMYFUNCTION("""COMPUTED_VALUE"""),2.0)</f>
        <v>2</v>
      </c>
      <c r="Q94" s="55" t="str">
        <f>IFERROR(__xludf.DUMMYFUNCTION("""COMPUTED_VALUE"""),"Realizar seguimiento a los acuerdos de ordenación pesquera")</f>
        <v>Realizar seguimiento a los acuerdos de ordenación pesquera</v>
      </c>
      <c r="R94" s="14" t="str">
        <f>IFERROR(__xludf.DUMMYFUNCTION("""COMPUTED_VALUE"""),"Trimestral")</f>
        <v>Trimestral</v>
      </c>
      <c r="S94" s="54">
        <f>IFERROR(__xludf.DUMMYFUNCTION("""COMPUTED_VALUE"""),0.0)</f>
        <v>0</v>
      </c>
      <c r="T94" s="54">
        <f>IFERROR(__xludf.DUMMYFUNCTION("""COMPUTED_VALUE"""),1.0)</f>
        <v>1</v>
      </c>
      <c r="U94" s="54">
        <f>IFERROR(__xludf.DUMMYFUNCTION("""COMPUTED_VALUE"""),1.0)</f>
        <v>1</v>
      </c>
      <c r="V94" s="54">
        <f>IFERROR(__xludf.DUMMYFUNCTION("""COMPUTED_VALUE"""),0.0)</f>
        <v>0</v>
      </c>
      <c r="W94" s="56" t="str">
        <f>IFERROR(__xludf.DUMMYFUNCTION("""COMPUTED_VALUE"""),"Regional Barrancabermeja")</f>
        <v>Regional Barrancabermeja</v>
      </c>
      <c r="X94" s="57" t="str">
        <f>IFERROR(__xludf.DUMMYFUNCTION("""COMPUTED_VALUE"""),"JAVIER JESUS OVALLE MARTINEZ")</f>
        <v>JAVIER JESUS OVALLE MARTINEZ</v>
      </c>
      <c r="Y94" s="47" t="str">
        <f>IFERROR(__xludf.DUMMYFUNCTION("""COMPUTED_VALUE"""),"DIRECTOR REGIONAL")</f>
        <v>DIRECTOR REGIONAL</v>
      </c>
      <c r="Z94" s="57" t="str">
        <f>IFERROR(__xludf.DUMMYFUNCTION("""COMPUTED_VALUE"""),"javier.ovalle@aunap.gov.co")</f>
        <v>javier.ovalle@aunap.gov.co</v>
      </c>
      <c r="AA94" s="47" t="str">
        <f>IFERROR(__xludf.DUMMYFUNCTION("""COMPUTED_VALUE"""),"Personal, viaticos, transporte")</f>
        <v>Personal, viaticos, transporte</v>
      </c>
      <c r="AB94" s="47" t="str">
        <f>IFERROR(__xludf.DUMMYFUNCTION("""COMPUTED_VALUE"""),"No asociado")</f>
        <v>No asociado</v>
      </c>
      <c r="AC9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4" s="47" t="str">
        <f>IFERROR(__xludf.DUMMYFUNCTION("""COMPUTED_VALUE"""),"Gestión con valores para resultados")</f>
        <v>Gestión con valores para resultados</v>
      </c>
      <c r="AE94" s="47" t="str">
        <f>IFERROR(__xludf.DUMMYFUNCTION("""COMPUTED_VALUE"""),"Fortalecimiento Organizacional y Simplificación de Procesos")</f>
        <v>Fortalecimiento Organizacional y Simplificación de Procesos</v>
      </c>
      <c r="AF94" s="47" t="str">
        <f>IFERROR(__xludf.DUMMYFUNCTION("""COMPUTED_VALUE"""),"12. Producción y consumo responsable")</f>
        <v>12. Producción y consumo responsable</v>
      </c>
      <c r="AG94" s="79">
        <f>IFERROR(__xludf.DUMMYFUNCTION("""COMPUTED_VALUE"""),1.0)</f>
        <v>1</v>
      </c>
      <c r="AH94" s="59" t="str">
        <f>IFERROR(__xludf.DUMMYFUNCTION("""COMPUTED_VALUE"""),"Durante el segundo trimestre del año, se realizó un informe del seguimiento sujeto  al acuerdo de veda del Bagre rayado por avistamiento de candeleo, establecido como estrategia de conservación de la especie endémica que se encuentra en via de extinción, "&amp;"trabajando mancomunadamente con las asociaciones ASOPEZCHUCURI, ASOPESBOCAR Y ASODESBA.")</f>
        <v>Durante el segundo trimestre del año, se realizó un informe del seguimiento sujeto  al acuerdo de veda del Bagre rayado por avistamiento de candeleo, establecido como estrategia de conservación de la especie endémica que se encuentra en via de extinción, trabajando mancomunadamente con las asociaciones ASOPEZCHUCURI, ASOPESBOCAR Y ASODESBA.</v>
      </c>
      <c r="AI94" s="81" t="str">
        <f>IFERROR(__xludf.DUMMYFUNCTION("""COMPUTED_VALUE"""),"https://drive.google.com/drive/folders/1O-BHLpDVC2uOioIVfFwf3Mn2YfbeTlCH?usp=sharing")</f>
        <v>https://drive.google.com/drive/folders/1O-BHLpDVC2uOioIVfFwf3Mn2YfbeTlCH?usp=sharing</v>
      </c>
      <c r="AJ94" s="60">
        <f>IFERROR(__xludf.DUMMYFUNCTION("""COMPUTED_VALUE"""),44396.0)</f>
        <v>44396</v>
      </c>
      <c r="AK94" s="61" t="str">
        <f>IFERROR(IF((AL94+1)&lt;2,Alertas!$B$2&amp;TEXT(AL94,"0%")&amp;Alertas!$D$2, IF((AL94+1)=2,Alertas!$B$3,IF((AL94+1)&gt;2,Alertas!$B$4&amp;TEXT(AL94,"0%")&amp;Alertas!$D$4,AL94+1))),"Sin meta para el segundo trimestre")</f>
        <v>La ejecución de la meta registrada se encuentra acorde a la meta programada en la formulación del plan de acción para el segundo trimestre</v>
      </c>
      <c r="AL94" s="62">
        <f t="shared" si="2"/>
        <v>1</v>
      </c>
      <c r="AM94" s="61" t="str">
        <f t="shared" si="3"/>
        <v>La ejecución de la meta registrada se encuentra acorde a la meta programada en la formulación del plan de acción para el segundo trimestre.</v>
      </c>
      <c r="AN94" s="63"/>
      <c r="AO94" s="64"/>
      <c r="AP94" s="65"/>
      <c r="AQ94" s="65"/>
      <c r="AR94" s="66"/>
      <c r="AS94" s="67"/>
      <c r="AT94" s="68"/>
      <c r="AU94" s="63"/>
      <c r="AV94" s="64"/>
      <c r="AW94" s="69"/>
      <c r="AX94" s="65"/>
      <c r="AY94" s="70"/>
      <c r="AZ94" s="71"/>
      <c r="BA94" s="72"/>
      <c r="BB94" s="73"/>
      <c r="BC94" s="64"/>
      <c r="BD94" s="69"/>
      <c r="BE94" s="65"/>
      <c r="BF94" s="66"/>
      <c r="BG94" s="71"/>
      <c r="BH94" s="72"/>
      <c r="BI94" s="74"/>
      <c r="BK94" s="5" t="str">
        <f t="shared" si="23"/>
        <v>0</v>
      </c>
      <c r="BM94" s="5"/>
    </row>
    <row r="95" ht="37.5" customHeight="1">
      <c r="A95" s="45"/>
      <c r="B95" s="46">
        <f>IFERROR(__xludf.DUMMYFUNCTION("""COMPUTED_VALUE"""),93.0)</f>
        <v>93</v>
      </c>
      <c r="C95" s="47" t="str">
        <f>IFERROR(__xludf.DUMMYFUNCTION("""COMPUTED_VALUE"""),"Gestión de la administración y fomento")</f>
        <v>Gestión de la administración y fomento</v>
      </c>
      <c r="D95" s="48" t="str">
        <f>IFERROR(__xludf.DUMMYFUNCTION("""COMPUTED_VALUE"""),"Regional Barrancabermeja")</f>
        <v>Regional Barrancabermeja</v>
      </c>
      <c r="E95" s="48" t="str">
        <f>IFERROR(__xludf.DUMMYFUNCTION("""COMPUTED_VALUE"""),"Fortalecimiento de la sostenibilidad del sector pesquero y de la acuicultura en el territorio nacional")</f>
        <v>Fortalecimiento de la sostenibilidad del sector pesquero y de la acuicultura en el territorio nacional</v>
      </c>
      <c r="F95" s="49">
        <f>IFERROR(__xludf.DUMMYFUNCTION("""COMPUTED_VALUE"""),2.01901100028E12)</f>
        <v>2019011000280</v>
      </c>
      <c r="G95" s="50" t="str">
        <f>IFERROR(__xludf.DUMMYFUNCTION("""COMPUTED_VALUE"""),"Sostenibilidad")</f>
        <v>Sostenibilidad</v>
      </c>
      <c r="H95" s="48" t="str">
        <f>IFERROR(__xludf.DUMMYFUNCTION("""COMPUTED_VALUE"""),"Mejorar la explotación de los recursos pesqueros y de la acuicultura.")</f>
        <v>Mejorar la explotación de los recursos pesqueros y de la acuicultura.</v>
      </c>
      <c r="I95" s="48" t="str">
        <f>IFERROR(__xludf.DUMMYFUNCTION("""COMPUTED_VALUE"""),"Servicio de ordenación pesquera y de la acuicultura")</f>
        <v>Servicio de ordenación pesquera y de la acuicultura</v>
      </c>
      <c r="J95" s="48" t="str">
        <f>IFERROR(__xludf.DUMMYFUNCTION("""COMPUTED_VALUE"""),"Generar acuerdos de ordenación de la actividad pesquera y de la acuicultura.")</f>
        <v>Generar acuerdos de ordenación de la actividad pesquera y de la acuicultura.</v>
      </c>
      <c r="K95" s="51" t="str">
        <f>IFERROR(__xludf.DUMMYFUNCTION("""COMPUTED_VALUE"""),"Producto")</f>
        <v>Producto</v>
      </c>
      <c r="L95" s="51" t="str">
        <f>IFERROR(__xludf.DUMMYFUNCTION("""COMPUTED_VALUE"""),"Eficacia")</f>
        <v>Eficacia</v>
      </c>
      <c r="M95" s="51" t="str">
        <f>IFERROR(__xludf.DUMMYFUNCTION("""COMPUTED_VALUE"""),"Número")</f>
        <v>Número</v>
      </c>
      <c r="N95" s="52" t="str">
        <f>IFERROR(__xludf.DUMMYFUNCTION("""COMPUTED_VALUE"""),"Acuerdos de ordenacion atendidos")</f>
        <v>Acuerdos de ordenacion atendidos</v>
      </c>
      <c r="O95" s="82">
        <f>IFERROR(__xludf.DUMMYFUNCTION("""COMPUTED_VALUE"""),-3.0)</f>
        <v>-3</v>
      </c>
      <c r="P95" s="77">
        <f>IFERROR(__xludf.DUMMYFUNCTION("""COMPUTED_VALUE"""),1.0)</f>
        <v>1</v>
      </c>
      <c r="Q95" s="78" t="str">
        <f>IFERROR(__xludf.DUMMYFUNCTION("""COMPUTED_VALUE"""),"Generar acuerdos de ordenación de la actividad pesquera y de la acuicultura")</f>
        <v>Generar acuerdos de ordenación de la actividad pesquera y de la acuicultura</v>
      </c>
      <c r="R95" s="78" t="str">
        <f>IFERROR(__xludf.DUMMYFUNCTION("""COMPUTED_VALUE"""),"Trimestral")</f>
        <v>Trimestral</v>
      </c>
      <c r="S95" s="77">
        <f>IFERROR(__xludf.DUMMYFUNCTION("""COMPUTED_VALUE"""),0.0)</f>
        <v>0</v>
      </c>
      <c r="T95" s="77">
        <f>IFERROR(__xludf.DUMMYFUNCTION("""COMPUTED_VALUE"""),0.0)</f>
        <v>0</v>
      </c>
      <c r="U95" s="77">
        <f>IFERROR(__xludf.DUMMYFUNCTION("""COMPUTED_VALUE"""),0.0)</f>
        <v>0</v>
      </c>
      <c r="V95" s="77">
        <f>IFERROR(__xludf.DUMMYFUNCTION("""COMPUTED_VALUE"""),1.0)</f>
        <v>1</v>
      </c>
      <c r="W95" s="56" t="str">
        <f>IFERROR(__xludf.DUMMYFUNCTION("""COMPUTED_VALUE"""),"Regional Barrancabermeja")</f>
        <v>Regional Barrancabermeja</v>
      </c>
      <c r="X95" s="57" t="str">
        <f>IFERROR(__xludf.DUMMYFUNCTION("""COMPUTED_VALUE"""),"JAVIER JESUS OVALLE MARTINEZ")</f>
        <v>JAVIER JESUS OVALLE MARTINEZ</v>
      </c>
      <c r="Y95" s="47" t="str">
        <f>IFERROR(__xludf.DUMMYFUNCTION("""COMPUTED_VALUE"""),"DIRECTOR REGIONAL")</f>
        <v>DIRECTOR REGIONAL</v>
      </c>
      <c r="Z95" s="57" t="str">
        <f>IFERROR(__xludf.DUMMYFUNCTION("""COMPUTED_VALUE"""),"javier.ovalle@aunap.gov.co")</f>
        <v>javier.ovalle@aunap.gov.co</v>
      </c>
      <c r="AA95" s="47" t="str">
        <f>IFERROR(__xludf.DUMMYFUNCTION("""COMPUTED_VALUE"""),"Personal, viaticos, transporte")</f>
        <v>Personal, viaticos, transporte</v>
      </c>
      <c r="AB95" s="47" t="str">
        <f>IFERROR(__xludf.DUMMYFUNCTION("""COMPUTED_VALUE"""),"No asociado")</f>
        <v>No asociado</v>
      </c>
      <c r="AC9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5" s="47" t="str">
        <f>IFERROR(__xludf.DUMMYFUNCTION("""COMPUTED_VALUE"""),"Gestión con valores para resultados")</f>
        <v>Gestión con valores para resultados</v>
      </c>
      <c r="AE95" s="47" t="str">
        <f>IFERROR(__xludf.DUMMYFUNCTION("""COMPUTED_VALUE"""),"Fortalecimiento Organizacional y Simplificación de Procesos")</f>
        <v>Fortalecimiento Organizacional y Simplificación de Procesos</v>
      </c>
      <c r="AF95" s="47" t="str">
        <f>IFERROR(__xludf.DUMMYFUNCTION("""COMPUTED_VALUE"""),"12. Producción y consumo responsable")</f>
        <v>12. Producción y consumo responsable</v>
      </c>
      <c r="AG95" s="79">
        <f>IFERROR(__xludf.DUMMYFUNCTION("""COMPUTED_VALUE"""),0.0)</f>
        <v>0</v>
      </c>
      <c r="AH95" s="59" t="str">
        <f>IFERROR(__xludf.DUMMYFUNCTION("""COMPUTED_VALUE"""),"La ejecución de esta actividad esta programada para el IV Trimestre, está en proceso. Por tanto no se adjunta evidencia. ")</f>
        <v>La ejecución de esta actividad esta programada para el IV Trimestre, está en proceso. Por tanto no se adjunta evidencia. </v>
      </c>
      <c r="AI95" s="59" t="str">
        <f>IFERROR(__xludf.DUMMYFUNCTION("""COMPUTED_VALUE"""),"No se ha generado carpeta de evidencias sobre esta actividad")</f>
        <v>No se ha generado carpeta de evidencias sobre esta actividad</v>
      </c>
      <c r="AJ95" s="60">
        <f>IFERROR(__xludf.DUMMYFUNCTION("""COMPUTED_VALUE"""),44396.0)</f>
        <v>44396</v>
      </c>
      <c r="AK95" s="61" t="str">
        <f>IFERROR(IF((AL95+1)&lt;2,Alertas!$B$2&amp;TEXT(AL95,"0%")&amp;Alertas!$D$2, IF((AL95+1)=2,Alertas!$B$3,IF((AL95+1)&gt;2,Alertas!$B$4&amp;TEXT(AL95,"0%")&amp;Alertas!$D$4,AL95+1))),"Sin meta para el segundo trimestre")</f>
        <v>Sin meta para el segundo trimestre</v>
      </c>
      <c r="AL95" s="62" t="str">
        <f t="shared" si="2"/>
        <v>-</v>
      </c>
      <c r="AM95" s="61" t="str">
        <f t="shared" si="3"/>
        <v>Sin meta para el segundo trimestre.</v>
      </c>
      <c r="AN95" s="63"/>
      <c r="AO95" s="64"/>
      <c r="AP95" s="65"/>
      <c r="AQ95" s="65"/>
      <c r="AR95" s="66"/>
      <c r="AS95" s="67"/>
      <c r="AT95" s="68"/>
      <c r="AU95" s="63"/>
      <c r="AV95" s="64"/>
      <c r="AW95" s="69"/>
      <c r="AX95" s="65"/>
      <c r="AY95" s="70"/>
      <c r="AZ95" s="71"/>
      <c r="BA95" s="72"/>
      <c r="BB95" s="73"/>
      <c r="BC95" s="64"/>
      <c r="BD95" s="69"/>
      <c r="BE95" s="65"/>
      <c r="BF95" s="66"/>
      <c r="BG95" s="71"/>
      <c r="BH95" s="72"/>
      <c r="BI95" s="74"/>
      <c r="BK95" s="5" t="str">
        <f t="shared" si="23"/>
        <v>-</v>
      </c>
      <c r="BM95" s="5"/>
    </row>
    <row r="96" ht="37.5" customHeight="1">
      <c r="A96" s="45"/>
      <c r="B96" s="46">
        <f>IFERROR(__xludf.DUMMYFUNCTION("""COMPUTED_VALUE"""),94.0)</f>
        <v>94</v>
      </c>
      <c r="C96" s="47" t="str">
        <f>IFERROR(__xludf.DUMMYFUNCTION("""COMPUTED_VALUE"""),"Gestión de la administración y fomento")</f>
        <v>Gestión de la administración y fomento</v>
      </c>
      <c r="D96" s="48" t="str">
        <f>IFERROR(__xludf.DUMMYFUNCTION("""COMPUTED_VALUE"""),"Regional Barranquilla")</f>
        <v>Regional Barranquilla</v>
      </c>
      <c r="E96" s="48" t="str">
        <f>IFERROR(__xludf.DUMMYFUNCTION("""COMPUTED_VALUE"""),"Fortalecimiento de la sostenibilidad del sector pesquero y de la acuicultura en el territorio nacional")</f>
        <v>Fortalecimiento de la sostenibilidad del sector pesquero y de la acuicultura en el territorio nacional</v>
      </c>
      <c r="F96" s="49">
        <f>IFERROR(__xludf.DUMMYFUNCTION("""COMPUTED_VALUE"""),2.01901100028E12)</f>
        <v>2019011000280</v>
      </c>
      <c r="G96" s="50" t="str">
        <f>IFERROR(__xludf.DUMMYFUNCTION("""COMPUTED_VALUE"""),"Sostenibilidad")</f>
        <v>Sostenibilidad</v>
      </c>
      <c r="H96" s="48" t="str">
        <f>IFERROR(__xludf.DUMMYFUNCTION("""COMPUTED_VALUE"""),"Mejorar la explotación de los recursos pesqueros y de la acuicultura.")</f>
        <v>Mejorar la explotación de los recursos pesqueros y de la acuicultura.</v>
      </c>
      <c r="I96" s="48" t="str">
        <f>IFERROR(__xludf.DUMMYFUNCTION("""COMPUTED_VALUE"""),"Servicios de administración de los recurso pesqueros y de la acuicultura")</f>
        <v>Servicios de administración de los recurso pesqueros y de la acuicultura</v>
      </c>
      <c r="J96" s="48" t="str">
        <f>IFERROR(__xludf.DUMMYFUNCTION("""COMPUTED_VALUE"""),"Regular el manejo y el ejercicio de la actividad pesquera y de la acuicultura.")</f>
        <v>Regular el manejo y el ejercicio de la actividad pesquera y de la acuicultura.</v>
      </c>
      <c r="K96" s="51" t="str">
        <f>IFERROR(__xludf.DUMMYFUNCTION("""COMPUTED_VALUE"""),"Producto")</f>
        <v>Producto</v>
      </c>
      <c r="L96" s="51" t="str">
        <f>IFERROR(__xludf.DUMMYFUNCTION("""COMPUTED_VALUE"""),"Eficacia")</f>
        <v>Eficacia</v>
      </c>
      <c r="M96" s="51" t="str">
        <f>IFERROR(__xludf.DUMMYFUNCTION("""COMPUTED_VALUE"""),"Número")</f>
        <v>Número</v>
      </c>
      <c r="N96" s="52" t="str">
        <f>IFERROR(__xludf.DUMMYFUNCTION("""COMPUTED_VALUE"""),"Trámites atendidos")</f>
        <v>Trámites atendidos</v>
      </c>
      <c r="O96" s="82"/>
      <c r="P96" s="77">
        <f>IFERROR(__xludf.DUMMYFUNCTION("""COMPUTED_VALUE"""),1000.0)</f>
        <v>1000</v>
      </c>
      <c r="Q96" s="78" t="str">
        <f>IFERROR(__xludf.DUMMYFUNCTION("""COMPUTED_VALUE"""),"Gestionar las solicitudes de los tramites de permisos de para el ejercicio de la pesca y la acuicultura")</f>
        <v>Gestionar las solicitudes de los tramites de permisos de para el ejercicio de la pesca y la acuicultura</v>
      </c>
      <c r="R96" s="78" t="str">
        <f>IFERROR(__xludf.DUMMYFUNCTION("""COMPUTED_VALUE"""),"Trimestral")</f>
        <v>Trimestral</v>
      </c>
      <c r="S96" s="77">
        <f>IFERROR(__xludf.DUMMYFUNCTION("""COMPUTED_VALUE"""),178.0)</f>
        <v>178</v>
      </c>
      <c r="T96" s="77">
        <f>IFERROR(__xludf.DUMMYFUNCTION("""COMPUTED_VALUE"""),260.0)</f>
        <v>260</v>
      </c>
      <c r="U96" s="77">
        <f>IFERROR(__xludf.DUMMYFUNCTION("""COMPUTED_VALUE"""),247.0)</f>
        <v>247</v>
      </c>
      <c r="V96" s="77">
        <f>IFERROR(__xludf.DUMMYFUNCTION("""COMPUTED_VALUE"""),315.0)</f>
        <v>315</v>
      </c>
      <c r="W96" s="56" t="str">
        <f>IFERROR(__xludf.DUMMYFUNCTION("""COMPUTED_VALUE"""),"Regional Barranquilla")</f>
        <v>Regional Barranquilla</v>
      </c>
      <c r="X96" s="57" t="str">
        <f>IFERROR(__xludf.DUMMYFUNCTION("""COMPUTED_VALUE"""),"Jorge Roa")</f>
        <v>Jorge Roa</v>
      </c>
      <c r="Y96" s="47" t="str">
        <f>IFERROR(__xludf.DUMMYFUNCTION("""COMPUTED_VALUE"""),"Director Regional")</f>
        <v>Director Regional</v>
      </c>
      <c r="Z96" s="57" t="str">
        <f>IFERROR(__xludf.DUMMYFUNCTION("""COMPUTED_VALUE"""),"jorge.roa@aunap.gov.co")</f>
        <v>jorge.roa@aunap.gov.co</v>
      </c>
      <c r="AA96" s="47" t="str">
        <f>IFERROR(__xludf.DUMMYFUNCTION("""COMPUTED_VALUE"""),"Humanos, Físicos, Financieros, Tecnológicos")</f>
        <v>Humanos, Físicos, Financieros, Tecnológicos</v>
      </c>
      <c r="AB96" s="47" t="str">
        <f>IFERROR(__xludf.DUMMYFUNCTION("""COMPUTED_VALUE"""),"No asociado")</f>
        <v>No asociado</v>
      </c>
      <c r="AC96" s="47" t="str">
        <f>IFERROR(__xludf.DUMMYFUNCTION("""COMPUTED_VALUE"""),"Propiciar la formalización de la pesca y la acuicultura")</f>
        <v>Propiciar la formalización de la pesca y la acuicultura</v>
      </c>
      <c r="AD96" s="47" t="str">
        <f>IFERROR(__xludf.DUMMYFUNCTION("""COMPUTED_VALUE"""),"Gestión con valores para resultados")</f>
        <v>Gestión con valores para resultados</v>
      </c>
      <c r="AE96" s="47" t="str">
        <f>IFERROR(__xludf.DUMMYFUNCTION("""COMPUTED_VALUE"""),"Fortalecimiento Organizacional y Simplificación de Procesos")</f>
        <v>Fortalecimiento Organizacional y Simplificación de Procesos</v>
      </c>
      <c r="AF96" s="47" t="str">
        <f>IFERROR(__xludf.DUMMYFUNCTION("""COMPUTED_VALUE"""),"12. Producción y consumo responsable")</f>
        <v>12. Producción y consumo responsable</v>
      </c>
      <c r="AG96" s="79">
        <f>IFERROR(__xludf.DUMMYFUNCTION("""COMPUTED_VALUE"""),262.0)</f>
        <v>262</v>
      </c>
      <c r="AH96" s="59" t="str">
        <f>IFERROR(__xludf.DUMMYFUNCTION("""COMPUTED_VALUE"""),"Se relizaron 164 tramites de pequeños comerciates y 98 para comercializacion general ")</f>
        <v>Se relizaron 164 tramites de pequeños comerciates y 98 para comercializacion general </v>
      </c>
      <c r="AI96" s="81" t="str">
        <f>IFERROR(__xludf.DUMMYFUNCTION("""COMPUTED_VALUE"""),"https://drive.google.com/drive/folders/1vQBf4upsNEi1tJVKZWc0VVlf4dANbkc2?usp=sharing")</f>
        <v>https://drive.google.com/drive/folders/1vQBf4upsNEi1tJVKZWc0VVlf4dANbkc2?usp=sharing</v>
      </c>
      <c r="AJ96" s="60">
        <f>IFERROR(__xludf.DUMMYFUNCTION("""COMPUTED_VALUE"""),44396.0)</f>
        <v>44396</v>
      </c>
      <c r="AK96" s="61" t="str">
        <f>IFERROR(IF((AL96+1)&lt;2,Alertas!$B$2&amp;TEXT(AL96,"0%")&amp;Alertas!$D$2, IF((AL96+1)=2,Alertas!$B$3,IF((AL96+1)&gt;2,Alertas!$B$4&amp;TEXT(AL96,"0%")&amp;Alertas!$D$4,AL96+1))),"Sin meta para el segundo trimestre")</f>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6" s="62">
        <f t="shared" si="2"/>
        <v>1.007692308</v>
      </c>
      <c r="AM96" s="61" t="str">
        <f t="shared" si="3"/>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6" s="63"/>
      <c r="AO96" s="64"/>
      <c r="AP96" s="65"/>
      <c r="AQ96" s="65"/>
      <c r="AR96" s="66"/>
      <c r="AS96" s="67"/>
      <c r="AT96" s="68"/>
      <c r="AU96" s="63"/>
      <c r="AV96" s="64"/>
      <c r="AW96" s="69"/>
      <c r="AX96" s="65"/>
      <c r="AY96" s="70"/>
      <c r="AZ96" s="71"/>
      <c r="BA96" s="72"/>
      <c r="BB96" s="73"/>
      <c r="BC96" s="64"/>
      <c r="BD96" s="69"/>
      <c r="BE96" s="65"/>
      <c r="BF96" s="66"/>
      <c r="BG96" s="71"/>
      <c r="BH96" s="72"/>
      <c r="BI96" s="74"/>
      <c r="BK96" s="5" t="str">
        <f t="shared" si="23"/>
        <v>1</v>
      </c>
      <c r="BM96" s="5"/>
    </row>
    <row r="97" ht="37.5" customHeight="1">
      <c r="A97" s="45"/>
      <c r="B97" s="46">
        <f>IFERROR(__xludf.DUMMYFUNCTION("""COMPUTED_VALUE"""),95.0)</f>
        <v>95</v>
      </c>
      <c r="C97" s="47" t="str">
        <f>IFERROR(__xludf.DUMMYFUNCTION("""COMPUTED_VALUE"""),"Gestión de la administración y fomento")</f>
        <v>Gestión de la administración y fomento</v>
      </c>
      <c r="D97" s="48" t="str">
        <f>IFERROR(__xludf.DUMMYFUNCTION("""COMPUTED_VALUE"""),"Regional Barranquilla")</f>
        <v>Regional Barranquilla</v>
      </c>
      <c r="E97" s="48" t="str">
        <f>IFERROR(__xludf.DUMMYFUNCTION("""COMPUTED_VALUE"""),"Fortalecimiento de la sostenibilidad del sector pesquero y de la acuicultura en el territorio nacional")</f>
        <v>Fortalecimiento de la sostenibilidad del sector pesquero y de la acuicultura en el territorio nacional</v>
      </c>
      <c r="F97" s="49">
        <f>IFERROR(__xludf.DUMMYFUNCTION("""COMPUTED_VALUE"""),2.01901100028E12)</f>
        <v>2019011000280</v>
      </c>
      <c r="G97" s="50" t="str">
        <f>IFERROR(__xludf.DUMMYFUNCTION("""COMPUTED_VALUE"""),"Sostenibilidad")</f>
        <v>Sostenibilidad</v>
      </c>
      <c r="H97" s="48" t="str">
        <f>IFERROR(__xludf.DUMMYFUNCTION("""COMPUTED_VALUE"""),"Mejorar la explotación de los recursos pesqueros y de la acuicultura.")</f>
        <v>Mejorar la explotación de los recursos pesqueros y de la acuicultura.</v>
      </c>
      <c r="I97" s="48" t="str">
        <f>IFERROR(__xludf.DUMMYFUNCTION("""COMPUTED_VALUE"""),"Servicios de administración de los recurso pesqueros y de la acuicultura")</f>
        <v>Servicios de administración de los recurso pesqueros y de la acuicultura</v>
      </c>
      <c r="J97" s="48" t="str">
        <f>IFERROR(__xludf.DUMMYFUNCTION("""COMPUTED_VALUE"""),"Producir alevinos para el sector productivo y/o con fines de repoblamiento.")</f>
        <v>Producir alevinos para el sector productivo y/o con fines de repoblamiento.</v>
      </c>
      <c r="K97" s="51" t="str">
        <f>IFERROR(__xludf.DUMMYFUNCTION("""COMPUTED_VALUE"""),"Gestión")</f>
        <v>Gestión</v>
      </c>
      <c r="L97" s="51" t="str">
        <f>IFERROR(__xludf.DUMMYFUNCTION("""COMPUTED_VALUE"""),"Eficacia")</f>
        <v>Eficacia</v>
      </c>
      <c r="M97" s="51" t="str">
        <f>IFERROR(__xludf.DUMMYFUNCTION("""COMPUTED_VALUE"""),"Número")</f>
        <v>Número</v>
      </c>
      <c r="N97" s="52" t="str">
        <f>IFERROR(__xludf.DUMMYFUNCTION("""COMPUTED_VALUE"""),"Número de alevines rescatados y trasladados a areas de guarderias/Número de alevines programados para  rescate y traslado a areas de guarderia")</f>
        <v>Número de alevines rescatados y trasladados a areas de guarderias/Número de alevines programados para  rescate y traslado a areas de guarderia</v>
      </c>
      <c r="O97" s="53"/>
      <c r="P97" s="77">
        <f>IFERROR(__xludf.DUMMYFUNCTION("""COMPUTED_VALUE"""),5600000.0)</f>
        <v>5600000</v>
      </c>
      <c r="Q97" s="78" t="str">
        <f>IFERROR(__xludf.DUMMYFUNCTION("""COMPUTED_VALUE"""),"Rescate y traslado de alevines de las especies migratorias y nativas en temporada de subienda a areas cenagosas dentro de la DRBQ")</f>
        <v>Rescate y traslado de alevines de las especies migratorias y nativas en temporada de subienda a areas cenagosas dentro de la DRBQ</v>
      </c>
      <c r="R97" s="78" t="str">
        <f>IFERROR(__xludf.DUMMYFUNCTION("""COMPUTED_VALUE"""),"Trimestral")</f>
        <v>Trimestral</v>
      </c>
      <c r="S97" s="77">
        <f>IFERROR(__xludf.DUMMYFUNCTION("""COMPUTED_VALUE"""),3000000.0)</f>
        <v>3000000</v>
      </c>
      <c r="T97" s="77">
        <f>IFERROR(__xludf.DUMMYFUNCTION("""COMPUTED_VALUE"""),2000000.0)</f>
        <v>2000000</v>
      </c>
      <c r="U97" s="77">
        <f>IFERROR(__xludf.DUMMYFUNCTION("""COMPUTED_VALUE"""),600000.0)</f>
        <v>600000</v>
      </c>
      <c r="V97" s="77">
        <f>IFERROR(__xludf.DUMMYFUNCTION("""COMPUTED_VALUE"""),0.0)</f>
        <v>0</v>
      </c>
      <c r="W97" s="56" t="str">
        <f>IFERROR(__xludf.DUMMYFUNCTION("""COMPUTED_VALUE"""),"Regional Barranquilla")</f>
        <v>Regional Barranquilla</v>
      </c>
      <c r="X97" s="57" t="str">
        <f>IFERROR(__xludf.DUMMYFUNCTION("""COMPUTED_VALUE"""),"Jorge Roa")</f>
        <v>Jorge Roa</v>
      </c>
      <c r="Y97" s="47" t="str">
        <f>IFERROR(__xludf.DUMMYFUNCTION("""COMPUTED_VALUE"""),"Director Regional")</f>
        <v>Director Regional</v>
      </c>
      <c r="Z97" s="57" t="str">
        <f>IFERROR(__xludf.DUMMYFUNCTION("""COMPUTED_VALUE"""),"jorge.roa@aunap.gov.co")</f>
        <v>jorge.roa@aunap.gov.co</v>
      </c>
      <c r="AA97" s="47" t="str">
        <f>IFERROR(__xludf.DUMMYFUNCTION("""COMPUTED_VALUE"""),"Humanos, Físicos, Financieros, Tecnológicos")</f>
        <v>Humanos, Físicos, Financieros, Tecnológicos</v>
      </c>
      <c r="AB97" s="47" t="str">
        <f>IFERROR(__xludf.DUMMYFUNCTION("""COMPUTED_VALUE"""),"No asociado")</f>
        <v>No asociado</v>
      </c>
      <c r="AC97" s="47" t="str">
        <f>IFERROR(__xludf.DUMMYFUNCTION("""COMPUTED_VALUE"""),"Llegar con actividades de pesca y acuicultura a todas las regiones")</f>
        <v>Llegar con actividades de pesca y acuicultura a todas las regiones</v>
      </c>
      <c r="AD97" s="47" t="str">
        <f>IFERROR(__xludf.DUMMYFUNCTION("""COMPUTED_VALUE"""),"Gestión con valores para resultados")</f>
        <v>Gestión con valores para resultados</v>
      </c>
      <c r="AE97" s="47" t="str">
        <f>IFERROR(__xludf.DUMMYFUNCTION("""COMPUTED_VALUE"""),"Fortalecimiento Organizacional y Simplificación de Procesos")</f>
        <v>Fortalecimiento Organizacional y Simplificación de Procesos</v>
      </c>
      <c r="AF97" s="47" t="str">
        <f>IFERROR(__xludf.DUMMYFUNCTION("""COMPUTED_VALUE"""),"12. Producción y consumo responsable")</f>
        <v>12. Producción y consumo responsable</v>
      </c>
      <c r="AG97" s="58">
        <f>IFERROR(__xludf.DUMMYFUNCTION("""COMPUTED_VALUE"""),2380000.0)</f>
        <v>2380000</v>
      </c>
      <c r="AH97" s="59" t="str">
        <f>IFERROR(__xludf.DUMMYFUNCTION("""COMPUTED_VALUE"""),"El gobla anual de esta meta fue cumplida, no obstsnte se han realizado y dado cumplimiento a soliictud de las comunidades dado que el programa PERTS de la DRBQ ha sido exitoso ")</f>
        <v>El gobla anual de esta meta fue cumplida, no obstsnte se han realizado y dado cumplimiento a soliictud de las comunidades dado que el programa PERTS de la DRBQ ha sido exitoso </v>
      </c>
      <c r="AI97" s="80" t="str">
        <f>IFERROR(__xludf.DUMMYFUNCTION("""COMPUTED_VALUE"""),"https://drive.google.com/drive/folders/1kzgav-qgeVN9aps2MZtVvH4hQibDj-0n?usp=sharing")</f>
        <v>https://drive.google.com/drive/folders/1kzgav-qgeVN9aps2MZtVvH4hQibDj-0n?usp=sharing</v>
      </c>
      <c r="AJ97" s="60">
        <f>IFERROR(__xludf.DUMMYFUNCTION("""COMPUTED_VALUE"""),44396.0)</f>
        <v>44396</v>
      </c>
      <c r="AK97" s="61" t="str">
        <f>IFERROR(IF((AL97+1)&lt;2,Alertas!$B$2&amp;TEXT(AL97,"0%")&amp;Alertas!$D$2, IF((AL97+1)=2,Alertas!$B$3,IF((AL97+1)&gt;2,Alertas!$B$4&amp;TEXT(AL97,"0%")&amp;Alertas!$D$4,AL97+1))),"Sin meta para el segundo trimestre")</f>
        <v>La ejecución de la meta registrada se encuentra por encima de la meta programada en la formulación del plan de acción para el segundo trimestre, su porcentaje de cumplimiento es 119%,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97" s="62">
        <f t="shared" si="2"/>
        <v>1.19</v>
      </c>
      <c r="AM97" s="61" t="str">
        <f t="shared" si="3"/>
        <v>La ejecución de la meta registrada se encuentra por encima de la meta programada en la formulación del plan de acción para el segundo trimestre, su porcentaje de cumplimiento es 119%,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97" s="63"/>
      <c r="AO97" s="64"/>
      <c r="AP97" s="65"/>
      <c r="AQ97" s="65"/>
      <c r="AR97" s="66"/>
      <c r="AS97" s="67"/>
      <c r="AT97" s="68"/>
      <c r="AU97" s="63"/>
      <c r="AV97" s="64"/>
      <c r="AW97" s="69"/>
      <c r="AX97" s="65"/>
      <c r="AY97" s="70"/>
      <c r="AZ97" s="71"/>
      <c r="BA97" s="72"/>
      <c r="BB97" s="73"/>
      <c r="BC97" s="64"/>
      <c r="BD97" s="69"/>
      <c r="BE97" s="65"/>
      <c r="BF97" s="66"/>
      <c r="BG97" s="71"/>
      <c r="BH97" s="72"/>
      <c r="BI97" s="74"/>
      <c r="BK97" s="5" t="str">
        <f t="shared" si="23"/>
        <v>1</v>
      </c>
      <c r="BM97" s="5"/>
    </row>
    <row r="98" ht="37.5" customHeight="1">
      <c r="A98" s="45"/>
      <c r="B98" s="46">
        <f>IFERROR(__xludf.DUMMYFUNCTION("""COMPUTED_VALUE"""),96.0)</f>
        <v>96</v>
      </c>
      <c r="C98" s="47" t="str">
        <f>IFERROR(__xludf.DUMMYFUNCTION("""COMPUTED_VALUE"""),"Gestión de la administración y fomento")</f>
        <v>Gestión de la administración y fomento</v>
      </c>
      <c r="D98" s="48" t="str">
        <f>IFERROR(__xludf.DUMMYFUNCTION("""COMPUTED_VALUE"""),"Regional Barranquilla")</f>
        <v>Regional Barranquilla</v>
      </c>
      <c r="E98" s="48" t="str">
        <f>IFERROR(__xludf.DUMMYFUNCTION("""COMPUTED_VALUE"""),"Fortalecimiento de la sostenibilidad del sector pesquero y de la acuicultura en el territorio nacional")</f>
        <v>Fortalecimiento de la sostenibilidad del sector pesquero y de la acuicultura en el territorio nacional</v>
      </c>
      <c r="F98" s="49">
        <f>IFERROR(__xludf.DUMMYFUNCTION("""COMPUTED_VALUE"""),2.01901100028E12)</f>
        <v>2019011000280</v>
      </c>
      <c r="G98" s="50" t="str">
        <f>IFERROR(__xludf.DUMMYFUNCTION("""COMPUTED_VALUE"""),"Sostenibilidad")</f>
        <v>Sostenibilidad</v>
      </c>
      <c r="H98" s="48" t="str">
        <f>IFERROR(__xludf.DUMMYFUNCTION("""COMPUTED_VALUE"""),"Mejorar las prácticas de pesca y de acuicultura.")</f>
        <v>Mejorar las prácticas de pesca y de acuicultura.</v>
      </c>
      <c r="I98" s="48" t="str">
        <f>IFERROR(__xludf.DUMMYFUNCTION("""COMPUTED_VALUE"""),"3-Servicios de apoyo a las estaciones de acuicultura")</f>
        <v>3-Servicios de apoyo a las estaciones de acuicultura</v>
      </c>
      <c r="J98" s="48" t="str">
        <f>IFERROR(__xludf.DUMMYFUNCTION("""COMPUTED_VALUE"""),"Desarrollar acciones de extensión rural a través de las estaciones de acuicultura")</f>
        <v>Desarrollar acciones de extensión rural a través de las estaciones de acuicultura</v>
      </c>
      <c r="K98" s="51" t="str">
        <f>IFERROR(__xludf.DUMMYFUNCTION("""COMPUTED_VALUE"""),"Producto")</f>
        <v>Producto</v>
      </c>
      <c r="L98" s="51" t="str">
        <f>IFERROR(__xludf.DUMMYFUNCTION("""COMPUTED_VALUE"""),"Eficacia")</f>
        <v>Eficacia</v>
      </c>
      <c r="M98" s="51" t="str">
        <f>IFERROR(__xludf.DUMMYFUNCTION("""COMPUTED_VALUE"""),"Número")</f>
        <v>Número</v>
      </c>
      <c r="N98" s="52" t="str">
        <f>IFERROR(__xludf.DUMMYFUNCTION("""COMPUTED_VALUE"""),"Campañas divulgativas")</f>
        <v>Campañas divulgativas</v>
      </c>
      <c r="O98" s="53"/>
      <c r="P98" s="77">
        <f>IFERROR(__xludf.DUMMYFUNCTION("""COMPUTED_VALUE"""),6.0)</f>
        <v>6</v>
      </c>
      <c r="Q98" s="78" t="str">
        <f>IFERROR(__xludf.DUMMYFUNCTION("""COMPUTED_VALUE"""),"Apoyar en el desarrollo de campañas informativas y divulgadas de acciones de acuicultura a través de las estaciones ")</f>
        <v>Apoyar en el desarrollo de campañas informativas y divulgadas de acciones de acuicultura a través de las estaciones </v>
      </c>
      <c r="R98" s="78" t="str">
        <f>IFERROR(__xludf.DUMMYFUNCTION("""COMPUTED_VALUE"""),"Trimestral")</f>
        <v>Trimestral</v>
      </c>
      <c r="S98" s="77">
        <f>IFERROR(__xludf.DUMMYFUNCTION("""COMPUTED_VALUE"""),0.0)</f>
        <v>0</v>
      </c>
      <c r="T98" s="77">
        <f>IFERROR(__xludf.DUMMYFUNCTION("""COMPUTED_VALUE"""),2.0)</f>
        <v>2</v>
      </c>
      <c r="U98" s="77">
        <f>IFERROR(__xludf.DUMMYFUNCTION("""COMPUTED_VALUE"""),2.0)</f>
        <v>2</v>
      </c>
      <c r="V98" s="77">
        <f>IFERROR(__xludf.DUMMYFUNCTION("""COMPUTED_VALUE"""),2.0)</f>
        <v>2</v>
      </c>
      <c r="W98" s="56" t="str">
        <f>IFERROR(__xludf.DUMMYFUNCTION("""COMPUTED_VALUE"""),"Regional Barranquilla")</f>
        <v>Regional Barranquilla</v>
      </c>
      <c r="X98" s="57" t="str">
        <f>IFERROR(__xludf.DUMMYFUNCTION("""COMPUTED_VALUE"""),"Jorge Roa")</f>
        <v>Jorge Roa</v>
      </c>
      <c r="Y98" s="47" t="str">
        <f>IFERROR(__xludf.DUMMYFUNCTION("""COMPUTED_VALUE"""),"Director Regional")</f>
        <v>Director Regional</v>
      </c>
      <c r="Z98" s="57" t="str">
        <f>IFERROR(__xludf.DUMMYFUNCTION("""COMPUTED_VALUE"""),"jorge.roa@aunap.gov.co")</f>
        <v>jorge.roa@aunap.gov.co</v>
      </c>
      <c r="AA98" s="47" t="str">
        <f>IFERROR(__xludf.DUMMYFUNCTION("""COMPUTED_VALUE"""),"Humanos, Físicos, Financieros, Tecnológicos")</f>
        <v>Humanos, Físicos, Financieros, Tecnológicos</v>
      </c>
      <c r="AB98" s="47" t="str">
        <f>IFERROR(__xludf.DUMMYFUNCTION("""COMPUTED_VALUE"""),"No asociado")</f>
        <v>No asociado</v>
      </c>
      <c r="AC98" s="47" t="str">
        <f>IFERROR(__xludf.DUMMYFUNCTION("""COMPUTED_VALUE"""),"Llegar con actividades de pesca y acuicultura a todas las regiones")</f>
        <v>Llegar con actividades de pesca y acuicultura a todas las regiones</v>
      </c>
      <c r="AD98" s="47" t="str">
        <f>IFERROR(__xludf.DUMMYFUNCTION("""COMPUTED_VALUE"""),"Gestión con valores para resultados")</f>
        <v>Gestión con valores para resultados</v>
      </c>
      <c r="AE98" s="47" t="str">
        <f>IFERROR(__xludf.DUMMYFUNCTION("""COMPUTED_VALUE"""),"Fortalecimiento Organizacional y Simplificación de Procesos")</f>
        <v>Fortalecimiento Organizacional y Simplificación de Procesos</v>
      </c>
      <c r="AF98" s="47" t="str">
        <f>IFERROR(__xludf.DUMMYFUNCTION("""COMPUTED_VALUE"""),"12. Producción y consumo responsable")</f>
        <v>12. Producción y consumo responsable</v>
      </c>
      <c r="AG98" s="58">
        <f>IFERROR(__xludf.DUMMYFUNCTION("""COMPUTED_VALUE"""),2.0)</f>
        <v>2</v>
      </c>
      <c r="AH98" s="59" t="str">
        <f>IFERROR(__xludf.DUMMYFUNCTION("""COMPUTED_VALUE"""),"Se dio Cumplimiento a los eventos programados")</f>
        <v>Se dio Cumplimiento a los eventos programados</v>
      </c>
      <c r="AI98" s="80" t="str">
        <f>IFERROR(__xludf.DUMMYFUNCTION("""COMPUTED_VALUE"""),"https://drive.google.com/drive/folders/1npWQFZ0m9ED4H05Lpe9-sv20hI50V9or?usp=sharing")</f>
        <v>https://drive.google.com/drive/folders/1npWQFZ0m9ED4H05Lpe9-sv20hI50V9or?usp=sharing</v>
      </c>
      <c r="AJ98" s="60">
        <f>IFERROR(__xludf.DUMMYFUNCTION("""COMPUTED_VALUE"""),44396.0)</f>
        <v>44396</v>
      </c>
      <c r="AK98" s="61" t="str">
        <f>IFERROR(IF((AL98+1)&lt;2,Alertas!$B$2&amp;TEXT(AL98,"0%")&amp;Alertas!$D$2, IF((AL98+1)=2,Alertas!$B$3,IF((AL98+1)&gt;2,Alertas!$B$4&amp;TEXT(AL98,"0%")&amp;Alertas!$D$4,AL98+1))),"Sin meta para el segundo trimestre")</f>
        <v>La ejecución de la meta registrada se encuentra acorde a la meta programada en la formulación del plan de acción para el segundo trimestre</v>
      </c>
      <c r="AL98" s="62">
        <f t="shared" si="2"/>
        <v>1</v>
      </c>
      <c r="AM98" s="61" t="str">
        <f t="shared" si="3"/>
        <v>La ejecución de la meta registrada se encuentra acorde a la meta programada en la formulación del plan de acción para el segundo trimestre.</v>
      </c>
      <c r="AN98" s="63"/>
      <c r="AO98" s="64"/>
      <c r="AP98" s="65"/>
      <c r="AQ98" s="65"/>
      <c r="AR98" s="66"/>
      <c r="AS98" s="67"/>
      <c r="AT98" s="68"/>
      <c r="AU98" s="63"/>
      <c r="AV98" s="64"/>
      <c r="AW98" s="69"/>
      <c r="AX98" s="65"/>
      <c r="AY98" s="70"/>
      <c r="AZ98" s="71"/>
      <c r="BA98" s="72"/>
      <c r="BB98" s="73"/>
      <c r="BC98" s="64"/>
      <c r="BD98" s="69"/>
      <c r="BE98" s="65"/>
      <c r="BF98" s="66"/>
      <c r="BG98" s="71"/>
      <c r="BH98" s="72"/>
      <c r="BI98" s="74"/>
      <c r="BK98" s="5" t="str">
        <f t="shared" si="23"/>
        <v>0</v>
      </c>
      <c r="BM98" s="5"/>
    </row>
    <row r="99" ht="37.5" customHeight="1">
      <c r="A99" s="45"/>
      <c r="B99" s="46">
        <f>IFERROR(__xludf.DUMMYFUNCTION("""COMPUTED_VALUE"""),97.0)</f>
        <v>97</v>
      </c>
      <c r="C99" s="47" t="str">
        <f>IFERROR(__xludf.DUMMYFUNCTION("""COMPUTED_VALUE"""),"Gestión de la administración y fomento")</f>
        <v>Gestión de la administración y fomento</v>
      </c>
      <c r="D99" s="48" t="str">
        <f>IFERROR(__xludf.DUMMYFUNCTION("""COMPUTED_VALUE"""),"Regional Barranquilla")</f>
        <v>Regional Barranquilla</v>
      </c>
      <c r="E99" s="48" t="str">
        <f>IFERROR(__xludf.DUMMYFUNCTION("""COMPUTED_VALUE"""),"Fortalecimiento de la sostenibilidad del sector pesquero y de la acuicultura en el territorio nacional")</f>
        <v>Fortalecimiento de la sostenibilidad del sector pesquero y de la acuicultura en el territorio nacional</v>
      </c>
      <c r="F99" s="49">
        <f>IFERROR(__xludf.DUMMYFUNCTION("""COMPUTED_VALUE"""),2.01901100028E12)</f>
        <v>2019011000280</v>
      </c>
      <c r="G99" s="50" t="str">
        <f>IFERROR(__xludf.DUMMYFUNCTION("""COMPUTED_VALUE"""),"Sostenibilidad")</f>
        <v>Sostenibilidad</v>
      </c>
      <c r="H99" s="48" t="str">
        <f>IFERROR(__xludf.DUMMYFUNCTION("""COMPUTED_VALUE"""),"Mejorar la explotación de los recursos pesqueros y de la acuicultura.")</f>
        <v>Mejorar la explotación de los recursos pesqueros y de la acuicultura.</v>
      </c>
      <c r="I99" s="48" t="str">
        <f>IFERROR(__xludf.DUMMYFUNCTION("""COMPUTED_VALUE"""),"Servicios de administración de los recurso pesqueros y de la acuicultura")</f>
        <v>Servicios de administración de los recurso pesqueros y de la acuicultura</v>
      </c>
      <c r="J99" s="48" t="str">
        <f>IFERROR(__xludf.DUMMYFUNCTION("""COMPUTED_VALUE"""),"Realizar acciones de divulgación y formalización de la actividad pesquera y de la acuicultura.")</f>
        <v>Realizar acciones de divulgación y formalización de la actividad pesquera y de la acuicultura.</v>
      </c>
      <c r="K99" s="51" t="str">
        <f>IFERROR(__xludf.DUMMYFUNCTION("""COMPUTED_VALUE"""),"Gestión del área")</f>
        <v>Gestión del área</v>
      </c>
      <c r="L99" s="51" t="str">
        <f>IFERROR(__xludf.DUMMYFUNCTION("""COMPUTED_VALUE"""),"Eficacia")</f>
        <v>Eficacia</v>
      </c>
      <c r="M99" s="51" t="str">
        <f>IFERROR(__xludf.DUMMYFUNCTION("""COMPUTED_VALUE"""),"Número")</f>
        <v>Número</v>
      </c>
      <c r="N99" s="52" t="str">
        <f>IFERROR(__xludf.DUMMYFUNCTION("""COMPUTED_VALUE"""),"Numero de censo realizados / No municipios visitados")</f>
        <v>Numero de censo realizados / No municipios visitados</v>
      </c>
      <c r="O99" s="53"/>
      <c r="P99" s="54">
        <f>IFERROR(__xludf.DUMMYFUNCTION("""COMPUTED_VALUE"""),30.0)</f>
        <v>30</v>
      </c>
      <c r="Q99" s="55" t="str">
        <f>IFERROR(__xludf.DUMMYFUNCTION("""COMPUTED_VALUE"""),"Realizar censo de embarcaciones y motonaves en algunas comunidades de pescadores de la DRBQ")</f>
        <v>Realizar censo de embarcaciones y motonaves en algunas comunidades de pescadores de la DRBQ</v>
      </c>
      <c r="R99" s="14" t="str">
        <f>IFERROR(__xludf.DUMMYFUNCTION("""COMPUTED_VALUE"""),"Anual")</f>
        <v>Anual</v>
      </c>
      <c r="S99" s="54">
        <f>IFERROR(__xludf.DUMMYFUNCTION("""COMPUTED_VALUE"""),0.0)</f>
        <v>0</v>
      </c>
      <c r="T99" s="54">
        <f>IFERROR(__xludf.DUMMYFUNCTION("""COMPUTED_VALUE"""),0.0)</f>
        <v>0</v>
      </c>
      <c r="U99" s="54">
        <f>IFERROR(__xludf.DUMMYFUNCTION("""COMPUTED_VALUE"""),0.0)</f>
        <v>0</v>
      </c>
      <c r="V99" s="54">
        <f>IFERROR(__xludf.DUMMYFUNCTION("""COMPUTED_VALUE"""),30.0)</f>
        <v>30</v>
      </c>
      <c r="W99" s="56" t="str">
        <f>IFERROR(__xludf.DUMMYFUNCTION("""COMPUTED_VALUE"""),"Regional Barranquilla")</f>
        <v>Regional Barranquilla</v>
      </c>
      <c r="X99" s="57" t="str">
        <f>IFERROR(__xludf.DUMMYFUNCTION("""COMPUTED_VALUE"""),"Jorge Roa")</f>
        <v>Jorge Roa</v>
      </c>
      <c r="Y99" s="47" t="str">
        <f>IFERROR(__xludf.DUMMYFUNCTION("""COMPUTED_VALUE"""),"Director Regional")</f>
        <v>Director Regional</v>
      </c>
      <c r="Z99" s="57" t="str">
        <f>IFERROR(__xludf.DUMMYFUNCTION("""COMPUTED_VALUE"""),"jorge.roa@aunap.gov.co")</f>
        <v>jorge.roa@aunap.gov.co</v>
      </c>
      <c r="AA99" s="47" t="str">
        <f>IFERROR(__xludf.DUMMYFUNCTION("""COMPUTED_VALUE"""),"Humanos, Físicos, Financieros, Tecnológicos")</f>
        <v>Humanos, Físicos, Financieros, Tecnológicos</v>
      </c>
      <c r="AB99" s="47" t="str">
        <f>IFERROR(__xludf.DUMMYFUNCTION("""COMPUTED_VALUE"""),"No asociado")</f>
        <v>No asociado</v>
      </c>
      <c r="AC9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9" s="47" t="str">
        <f>IFERROR(__xludf.DUMMYFUNCTION("""COMPUTED_VALUE"""),"Gestión con valores para resultados")</f>
        <v>Gestión con valores para resultados</v>
      </c>
      <c r="AE99" s="47" t="str">
        <f>IFERROR(__xludf.DUMMYFUNCTION("""COMPUTED_VALUE"""),"Fortalecimiento Organizacional y Simplificación de Procesos")</f>
        <v>Fortalecimiento Organizacional y Simplificación de Procesos</v>
      </c>
      <c r="AF99" s="47" t="str">
        <f>IFERROR(__xludf.DUMMYFUNCTION("""COMPUTED_VALUE"""),"12. Producción y consumo responsable")</f>
        <v>12. Producción y consumo responsable</v>
      </c>
      <c r="AG99" s="58">
        <f>IFERROR(__xludf.DUMMYFUNCTION("""COMPUTED_VALUE"""),0.0)</f>
        <v>0</v>
      </c>
      <c r="AH99" s="59" t="str">
        <f>IFERROR(__xludf.DUMMYFUNCTION("""COMPUTED_VALUE"""),"No hay acctividad programada para este trimestre")</f>
        <v>No hay acctividad programada para este trimestre</v>
      </c>
      <c r="AI99" s="59" t="str">
        <f>IFERROR(__xludf.DUMMYFUNCTION("""COMPUTED_VALUE"""),"-")</f>
        <v>-</v>
      </c>
      <c r="AJ99" s="60">
        <f>IFERROR(__xludf.DUMMYFUNCTION("""COMPUTED_VALUE"""),44396.0)</f>
        <v>44396</v>
      </c>
      <c r="AK99" s="61" t="str">
        <f>IFERROR(IF((AL99+1)&lt;2,Alertas!$B$2&amp;TEXT(AL99,"0%")&amp;Alertas!$D$2, IF((AL99+1)=2,Alertas!$B$3,IF((AL99+1)&gt;2,Alertas!$B$4&amp;TEXT(AL99,"0%")&amp;Alertas!$D$4,AL99+1))),"Sin meta para el segundo trimestre")</f>
        <v>Sin meta para el segundo trimestre</v>
      </c>
      <c r="AL99" s="62" t="str">
        <f t="shared" si="2"/>
        <v>-</v>
      </c>
      <c r="AM99" s="61" t="str">
        <f t="shared" si="3"/>
        <v>Sin meta para el segundo trimestre.</v>
      </c>
      <c r="AN99" s="63"/>
      <c r="AO99" s="64"/>
      <c r="AP99" s="65"/>
      <c r="AQ99" s="65"/>
      <c r="AR99" s="66"/>
      <c r="AS99" s="67"/>
      <c r="AT99" s="68"/>
      <c r="AU99" s="63"/>
      <c r="AV99" s="64"/>
      <c r="AW99" s="69"/>
      <c r="AX99" s="65"/>
      <c r="AY99" s="70"/>
      <c r="AZ99" s="71"/>
      <c r="BA99" s="72"/>
      <c r="BB99" s="73"/>
      <c r="BC99" s="64"/>
      <c r="BD99" s="69"/>
      <c r="BE99" s="65"/>
      <c r="BF99" s="66"/>
      <c r="BG99" s="71"/>
      <c r="BH99" s="72"/>
      <c r="BI99" s="74"/>
      <c r="BK99" s="5" t="str">
        <f t="shared" si="23"/>
        <v>-</v>
      </c>
      <c r="BM99" s="5"/>
    </row>
    <row r="100" ht="37.5" customHeight="1">
      <c r="A100" s="45"/>
      <c r="B100" s="46">
        <f>IFERROR(__xludf.DUMMYFUNCTION("""COMPUTED_VALUE"""),98.0)</f>
        <v>98</v>
      </c>
      <c r="C100" s="47" t="str">
        <f>IFERROR(__xludf.DUMMYFUNCTION("""COMPUTED_VALUE"""),"Gestión de la administración y fomento")</f>
        <v>Gestión de la administración y fomento</v>
      </c>
      <c r="D100" s="48" t="str">
        <f>IFERROR(__xludf.DUMMYFUNCTION("""COMPUTED_VALUE"""),"Regional Barranquilla")</f>
        <v>Regional Barranquilla</v>
      </c>
      <c r="E100" s="48" t="str">
        <f>IFERROR(__xludf.DUMMYFUNCTION("""COMPUTED_VALUE"""),"Fortalecimiento de la sostenibilidad del sector pesquero y de la acuicultura en el territorio nacional")</f>
        <v>Fortalecimiento de la sostenibilidad del sector pesquero y de la acuicultura en el territorio nacional</v>
      </c>
      <c r="F100" s="49">
        <f>IFERROR(__xludf.DUMMYFUNCTION("""COMPUTED_VALUE"""),2.01901100028E12)</f>
        <v>2019011000280</v>
      </c>
      <c r="G100" s="50" t="str">
        <f>IFERROR(__xludf.DUMMYFUNCTION("""COMPUTED_VALUE"""),"Sostenibilidad")</f>
        <v>Sostenibilidad</v>
      </c>
      <c r="H100" s="48" t="str">
        <f>IFERROR(__xludf.DUMMYFUNCTION("""COMPUTED_VALUE"""),"Mejorar la explotación de los recursos pesqueros y de la acuicultura.")</f>
        <v>Mejorar la explotación de los recursos pesqueros y de la acuicultura.</v>
      </c>
      <c r="I100" s="48" t="str">
        <f>IFERROR(__xludf.DUMMYFUNCTION("""COMPUTED_VALUE"""),"Servicios de administración de los recurso pesqueros y de la acuicultura")</f>
        <v>Servicios de administración de los recurso pesqueros y de la acuicultura</v>
      </c>
      <c r="J100" s="48" t="str">
        <f>IFERROR(__xludf.DUMMYFUNCTION("""COMPUTED_VALUE"""),"Realizar acciones de divulgación y formalización de la actividad pesquera y de la acuicultura.")</f>
        <v>Realizar acciones de divulgación y formalización de la actividad pesquera y de la acuicultura.</v>
      </c>
      <c r="K100" s="51" t="str">
        <f>IFERROR(__xludf.DUMMYFUNCTION("""COMPUTED_VALUE"""),"Gestión")</f>
        <v>Gestión</v>
      </c>
      <c r="L100" s="51" t="str">
        <f>IFERROR(__xludf.DUMMYFUNCTION("""COMPUTED_VALUE"""),"Eficacia")</f>
        <v>Eficacia</v>
      </c>
      <c r="M100" s="51" t="str">
        <f>IFERROR(__xludf.DUMMYFUNCTION("""COMPUTED_VALUE"""),"Número")</f>
        <v>Número</v>
      </c>
      <c r="N100" s="52" t="str">
        <f>IFERROR(__xludf.DUMMYFUNCTION("""COMPUTED_VALUE"""),"Numero de censo realizados / No municipios visitados")</f>
        <v>Numero de censo realizados / No municipios visitados</v>
      </c>
      <c r="O100" s="53"/>
      <c r="P100" s="54">
        <f>IFERROR(__xludf.DUMMYFUNCTION("""COMPUTED_VALUE"""),15.0)</f>
        <v>15</v>
      </c>
      <c r="Q100" s="55" t="str">
        <f>IFERROR(__xludf.DUMMYFUNCTION("""COMPUTED_VALUE"""),"realizar censo de cultivos en algunos municipios de los departamentos de la region Caribe")</f>
        <v>realizar censo de cultivos en algunos municipios de los departamentos de la region Caribe</v>
      </c>
      <c r="R100" s="14" t="str">
        <f>IFERROR(__xludf.DUMMYFUNCTION("""COMPUTED_VALUE"""),"Anual")</f>
        <v>Anual</v>
      </c>
      <c r="S100" s="54">
        <f>IFERROR(__xludf.DUMMYFUNCTION("""COMPUTED_VALUE"""),0.0)</f>
        <v>0</v>
      </c>
      <c r="T100" s="54">
        <f>IFERROR(__xludf.DUMMYFUNCTION("""COMPUTED_VALUE"""),0.0)</f>
        <v>0</v>
      </c>
      <c r="U100" s="54">
        <f>IFERROR(__xludf.DUMMYFUNCTION("""COMPUTED_VALUE"""),0.0)</f>
        <v>0</v>
      </c>
      <c r="V100" s="54">
        <f>IFERROR(__xludf.DUMMYFUNCTION("""COMPUTED_VALUE"""),15.0)</f>
        <v>15</v>
      </c>
      <c r="W100" s="56" t="str">
        <f>IFERROR(__xludf.DUMMYFUNCTION("""COMPUTED_VALUE"""),"Regional Barranquilla")</f>
        <v>Regional Barranquilla</v>
      </c>
      <c r="X100" s="57" t="str">
        <f>IFERROR(__xludf.DUMMYFUNCTION("""COMPUTED_VALUE"""),"Jorge Roa")</f>
        <v>Jorge Roa</v>
      </c>
      <c r="Y100" s="47" t="str">
        <f>IFERROR(__xludf.DUMMYFUNCTION("""COMPUTED_VALUE"""),"Director Regional")</f>
        <v>Director Regional</v>
      </c>
      <c r="Z100" s="57" t="str">
        <f>IFERROR(__xludf.DUMMYFUNCTION("""COMPUTED_VALUE"""),"jorge.roa@aunap.gov.co")</f>
        <v>jorge.roa@aunap.gov.co</v>
      </c>
      <c r="AA100" s="47" t="str">
        <f>IFERROR(__xludf.DUMMYFUNCTION("""COMPUTED_VALUE"""),"Humanos, Físicos, Financieros, Tecnológicos")</f>
        <v>Humanos, Físicos, Financieros, Tecnológicos</v>
      </c>
      <c r="AB100" s="47" t="str">
        <f>IFERROR(__xludf.DUMMYFUNCTION("""COMPUTED_VALUE"""),"No asociado")</f>
        <v>No asociado</v>
      </c>
      <c r="AC10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0" s="47" t="str">
        <f>IFERROR(__xludf.DUMMYFUNCTION("""COMPUTED_VALUE"""),"Gestión con valores para resultados")</f>
        <v>Gestión con valores para resultados</v>
      </c>
      <c r="AE100" s="47" t="str">
        <f>IFERROR(__xludf.DUMMYFUNCTION("""COMPUTED_VALUE"""),"Fortalecimiento Organizacional y Simplificación de Procesos")</f>
        <v>Fortalecimiento Organizacional y Simplificación de Procesos</v>
      </c>
      <c r="AF100" s="47" t="str">
        <f>IFERROR(__xludf.DUMMYFUNCTION("""COMPUTED_VALUE"""),"12. Producción y consumo responsable")</f>
        <v>12. Producción y consumo responsable</v>
      </c>
      <c r="AG100" s="58">
        <f>IFERROR(__xludf.DUMMYFUNCTION("""COMPUTED_VALUE"""),0.0)</f>
        <v>0</v>
      </c>
      <c r="AH100" s="59" t="str">
        <f>IFERROR(__xludf.DUMMYFUNCTION("""COMPUTED_VALUE"""),"No hay acctividad programada para este trimestre")</f>
        <v>No hay acctividad programada para este trimestre</v>
      </c>
      <c r="AI100" s="59" t="str">
        <f>IFERROR(__xludf.DUMMYFUNCTION("""COMPUTED_VALUE"""),"-")</f>
        <v>-</v>
      </c>
      <c r="AJ100" s="60">
        <f>IFERROR(__xludf.DUMMYFUNCTION("""COMPUTED_VALUE"""),44396.0)</f>
        <v>44396</v>
      </c>
      <c r="AK100" s="61" t="str">
        <f>IFERROR(IF((AL100+1)&lt;2,Alertas!$B$2&amp;TEXT(AL100,"0%")&amp;Alertas!$D$2, IF((AL100+1)=2,Alertas!$B$3,IF((AL100+1)&gt;2,Alertas!$B$4&amp;TEXT(AL100,"0%")&amp;Alertas!$D$4,AL100+1))),"Sin meta para el segundo trimestre")</f>
        <v>Sin meta para el segundo trimestre</v>
      </c>
      <c r="AL100" s="62" t="str">
        <f t="shared" si="2"/>
        <v>-</v>
      </c>
      <c r="AM100" s="61" t="str">
        <f t="shared" si="3"/>
        <v>Sin meta para el segundo trimestre.</v>
      </c>
      <c r="AN100" s="63"/>
      <c r="AO100" s="64"/>
      <c r="AP100" s="65"/>
      <c r="AQ100" s="65"/>
      <c r="AR100" s="66"/>
      <c r="AS100" s="67"/>
      <c r="AT100" s="68"/>
      <c r="AU100" s="63"/>
      <c r="AV100" s="64"/>
      <c r="AW100" s="69"/>
      <c r="AX100" s="65"/>
      <c r="AY100" s="70"/>
      <c r="AZ100" s="71"/>
      <c r="BA100" s="72"/>
      <c r="BB100" s="73"/>
      <c r="BC100" s="64"/>
      <c r="BD100" s="69"/>
      <c r="BE100" s="65"/>
      <c r="BF100" s="66"/>
      <c r="BG100" s="71"/>
      <c r="BH100" s="72"/>
      <c r="BI100" s="74"/>
      <c r="BK100" s="5" t="str">
        <f t="shared" si="23"/>
        <v>-</v>
      </c>
      <c r="BM100" s="5"/>
    </row>
    <row r="101" ht="37.5" customHeight="1">
      <c r="A101" s="45"/>
      <c r="B101" s="46">
        <f>IFERROR(__xludf.DUMMYFUNCTION("""COMPUTED_VALUE"""),99.0)</f>
        <v>99</v>
      </c>
      <c r="C101" s="47" t="str">
        <f>IFERROR(__xludf.DUMMYFUNCTION("""COMPUTED_VALUE"""),"Gestión de la administración y fomento")</f>
        <v>Gestión de la administración y fomento</v>
      </c>
      <c r="D101" s="48" t="str">
        <f>IFERROR(__xludf.DUMMYFUNCTION("""COMPUTED_VALUE"""),"Regional Barranquilla")</f>
        <v>Regional Barranquilla</v>
      </c>
      <c r="E101" s="48" t="str">
        <f>IFERROR(__xludf.DUMMYFUNCTION("""COMPUTED_VALUE"""),"Fortalecimiento de la sostenibilidad del sector pesquero y de la acuicultura en el territorio nacional")</f>
        <v>Fortalecimiento de la sostenibilidad del sector pesquero y de la acuicultura en el territorio nacional</v>
      </c>
      <c r="F101" s="49">
        <f>IFERROR(__xludf.DUMMYFUNCTION("""COMPUTED_VALUE"""),2.01901100028E12)</f>
        <v>2019011000280</v>
      </c>
      <c r="G101" s="50" t="str">
        <f>IFERROR(__xludf.DUMMYFUNCTION("""COMPUTED_VALUE"""),"Sostenibilidad")</f>
        <v>Sostenibilidad</v>
      </c>
      <c r="H101" s="48" t="str">
        <f>IFERROR(__xludf.DUMMYFUNCTION("""COMPUTED_VALUE"""),"Mejorar las prácticas de pesca y de acuicultura.")</f>
        <v>Mejorar las prácticas de pesca y de acuicultura.</v>
      </c>
      <c r="I101" s="48" t="str">
        <f>IFERROR(__xludf.DUMMYFUNCTION("""COMPUTED_VALUE"""),"Servicios de apoyo al fomento de la pesca y la acuicultura")</f>
        <v>Servicios de apoyo al fomento de la pesca y la acuicultura</v>
      </c>
      <c r="J101" s="48" t="str">
        <f>IFERROR(__xludf.DUMMYFUNCTION("""COMPUTED_VALUE"""),"Generar acciones de fomento para la pesca, la acuicultura y sus actividades conexas.")</f>
        <v>Generar acciones de fomento para la pesca, la acuicultura y sus actividades conexas.</v>
      </c>
      <c r="K101" s="51" t="str">
        <f>IFERROR(__xludf.DUMMYFUNCTION("""COMPUTED_VALUE"""),"Gestión del área")</f>
        <v>Gestión del área</v>
      </c>
      <c r="L101" s="51" t="str">
        <f>IFERROR(__xludf.DUMMYFUNCTION("""COMPUTED_VALUE"""),"Eficacia")</f>
        <v>Eficacia</v>
      </c>
      <c r="M101" s="51" t="str">
        <f>IFERROR(__xludf.DUMMYFUNCTION("""COMPUTED_VALUE"""),"Número")</f>
        <v>Número</v>
      </c>
      <c r="N101" s="52" t="str">
        <f>IFERROR(__xludf.DUMMYFUNCTION("""COMPUTED_VALUE"""),"Número de acuerdos pesqueros gestionados/Número de acuerdos pesqueros programados para ser gestionados")</f>
        <v>Número de acuerdos pesqueros gestionados/Número de acuerdos pesqueros programados para ser gestionados</v>
      </c>
      <c r="O101" s="53"/>
      <c r="P101" s="54">
        <f>IFERROR(__xludf.DUMMYFUNCTION("""COMPUTED_VALUE"""),3.0)</f>
        <v>3</v>
      </c>
      <c r="Q101" s="55" t="str">
        <f>IFERROR(__xludf.DUMMYFUNCTION("""COMPUTED_VALUE"""),"Impulsar la construccion y/o actuaizar e implementar los acuerdo pesqueros en algunos sistemas hidricos de")</f>
        <v>Impulsar la construccion y/o actuaizar e implementar los acuerdo pesqueros en algunos sistemas hidricos de</v>
      </c>
      <c r="R101" s="14" t="str">
        <f>IFERROR(__xludf.DUMMYFUNCTION("""COMPUTED_VALUE"""),"Anual")</f>
        <v>Anual</v>
      </c>
      <c r="S101" s="54">
        <f>IFERROR(__xludf.DUMMYFUNCTION("""COMPUTED_VALUE"""),0.0)</f>
        <v>0</v>
      </c>
      <c r="T101" s="54">
        <f>IFERROR(__xludf.DUMMYFUNCTION("""COMPUTED_VALUE"""),0.0)</f>
        <v>0</v>
      </c>
      <c r="U101" s="54">
        <f>IFERROR(__xludf.DUMMYFUNCTION("""COMPUTED_VALUE"""),0.0)</f>
        <v>0</v>
      </c>
      <c r="V101" s="54">
        <f>IFERROR(__xludf.DUMMYFUNCTION("""COMPUTED_VALUE"""),3.0)</f>
        <v>3</v>
      </c>
      <c r="W101" s="56" t="str">
        <f>IFERROR(__xludf.DUMMYFUNCTION("""COMPUTED_VALUE"""),"Regional Barranquilla")</f>
        <v>Regional Barranquilla</v>
      </c>
      <c r="X101" s="57" t="str">
        <f>IFERROR(__xludf.DUMMYFUNCTION("""COMPUTED_VALUE"""),"Jorge Roa")</f>
        <v>Jorge Roa</v>
      </c>
      <c r="Y101" s="47" t="str">
        <f>IFERROR(__xludf.DUMMYFUNCTION("""COMPUTED_VALUE"""),"Director Regional")</f>
        <v>Director Regional</v>
      </c>
      <c r="Z101" s="57" t="str">
        <f>IFERROR(__xludf.DUMMYFUNCTION("""COMPUTED_VALUE"""),"jorge.roa@aunap.gov.co")</f>
        <v>jorge.roa@aunap.gov.co</v>
      </c>
      <c r="AA101" s="47" t="str">
        <f>IFERROR(__xludf.DUMMYFUNCTION("""COMPUTED_VALUE"""),"Humanos, Físicos, Financieros, Tecnológicos")</f>
        <v>Humanos, Físicos, Financieros, Tecnológicos</v>
      </c>
      <c r="AB101" s="47" t="str">
        <f>IFERROR(__xludf.DUMMYFUNCTION("""COMPUTED_VALUE"""),"No asociado")</f>
        <v>No asociado</v>
      </c>
      <c r="AC10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1" s="47" t="str">
        <f>IFERROR(__xludf.DUMMYFUNCTION("""COMPUTED_VALUE"""),"Gestión con valores para resultados")</f>
        <v>Gestión con valores para resultados</v>
      </c>
      <c r="AE101" s="47" t="str">
        <f>IFERROR(__xludf.DUMMYFUNCTION("""COMPUTED_VALUE"""),"Fortalecimiento Organizacional y Simplificación de Procesos")</f>
        <v>Fortalecimiento Organizacional y Simplificación de Procesos</v>
      </c>
      <c r="AF101" s="47" t="str">
        <f>IFERROR(__xludf.DUMMYFUNCTION("""COMPUTED_VALUE"""),"12. Producción y consumo responsable")</f>
        <v>12. Producción y consumo responsable</v>
      </c>
      <c r="AG101" s="58">
        <f>IFERROR(__xludf.DUMMYFUNCTION("""COMPUTED_VALUE"""),0.0)</f>
        <v>0</v>
      </c>
      <c r="AH101" s="59" t="str">
        <f>IFERROR(__xludf.DUMMYFUNCTION("""COMPUTED_VALUE"""),"No hay acctividad programada para este trimestre")</f>
        <v>No hay acctividad programada para este trimestre</v>
      </c>
      <c r="AI101" s="59" t="str">
        <f>IFERROR(__xludf.DUMMYFUNCTION("""COMPUTED_VALUE"""),"-")</f>
        <v>-</v>
      </c>
      <c r="AJ101" s="60">
        <f>IFERROR(__xludf.DUMMYFUNCTION("""COMPUTED_VALUE"""),44396.0)</f>
        <v>44396</v>
      </c>
      <c r="AK101" s="61" t="str">
        <f>IFERROR(IF((AL101+1)&lt;2,Alertas!$B$2&amp;TEXT(AL101,"0%")&amp;Alertas!$D$2, IF((AL101+1)=2,Alertas!$B$3,IF((AL101+1)&gt;2,Alertas!$B$4&amp;TEXT(AL101,"0%")&amp;Alertas!$D$4,AL101+1))),"Sin meta para el segundo trimestre")</f>
        <v>Sin meta para el segundo trimestre</v>
      </c>
      <c r="AL101" s="62" t="str">
        <f t="shared" si="2"/>
        <v>-</v>
      </c>
      <c r="AM101" s="61" t="str">
        <f t="shared" si="3"/>
        <v>Sin meta para el segundo trimestre.</v>
      </c>
      <c r="AN101" s="63"/>
      <c r="AO101" s="64"/>
      <c r="AP101" s="65"/>
      <c r="AQ101" s="65"/>
      <c r="AR101" s="66"/>
      <c r="AS101" s="67"/>
      <c r="AT101" s="68"/>
      <c r="AU101" s="63"/>
      <c r="AV101" s="64"/>
      <c r="AW101" s="69"/>
      <c r="AX101" s="65"/>
      <c r="AY101" s="70"/>
      <c r="AZ101" s="71"/>
      <c r="BA101" s="72"/>
      <c r="BB101" s="73"/>
      <c r="BC101" s="64"/>
      <c r="BD101" s="69"/>
      <c r="BE101" s="65"/>
      <c r="BF101" s="66"/>
      <c r="BG101" s="71"/>
      <c r="BH101" s="72"/>
      <c r="BI101" s="74"/>
      <c r="BK101" s="5" t="str">
        <f t="shared" si="23"/>
        <v>-</v>
      </c>
      <c r="BM101" s="5"/>
    </row>
    <row r="102" ht="37.5" customHeight="1">
      <c r="A102" s="45"/>
      <c r="B102" s="46">
        <f>IFERROR(__xludf.DUMMYFUNCTION("""COMPUTED_VALUE"""),100.0)</f>
        <v>100</v>
      </c>
      <c r="C102" s="47" t="str">
        <f>IFERROR(__xludf.DUMMYFUNCTION("""COMPUTED_VALUE"""),"Gestión de la administración y fomento")</f>
        <v>Gestión de la administración y fomento</v>
      </c>
      <c r="D102" s="48" t="str">
        <f>IFERROR(__xludf.DUMMYFUNCTION("""COMPUTED_VALUE"""),"Regional Barranquilla")</f>
        <v>Regional Barranquilla</v>
      </c>
      <c r="E102" s="48" t="str">
        <f>IFERROR(__xludf.DUMMYFUNCTION("""COMPUTED_VALUE"""),"Fortalecimiento de la sostenibilidad del sector pesquero y de la acuicultura en el territorio nacional")</f>
        <v>Fortalecimiento de la sostenibilidad del sector pesquero y de la acuicultura en el territorio nacional</v>
      </c>
      <c r="F102" s="49">
        <f>IFERROR(__xludf.DUMMYFUNCTION("""COMPUTED_VALUE"""),2.01901100028E12)</f>
        <v>2019011000280</v>
      </c>
      <c r="G102" s="50" t="str">
        <f>IFERROR(__xludf.DUMMYFUNCTION("""COMPUTED_VALUE"""),"Sostenibilidad")</f>
        <v>Sostenibilidad</v>
      </c>
      <c r="H102" s="48" t="str">
        <f>IFERROR(__xludf.DUMMYFUNCTION("""COMPUTED_VALUE"""),"Mejorar las prácticas de pesca y de acuicultura.")</f>
        <v>Mejorar las prácticas de pesca y de acuicultura.</v>
      </c>
      <c r="I102" s="48" t="str">
        <f>IFERROR(__xludf.DUMMYFUNCTION("""COMPUTED_VALUE"""),"Servicios de apoyo al fomento de la pesca y la acuicultura")</f>
        <v>Servicios de apoyo al fomento de la pesca y la acuicultura</v>
      </c>
      <c r="J102" s="48" t="str">
        <f>IFERROR(__xludf.DUMMYFUNCTION("""COMPUTED_VALUE"""),"Generar acciones de fomento para la pesca, la acuicultura y sus actividades conexas.")</f>
        <v>Generar acciones de fomento para la pesca, la acuicultura y sus actividades conexas.</v>
      </c>
      <c r="K102" s="51" t="str">
        <f>IFERROR(__xludf.DUMMYFUNCTION("""COMPUTED_VALUE"""),"Producto")</f>
        <v>Producto</v>
      </c>
      <c r="L102" s="51" t="str">
        <f>IFERROR(__xludf.DUMMYFUNCTION("""COMPUTED_VALUE"""),"Eficacia")</f>
        <v>Eficacia</v>
      </c>
      <c r="M102" s="51" t="str">
        <f>IFERROR(__xludf.DUMMYFUNCTION("""COMPUTED_VALUE"""),"Número")</f>
        <v>Número</v>
      </c>
      <c r="N102" s="52" t="str">
        <f>IFERROR(__xludf.DUMMYFUNCTION("""COMPUTED_VALUE"""),"Número de vallas informativas en relación a normatividad de pesca y acuicultura en puertos, muelles de desembarques marinas y áreas de pesca implementadas/Número de vallas programadas para informativar en relación a normatividad de pesca y acuicultura en "&amp;"puertos, muelles de desembarques marinas y áreas de pesca implementadas.")</f>
        <v>Número de vallas informativas en relación a normatividad de pesca y acuicultura en puertos, muelles de desembarques marinas y áreas de pesca implementadas/Número de vallas programadas para informativar en relación a normatividad de pesca y acuicultura en puertos, muelles de desembarques marinas y áreas de pesca implementadas.</v>
      </c>
      <c r="O102" s="53"/>
      <c r="P102" s="54">
        <f>IFERROR(__xludf.DUMMYFUNCTION("""COMPUTED_VALUE"""),1.0)</f>
        <v>1</v>
      </c>
      <c r="Q102" s="55" t="str">
        <f>IFERROR(__xludf.DUMMYFUNCTION("""COMPUTED_VALUE"""),"Implementar vayas informativas en relacion a normatividad de pesca y acuicultra en puertos, mulles de desembarques marinas y areas de pesca")</f>
        <v>Implementar vayas informativas en relacion a normatividad de pesca y acuicultra en puertos, mulles de desembarques marinas y areas de pesca</v>
      </c>
      <c r="R102" s="14" t="str">
        <f>IFERROR(__xludf.DUMMYFUNCTION("""COMPUTED_VALUE"""),"Trimestral")</f>
        <v>Trimestral</v>
      </c>
      <c r="S102" s="54">
        <f>IFERROR(__xludf.DUMMYFUNCTION("""COMPUTED_VALUE"""),1.0)</f>
        <v>1</v>
      </c>
      <c r="T102" s="54">
        <f>IFERROR(__xludf.DUMMYFUNCTION("""COMPUTED_VALUE"""),0.0)</f>
        <v>0</v>
      </c>
      <c r="U102" s="54">
        <f>IFERROR(__xludf.DUMMYFUNCTION("""COMPUTED_VALUE"""),0.0)</f>
        <v>0</v>
      </c>
      <c r="V102" s="54">
        <f>IFERROR(__xludf.DUMMYFUNCTION("""COMPUTED_VALUE"""),0.0)</f>
        <v>0</v>
      </c>
      <c r="W102" s="56" t="str">
        <f>IFERROR(__xludf.DUMMYFUNCTION("""COMPUTED_VALUE"""),"Regional Barranquilla")</f>
        <v>Regional Barranquilla</v>
      </c>
      <c r="X102" s="57" t="str">
        <f>IFERROR(__xludf.DUMMYFUNCTION("""COMPUTED_VALUE"""),"Jorge Roa")</f>
        <v>Jorge Roa</v>
      </c>
      <c r="Y102" s="47" t="str">
        <f>IFERROR(__xludf.DUMMYFUNCTION("""COMPUTED_VALUE"""),"Director Regional")</f>
        <v>Director Regional</v>
      </c>
      <c r="Z102" s="57" t="str">
        <f>IFERROR(__xludf.DUMMYFUNCTION("""COMPUTED_VALUE"""),"jorge.roa@aunap.gov.co")</f>
        <v>jorge.roa@aunap.gov.co</v>
      </c>
      <c r="AA102" s="47" t="str">
        <f>IFERROR(__xludf.DUMMYFUNCTION("""COMPUTED_VALUE"""),"Humanos, Físicos, Financieros, Tecnológicos")</f>
        <v>Humanos, Físicos, Financieros, Tecnológicos</v>
      </c>
      <c r="AB102" s="47" t="str">
        <f>IFERROR(__xludf.DUMMYFUNCTION("""COMPUTED_VALUE"""),"No asociado")</f>
        <v>No asociado</v>
      </c>
      <c r="AC10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2" s="47" t="str">
        <f>IFERROR(__xludf.DUMMYFUNCTION("""COMPUTED_VALUE"""),"Gestión con valores para resultados")</f>
        <v>Gestión con valores para resultados</v>
      </c>
      <c r="AE102" s="47" t="str">
        <f>IFERROR(__xludf.DUMMYFUNCTION("""COMPUTED_VALUE"""),"Fortalecimiento Organizacional y Simplificación de Procesos")</f>
        <v>Fortalecimiento Organizacional y Simplificación de Procesos</v>
      </c>
      <c r="AF102" s="47" t="str">
        <f>IFERROR(__xludf.DUMMYFUNCTION("""COMPUTED_VALUE"""),"12. Producción y consumo responsable")</f>
        <v>12. Producción y consumo responsable</v>
      </c>
      <c r="AG102" s="58">
        <f>IFERROR(__xludf.DUMMYFUNCTION("""COMPUTED_VALUE"""),0.0)</f>
        <v>0</v>
      </c>
      <c r="AH102" s="59" t="str">
        <f>IFERROR(__xludf.DUMMYFUNCTION("""COMPUTED_VALUE"""),"No hay acctividad programada para este trimestre")</f>
        <v>No hay acctividad programada para este trimestre</v>
      </c>
      <c r="AI102" s="59"/>
      <c r="AJ102" s="60">
        <f>IFERROR(__xludf.DUMMYFUNCTION("""COMPUTED_VALUE"""),44396.0)</f>
        <v>44396</v>
      </c>
      <c r="AK102" s="61" t="str">
        <f>IFERROR(IF((AL102+1)&lt;2,Alertas!$B$2&amp;TEXT(AL102,"0%")&amp;Alertas!$D$2, IF((AL102+1)=2,Alertas!$B$3,IF((AL102+1)&gt;2,Alertas!$B$4&amp;TEXT(AL102,"0%")&amp;Alertas!$D$4,AL102+1))),"Sin meta para el segundo trimestre")</f>
        <v>Sin meta para el segundo trimestre</v>
      </c>
      <c r="AL102" s="62" t="str">
        <f t="shared" si="2"/>
        <v>-</v>
      </c>
      <c r="AM102" s="61" t="str">
        <f t="shared" si="3"/>
        <v>Sin meta para el segundo trimestre.</v>
      </c>
      <c r="AN102" s="63"/>
      <c r="AO102" s="64"/>
      <c r="AP102" s="65"/>
      <c r="AQ102" s="65"/>
      <c r="AR102" s="66"/>
      <c r="AS102" s="67"/>
      <c r="AT102" s="68"/>
      <c r="AU102" s="63"/>
      <c r="AV102" s="64"/>
      <c r="AW102" s="69"/>
      <c r="AX102" s="65"/>
      <c r="AY102" s="70"/>
      <c r="AZ102" s="71"/>
      <c r="BA102" s="72"/>
      <c r="BB102" s="73"/>
      <c r="BC102" s="64"/>
      <c r="BD102" s="69"/>
      <c r="BE102" s="65"/>
      <c r="BF102" s="66"/>
      <c r="BG102" s="71"/>
      <c r="BH102" s="72"/>
      <c r="BI102" s="74"/>
      <c r="BK102" s="5" t="str">
        <f t="shared" si="23"/>
        <v>-</v>
      </c>
      <c r="BM102" s="5"/>
    </row>
    <row r="103" ht="37.5" customHeight="1">
      <c r="A103" s="45"/>
      <c r="B103" s="46">
        <f>IFERROR(__xludf.DUMMYFUNCTION("""COMPUTED_VALUE"""),101.0)</f>
        <v>101</v>
      </c>
      <c r="C103" s="47" t="str">
        <f>IFERROR(__xludf.DUMMYFUNCTION("""COMPUTED_VALUE"""),"Gestión de la administración y fomento")</f>
        <v>Gestión de la administración y fomento</v>
      </c>
      <c r="D103" s="48" t="str">
        <f>IFERROR(__xludf.DUMMYFUNCTION("""COMPUTED_VALUE"""),"Regional Barranquilla")</f>
        <v>Regional Barranquilla</v>
      </c>
      <c r="E103" s="48" t="str">
        <f>IFERROR(__xludf.DUMMYFUNCTION("""COMPUTED_VALUE"""),"Fortalecimiento de la sostenibilidad del sector pesquero y de la acuicultura en el territorio nacional")</f>
        <v>Fortalecimiento de la sostenibilidad del sector pesquero y de la acuicultura en el territorio nacional</v>
      </c>
      <c r="F103" s="49">
        <f>IFERROR(__xludf.DUMMYFUNCTION("""COMPUTED_VALUE"""),2.01901100028E12)</f>
        <v>2019011000280</v>
      </c>
      <c r="G103" s="50" t="str">
        <f>IFERROR(__xludf.DUMMYFUNCTION("""COMPUTED_VALUE"""),"Sostenibilidad")</f>
        <v>Sostenibilidad</v>
      </c>
      <c r="H103" s="48" t="str">
        <f>IFERROR(__xludf.DUMMYFUNCTION("""COMPUTED_VALUE"""),"Mejorar la explotación de los recursos pesqueros y de la acuicultura.")</f>
        <v>Mejorar la explotación de los recursos pesqueros y de la acuicultura.</v>
      </c>
      <c r="I103" s="48" t="str">
        <f>IFERROR(__xludf.DUMMYFUNCTION("""COMPUTED_VALUE"""),"Servicios de administración de los recurso pesqueros y de la acuicultura")</f>
        <v>Servicios de administración de los recurso pesqueros y de la acuicultura</v>
      </c>
      <c r="J103" s="48" t="str">
        <f>IFERROR(__xludf.DUMMYFUNCTION("""COMPUTED_VALUE"""),"Realizar acciones de divulgación y formalización de la actividad pesquera y de la acuicultura.")</f>
        <v>Realizar acciones de divulgación y formalización de la actividad pesquera y de la acuicultura.</v>
      </c>
      <c r="K103" s="51" t="str">
        <f>IFERROR(__xludf.DUMMYFUNCTION("""COMPUTED_VALUE"""),"Gestión")</f>
        <v>Gestión</v>
      </c>
      <c r="L103" s="51" t="str">
        <f>IFERROR(__xludf.DUMMYFUNCTION("""COMPUTED_VALUE"""),"Eficacia")</f>
        <v>Eficacia</v>
      </c>
      <c r="M103" s="51" t="str">
        <f>IFERROR(__xludf.DUMMYFUNCTION("""COMPUTED_VALUE"""),"Número")</f>
        <v>Número</v>
      </c>
      <c r="N103" s="52" t="str">
        <f>IFERROR(__xludf.DUMMYFUNCTION("""COMPUTED_VALUE"""),"Registro de desembarcos")</f>
        <v>Registro de desembarcos</v>
      </c>
      <c r="O103" s="53"/>
      <c r="P103" s="54">
        <f>IFERROR(__xludf.DUMMYFUNCTION("""COMPUTED_VALUE"""),1.0)</f>
        <v>1</v>
      </c>
      <c r="Q103" s="55" t="str">
        <f>IFERROR(__xludf.DUMMYFUNCTION("""COMPUTED_VALUE"""),"Realizar el registro de desembarco de algunas de las asociaciones pesquera que estan dentro de la jurisdiccion de la Regional Barranquilla")</f>
        <v>Realizar el registro de desembarco de algunas de las asociaciones pesquera que estan dentro de la jurisdiccion de la Regional Barranquilla</v>
      </c>
      <c r="R103" s="14" t="str">
        <f>IFERROR(__xludf.DUMMYFUNCTION("""COMPUTED_VALUE"""),"Trimestral")</f>
        <v>Trimestral</v>
      </c>
      <c r="S103" s="54">
        <f>IFERROR(__xludf.DUMMYFUNCTION("""COMPUTED_VALUE"""),1.0)</f>
        <v>1</v>
      </c>
      <c r="T103" s="54">
        <f>IFERROR(__xludf.DUMMYFUNCTION("""COMPUTED_VALUE"""),1.0)</f>
        <v>1</v>
      </c>
      <c r="U103" s="54">
        <f>IFERROR(__xludf.DUMMYFUNCTION("""COMPUTED_VALUE"""),1.0)</f>
        <v>1</v>
      </c>
      <c r="V103" s="54">
        <f>IFERROR(__xludf.DUMMYFUNCTION("""COMPUTED_VALUE"""),1.0)</f>
        <v>1</v>
      </c>
      <c r="W103" s="56" t="str">
        <f>IFERROR(__xludf.DUMMYFUNCTION("""COMPUTED_VALUE"""),"Regional Barranquilla")</f>
        <v>Regional Barranquilla</v>
      </c>
      <c r="X103" s="57" t="str">
        <f>IFERROR(__xludf.DUMMYFUNCTION("""COMPUTED_VALUE"""),"Jorge Roa")</f>
        <v>Jorge Roa</v>
      </c>
      <c r="Y103" s="47" t="str">
        <f>IFERROR(__xludf.DUMMYFUNCTION("""COMPUTED_VALUE"""),"Director Regional")</f>
        <v>Director Regional</v>
      </c>
      <c r="Z103" s="57" t="str">
        <f>IFERROR(__xludf.DUMMYFUNCTION("""COMPUTED_VALUE"""),"jorge.roa@aunap.gov.co")</f>
        <v>jorge.roa@aunap.gov.co</v>
      </c>
      <c r="AA103" s="47" t="str">
        <f>IFERROR(__xludf.DUMMYFUNCTION("""COMPUTED_VALUE"""),"Humanos, Físicos, Financieros, Tecnológicos")</f>
        <v>Humanos, Físicos, Financieros, Tecnológicos</v>
      </c>
      <c r="AB103" s="47" t="str">
        <f>IFERROR(__xludf.DUMMYFUNCTION("""COMPUTED_VALUE"""),"No asociado")</f>
        <v>No asociado</v>
      </c>
      <c r="AC10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3" s="47" t="str">
        <f>IFERROR(__xludf.DUMMYFUNCTION("""COMPUTED_VALUE"""),"Gestión con valores para resultados")</f>
        <v>Gestión con valores para resultados</v>
      </c>
      <c r="AE103" s="47" t="str">
        <f>IFERROR(__xludf.DUMMYFUNCTION("""COMPUTED_VALUE"""),"Fortalecimiento Organizacional y Simplificación de Procesos")</f>
        <v>Fortalecimiento Organizacional y Simplificación de Procesos</v>
      </c>
      <c r="AF103" s="47" t="str">
        <f>IFERROR(__xludf.DUMMYFUNCTION("""COMPUTED_VALUE"""),"12. Producción y consumo responsable")</f>
        <v>12. Producción y consumo responsable</v>
      </c>
      <c r="AG103" s="58">
        <f>IFERROR(__xludf.DUMMYFUNCTION("""COMPUTED_VALUE"""),6.0)</f>
        <v>6</v>
      </c>
      <c r="AH103" s="59" t="str">
        <f>IFERROR(__xludf.DUMMYFUNCTION("""COMPUTED_VALUE"""),"El cumplimiento de esta actividad fue de seis regitros de desmbarcos ")</f>
        <v>El cumplimiento de esta actividad fue de seis regitros de desmbarcos </v>
      </c>
      <c r="AI103" s="80" t="str">
        <f>IFERROR(__xludf.DUMMYFUNCTION("""COMPUTED_VALUE"""),"https://drive.google.com/drive/folders/1kzgav-qgeVN9aps2MZtVvH4hQibDj-0n?usp=sharing")</f>
        <v>https://drive.google.com/drive/folders/1kzgav-qgeVN9aps2MZtVvH4hQibDj-0n?usp=sharing</v>
      </c>
      <c r="AJ103" s="60">
        <f>IFERROR(__xludf.DUMMYFUNCTION("""COMPUTED_VALUE"""),44396.0)</f>
        <v>44396</v>
      </c>
      <c r="AK103" s="61" t="str">
        <f>IFERROR(IF((AL103+1)&lt;2,Alertas!$B$2&amp;TEXT(AL103,"0%")&amp;Alertas!$D$2, IF((AL103+1)=2,Alertas!$B$3,IF((AL103+1)&gt;2,Alertas!$B$4&amp;TEXT(AL103,"0%")&amp;Alertas!$D$4,AL103+1))),"Sin meta para el segundo trimestre")</f>
        <v>La ejecución de la meta registrada se encuentra por encima de la meta programada en la formulación del plan de acción para el segundo trimestre, su porcentaje de cumplimiento es 600%,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03" s="62">
        <f t="shared" si="2"/>
        <v>6</v>
      </c>
      <c r="AM103" s="61" t="str">
        <f t="shared" si="3"/>
        <v>La ejecución de la meta registrada se encuentra por encima de la meta programada en la formulación del plan de acción para el segundo trimestre, su porcentaje de cumplimiento es 600%,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03" s="63"/>
      <c r="AO103" s="64"/>
      <c r="AP103" s="65"/>
      <c r="AQ103" s="65"/>
      <c r="AR103" s="66"/>
      <c r="AS103" s="67"/>
      <c r="AT103" s="68"/>
      <c r="AU103" s="63"/>
      <c r="AV103" s="64"/>
      <c r="AW103" s="69"/>
      <c r="AX103" s="65"/>
      <c r="AY103" s="70"/>
      <c r="AZ103" s="71"/>
      <c r="BA103" s="72"/>
      <c r="BB103" s="73"/>
      <c r="BC103" s="64"/>
      <c r="BD103" s="69"/>
      <c r="BE103" s="65"/>
      <c r="BF103" s="66"/>
      <c r="BG103" s="71"/>
      <c r="BH103" s="72"/>
      <c r="BI103" s="74"/>
      <c r="BK103" s="5" t="str">
        <f t="shared" si="23"/>
        <v>1</v>
      </c>
      <c r="BM103" s="5"/>
    </row>
    <row r="104" ht="37.5" customHeight="1">
      <c r="A104" s="45"/>
      <c r="B104" s="46">
        <f>IFERROR(__xludf.DUMMYFUNCTION("""COMPUTED_VALUE"""),102.0)</f>
        <v>102</v>
      </c>
      <c r="C104" s="47" t="str">
        <f>IFERROR(__xludf.DUMMYFUNCTION("""COMPUTED_VALUE"""),"Gestión de la administración y fomento")</f>
        <v>Gestión de la administración y fomento</v>
      </c>
      <c r="D104" s="48" t="str">
        <f>IFERROR(__xludf.DUMMYFUNCTION("""COMPUTED_VALUE"""),"Regional Barranquilla")</f>
        <v>Regional Barranquilla</v>
      </c>
      <c r="E104" s="48" t="str">
        <f>IFERROR(__xludf.DUMMYFUNCTION("""COMPUTED_VALUE"""),"Fortalecimiento de la sostenibilidad del sector pesquero y de la acuicultura en el territorio nacional")</f>
        <v>Fortalecimiento de la sostenibilidad del sector pesquero y de la acuicultura en el territorio nacional</v>
      </c>
      <c r="F104" s="49">
        <f>IFERROR(__xludf.DUMMYFUNCTION("""COMPUTED_VALUE"""),2.01901100028E12)</f>
        <v>2019011000280</v>
      </c>
      <c r="G104" s="50" t="str">
        <f>IFERROR(__xludf.DUMMYFUNCTION("""COMPUTED_VALUE"""),"Sostenibilidad")</f>
        <v>Sostenibilidad</v>
      </c>
      <c r="H104" s="48" t="str">
        <f>IFERROR(__xludf.DUMMYFUNCTION("""COMPUTED_VALUE"""),"Mejorar las prácticas de pesca y de acuicultura.")</f>
        <v>Mejorar las prácticas de pesca y de acuicultura.</v>
      </c>
      <c r="I104" s="48" t="str">
        <f>IFERROR(__xludf.DUMMYFUNCTION("""COMPUTED_VALUE"""),"Servicios de apoyo al fomento de la pesca y la acuicultura")</f>
        <v>Servicios de apoyo al fomento de la pesca y la acuicultura</v>
      </c>
      <c r="J104" s="48" t="str">
        <f>IFERROR(__xludf.DUMMYFUNCTION("""COMPUTED_VALUE"""),"Generar acciones de fomento para la pesca, la acuicultura y sus actividades conexas.")</f>
        <v>Generar acciones de fomento para la pesca, la acuicultura y sus actividades conexas.</v>
      </c>
      <c r="K104" s="51" t="str">
        <f>IFERROR(__xludf.DUMMYFUNCTION("""COMPUTED_VALUE"""),"Gestión del área")</f>
        <v>Gestión del área</v>
      </c>
      <c r="L104" s="51" t="str">
        <f>IFERROR(__xludf.DUMMYFUNCTION("""COMPUTED_VALUE"""),"Eficacia")</f>
        <v>Eficacia</v>
      </c>
      <c r="M104" s="51" t="str">
        <f>IFERROR(__xludf.DUMMYFUNCTION("""COMPUTED_VALUE"""),"Número")</f>
        <v>Número</v>
      </c>
      <c r="N104" s="52" t="str">
        <f>IFERROR(__xludf.DUMMYFUNCTION("""COMPUTED_VALUE"""),"Entrega de elemento e insumos a las asociaciones")</f>
        <v>Entrega de elemento e insumos a las asociaciones</v>
      </c>
      <c r="O104" s="53"/>
      <c r="P104" s="54">
        <f>IFERROR(__xludf.DUMMYFUNCTION("""COMPUTED_VALUE"""),50.0)</f>
        <v>50</v>
      </c>
      <c r="Q104" s="55" t="str">
        <f>IFERROR(__xludf.DUMMYFUNCTION("""COMPUTED_VALUE"""),"Apoyar en la entregas de insumos y elementos a asociones de pescadores y acuicultores")</f>
        <v>Apoyar en la entregas de insumos y elementos a asociones de pescadores y acuicultores</v>
      </c>
      <c r="R104" s="14" t="str">
        <f>IFERROR(__xludf.DUMMYFUNCTION("""COMPUTED_VALUE"""),"Anual")</f>
        <v>Anual</v>
      </c>
      <c r="S104" s="54">
        <f>IFERROR(__xludf.DUMMYFUNCTION("""COMPUTED_VALUE"""),0.0)</f>
        <v>0</v>
      </c>
      <c r="T104" s="54">
        <f>IFERROR(__xludf.DUMMYFUNCTION("""COMPUTED_VALUE"""),0.0)</f>
        <v>0</v>
      </c>
      <c r="U104" s="54">
        <f>IFERROR(__xludf.DUMMYFUNCTION("""COMPUTED_VALUE"""),0.0)</f>
        <v>0</v>
      </c>
      <c r="V104" s="54">
        <f>IFERROR(__xludf.DUMMYFUNCTION("""COMPUTED_VALUE"""),50.0)</f>
        <v>50</v>
      </c>
      <c r="W104" s="56" t="str">
        <f>IFERROR(__xludf.DUMMYFUNCTION("""COMPUTED_VALUE"""),"Regional Barranquilla")</f>
        <v>Regional Barranquilla</v>
      </c>
      <c r="X104" s="57" t="str">
        <f>IFERROR(__xludf.DUMMYFUNCTION("""COMPUTED_VALUE"""),"Jorge Roa")</f>
        <v>Jorge Roa</v>
      </c>
      <c r="Y104" s="47" t="str">
        <f>IFERROR(__xludf.DUMMYFUNCTION("""COMPUTED_VALUE"""),"Director Regional")</f>
        <v>Director Regional</v>
      </c>
      <c r="Z104" s="57" t="str">
        <f>IFERROR(__xludf.DUMMYFUNCTION("""COMPUTED_VALUE"""),"jorge.roa@aunap.gov.co")</f>
        <v>jorge.roa@aunap.gov.co</v>
      </c>
      <c r="AA104" s="47" t="str">
        <f>IFERROR(__xludf.DUMMYFUNCTION("""COMPUTED_VALUE"""),"Humanos, Físicos, Financieros, Tecnológicos")</f>
        <v>Humanos, Físicos, Financieros, Tecnológicos</v>
      </c>
      <c r="AB104" s="47" t="str">
        <f>IFERROR(__xludf.DUMMYFUNCTION("""COMPUTED_VALUE"""),"No asociado")</f>
        <v>No asociado</v>
      </c>
      <c r="AC104" s="47" t="str">
        <f>IFERROR(__xludf.DUMMYFUNCTION("""COMPUTED_VALUE"""),"Llegar con actividades de pesca y acuicultura a todas las regiones")</f>
        <v>Llegar con actividades de pesca y acuicultura a todas las regiones</v>
      </c>
      <c r="AD104" s="47" t="str">
        <f>IFERROR(__xludf.DUMMYFUNCTION("""COMPUTED_VALUE"""),"Gestión con valores para resultados")</f>
        <v>Gestión con valores para resultados</v>
      </c>
      <c r="AE104" s="47" t="str">
        <f>IFERROR(__xludf.DUMMYFUNCTION("""COMPUTED_VALUE"""),"Fortalecimiento Organizacional y Simplificación de Procesos")</f>
        <v>Fortalecimiento Organizacional y Simplificación de Procesos</v>
      </c>
      <c r="AF104" s="47" t="str">
        <f>IFERROR(__xludf.DUMMYFUNCTION("""COMPUTED_VALUE"""),"12. Producción y consumo responsable")</f>
        <v>12. Producción y consumo responsable</v>
      </c>
      <c r="AG104" s="58">
        <f>IFERROR(__xludf.DUMMYFUNCTION("""COMPUTED_VALUE"""),0.0)</f>
        <v>0</v>
      </c>
      <c r="AH104" s="59" t="str">
        <f>IFERROR(__xludf.DUMMYFUNCTION("""COMPUTED_VALUE"""),"No hay acctividad programada para este trimestre")</f>
        <v>No hay acctividad programada para este trimestre</v>
      </c>
      <c r="AI104" s="59" t="str">
        <f>IFERROR(__xludf.DUMMYFUNCTION("""COMPUTED_VALUE"""),"-")</f>
        <v>-</v>
      </c>
      <c r="AJ104" s="60">
        <f>IFERROR(__xludf.DUMMYFUNCTION("""COMPUTED_VALUE"""),44396.0)</f>
        <v>44396</v>
      </c>
      <c r="AK104" s="61" t="str">
        <f>IFERROR(IF((AL104+1)&lt;2,Alertas!$B$2&amp;TEXT(AL104,"0%")&amp;Alertas!$D$2, IF((AL104+1)=2,Alertas!$B$3,IF((AL104+1)&gt;2,Alertas!$B$4&amp;TEXT(AL104,"0%")&amp;Alertas!$D$4,AL104+1))),"Sin meta para el segundo trimestre")</f>
        <v>Sin meta para el segundo trimestre</v>
      </c>
      <c r="AL104" s="62" t="str">
        <f t="shared" si="2"/>
        <v>-</v>
      </c>
      <c r="AM104" s="61" t="str">
        <f t="shared" si="3"/>
        <v>Sin meta para el segundo trimestre.</v>
      </c>
      <c r="AN104" s="63"/>
      <c r="AO104" s="64"/>
      <c r="AP104" s="65"/>
      <c r="AQ104" s="65"/>
      <c r="AR104" s="66"/>
      <c r="AS104" s="67"/>
      <c r="AT104" s="68"/>
      <c r="AU104" s="63"/>
      <c r="AV104" s="64"/>
      <c r="AW104" s="69"/>
      <c r="AX104" s="65"/>
      <c r="AY104" s="70"/>
      <c r="AZ104" s="71"/>
      <c r="BA104" s="72"/>
      <c r="BB104" s="73"/>
      <c r="BC104" s="64"/>
      <c r="BD104" s="69"/>
      <c r="BE104" s="65"/>
      <c r="BF104" s="66"/>
      <c r="BG104" s="71"/>
      <c r="BH104" s="72"/>
      <c r="BI104" s="74"/>
      <c r="BK104" s="5" t="str">
        <f t="shared" si="23"/>
        <v>-</v>
      </c>
      <c r="BM104" s="5"/>
    </row>
    <row r="105" ht="37.5" customHeight="1">
      <c r="A105" s="45"/>
      <c r="B105" s="46">
        <f>IFERROR(__xludf.DUMMYFUNCTION("""COMPUTED_VALUE"""),103.0)</f>
        <v>103</v>
      </c>
      <c r="C105" s="47" t="str">
        <f>IFERROR(__xludf.DUMMYFUNCTION("""COMPUTED_VALUE"""),"Gestión de la administración y fomento")</f>
        <v>Gestión de la administración y fomento</v>
      </c>
      <c r="D105" s="48" t="str">
        <f>IFERROR(__xludf.DUMMYFUNCTION("""COMPUTED_VALUE"""),"Regional Barranquilla")</f>
        <v>Regional Barranquilla</v>
      </c>
      <c r="E105" s="48" t="str">
        <f>IFERROR(__xludf.DUMMYFUNCTION("""COMPUTED_VALUE"""),"Fortalecimiento de la sostenibilidad del sector pesquero y de la acuicultura en el territorio nacional")</f>
        <v>Fortalecimiento de la sostenibilidad del sector pesquero y de la acuicultura en el territorio nacional</v>
      </c>
      <c r="F105" s="49">
        <f>IFERROR(__xludf.DUMMYFUNCTION("""COMPUTED_VALUE"""),2.01901100028E12)</f>
        <v>2019011000280</v>
      </c>
      <c r="G105" s="50" t="str">
        <f>IFERROR(__xludf.DUMMYFUNCTION("""COMPUTED_VALUE"""),"Sostenibilidad")</f>
        <v>Sostenibilidad</v>
      </c>
      <c r="H105" s="48" t="str">
        <f>IFERROR(__xludf.DUMMYFUNCTION("""COMPUTED_VALUE"""),"Mejorar la explotación de los recursos pesqueros y de la acuicultura.")</f>
        <v>Mejorar la explotación de los recursos pesqueros y de la acuicultura.</v>
      </c>
      <c r="I105" s="48" t="str">
        <f>IFERROR(__xludf.DUMMYFUNCTION("""COMPUTED_VALUE"""),"Servicios de administración de los recurso pesqueros y de la acuicultura")</f>
        <v>Servicios de administración de los recurso pesqueros y de la acuicultura</v>
      </c>
      <c r="J105" s="48" t="str">
        <f>IFERROR(__xludf.DUMMYFUNCTION("""COMPUTED_VALUE"""),"Regular el manejo y el ejercicio de la actividad pesquera y de la acuicultura.")</f>
        <v>Regular el manejo y el ejercicio de la actividad pesquera y de la acuicultura.</v>
      </c>
      <c r="K105" s="51" t="str">
        <f>IFERROR(__xludf.DUMMYFUNCTION("""COMPUTED_VALUE"""),"Gestión del área")</f>
        <v>Gestión del área</v>
      </c>
      <c r="L105" s="51" t="str">
        <f>IFERROR(__xludf.DUMMYFUNCTION("""COMPUTED_VALUE"""),"Eficacia")</f>
        <v>Eficacia</v>
      </c>
      <c r="M105" s="51" t="str">
        <f>IFERROR(__xludf.DUMMYFUNCTION("""COMPUTED_VALUE"""),"Número")</f>
        <v>Número</v>
      </c>
      <c r="N105" s="52" t="str">
        <f>IFERROR(__xludf.DUMMYFUNCTION("""COMPUTED_VALUE"""),"Numero pescadores artesanales formalizados/ No de pescadores")</f>
        <v>Numero pescadores artesanales formalizados/ No de pescadores</v>
      </c>
      <c r="O105" s="53"/>
      <c r="P105" s="54">
        <f>IFERROR(__xludf.DUMMYFUNCTION("""COMPUTED_VALUE"""),5000.0)</f>
        <v>5000</v>
      </c>
      <c r="Q105" s="55" t="str">
        <f>IFERROR(__xludf.DUMMYFUNCTION("""COMPUTED_VALUE"""),"Expedir carnets, para el ejercicio de la actividad pesquera")</f>
        <v>Expedir carnets, para el ejercicio de la actividad pesquera</v>
      </c>
      <c r="R105" s="14" t="str">
        <f>IFERROR(__xludf.DUMMYFUNCTION("""COMPUTED_VALUE"""),"Trimestral")</f>
        <v>Trimestral</v>
      </c>
      <c r="S105" s="54">
        <f>IFERROR(__xludf.DUMMYFUNCTION("""COMPUTED_VALUE"""),700.0)</f>
        <v>700</v>
      </c>
      <c r="T105" s="54">
        <f>IFERROR(__xludf.DUMMYFUNCTION("""COMPUTED_VALUE"""),1000.0)</f>
        <v>1000</v>
      </c>
      <c r="U105" s="54">
        <f>IFERROR(__xludf.DUMMYFUNCTION("""COMPUTED_VALUE"""),1800.0)</f>
        <v>1800</v>
      </c>
      <c r="V105" s="54">
        <f>IFERROR(__xludf.DUMMYFUNCTION("""COMPUTED_VALUE"""),1500.0)</f>
        <v>1500</v>
      </c>
      <c r="W105" s="56" t="str">
        <f>IFERROR(__xludf.DUMMYFUNCTION("""COMPUTED_VALUE"""),"Regional Barranquilla")</f>
        <v>Regional Barranquilla</v>
      </c>
      <c r="X105" s="57" t="str">
        <f>IFERROR(__xludf.DUMMYFUNCTION("""COMPUTED_VALUE"""),"Jorge Roa")</f>
        <v>Jorge Roa</v>
      </c>
      <c r="Y105" s="47" t="str">
        <f>IFERROR(__xludf.DUMMYFUNCTION("""COMPUTED_VALUE"""),"Director Regional")</f>
        <v>Director Regional</v>
      </c>
      <c r="Z105" s="57" t="str">
        <f>IFERROR(__xludf.DUMMYFUNCTION("""COMPUTED_VALUE"""),"jorge.roa@aunap.gov.co")</f>
        <v>jorge.roa@aunap.gov.co</v>
      </c>
      <c r="AA105" s="47" t="str">
        <f>IFERROR(__xludf.DUMMYFUNCTION("""COMPUTED_VALUE"""),"Humanos, Físicos, Financieros, Tecnológicos")</f>
        <v>Humanos, Físicos, Financieros, Tecnológicos</v>
      </c>
      <c r="AB105" s="47" t="str">
        <f>IFERROR(__xludf.DUMMYFUNCTION("""COMPUTED_VALUE"""),"No asociado")</f>
        <v>No asociado</v>
      </c>
      <c r="AC105" s="47" t="str">
        <f>IFERROR(__xludf.DUMMYFUNCTION("""COMPUTED_VALUE"""),"Propiciar la formalización de la pesca y la acuicultura")</f>
        <v>Propiciar la formalización de la pesca y la acuicultura</v>
      </c>
      <c r="AD105" s="47" t="str">
        <f>IFERROR(__xludf.DUMMYFUNCTION("""COMPUTED_VALUE"""),"Gestión con valores para resultados")</f>
        <v>Gestión con valores para resultados</v>
      </c>
      <c r="AE105" s="47" t="str">
        <f>IFERROR(__xludf.DUMMYFUNCTION("""COMPUTED_VALUE"""),"Fortalecimiento Organizacional y Simplificación de Procesos")</f>
        <v>Fortalecimiento Organizacional y Simplificación de Procesos</v>
      </c>
      <c r="AF105" s="47" t="str">
        <f>IFERROR(__xludf.DUMMYFUNCTION("""COMPUTED_VALUE"""),"12. Producción y consumo responsable")</f>
        <v>12. Producción y consumo responsable</v>
      </c>
      <c r="AG105" s="58">
        <f>IFERROR(__xludf.DUMMYFUNCTION("""COMPUTED_VALUE"""),1545.0)</f>
        <v>1545</v>
      </c>
      <c r="AH105" s="59" t="str">
        <f>IFERROR(__xludf.DUMMYFUNCTION("""COMPUTED_VALUE"""),"Dado las caracterizaciones del PNUD asi como las solicitudes de las comunidades es dificil poder limitar esta accion a la meta ya que la misma esta sujeta al interes de la comunidades ")</f>
        <v>Dado las caracterizaciones del PNUD asi como las solicitudes de las comunidades es dificil poder limitar esta accion a la meta ya que la misma esta sujeta al interes de la comunidades </v>
      </c>
      <c r="AI105" s="81" t="str">
        <f>IFERROR(__xludf.DUMMYFUNCTION("""COMPUTED_VALUE"""),"https://drive.google.com/drive/folders/1kzgav-qgeVN9aps2MZtVvH4hQibDj-0n?usp=sharing")</f>
        <v>https://drive.google.com/drive/folders/1kzgav-qgeVN9aps2MZtVvH4hQibDj-0n?usp=sharing</v>
      </c>
      <c r="AJ105" s="60">
        <f>IFERROR(__xludf.DUMMYFUNCTION("""COMPUTED_VALUE"""),44396.0)</f>
        <v>44396</v>
      </c>
      <c r="AK105" s="61" t="str">
        <f>IFERROR(IF((AL105+1)&lt;2,Alertas!$B$2&amp;TEXT(AL105,"0%")&amp;Alertas!$D$2, IF((AL105+1)=2,Alertas!$B$3,IF((AL105+1)&gt;2,Alertas!$B$4&amp;TEXT(AL105,"0%")&amp;Alertas!$D$4,AL105+1))),"Sin meta para el segundo trimestre")</f>
        <v>La ejecución de la meta registrada se encuentra por encima de la meta programada en la formulación del plan de acción para el segundo trimestre, su porcentaje de cumplimiento es 155%,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05" s="62">
        <f t="shared" si="2"/>
        <v>1.545</v>
      </c>
      <c r="AM105" s="61" t="str">
        <f t="shared" si="3"/>
        <v>La ejecución de la meta registrada se encuentra por encima de la meta programada en la formulación del plan de acción para el segundo trimestre, su porcentaje de cumplimiento es 155%,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05" s="63"/>
      <c r="AO105" s="64"/>
      <c r="AP105" s="65"/>
      <c r="AQ105" s="65"/>
      <c r="AR105" s="66"/>
      <c r="AS105" s="67"/>
      <c r="AT105" s="68"/>
      <c r="AU105" s="63"/>
      <c r="AV105" s="64"/>
      <c r="AW105" s="69"/>
      <c r="AX105" s="65"/>
      <c r="AY105" s="70"/>
      <c r="AZ105" s="71"/>
      <c r="BA105" s="72"/>
      <c r="BB105" s="73"/>
      <c r="BC105" s="64"/>
      <c r="BD105" s="69"/>
      <c r="BE105" s="65"/>
      <c r="BF105" s="66"/>
      <c r="BG105" s="71"/>
      <c r="BH105" s="72"/>
      <c r="BI105" s="74"/>
      <c r="BK105" s="5" t="str">
        <f t="shared" si="23"/>
        <v>1</v>
      </c>
      <c r="BM105" s="5"/>
    </row>
    <row r="106" ht="37.5" customHeight="1">
      <c r="A106" s="45"/>
      <c r="B106" s="46">
        <f>IFERROR(__xludf.DUMMYFUNCTION("""COMPUTED_VALUE"""),104.0)</f>
        <v>104</v>
      </c>
      <c r="C106" s="47" t="str">
        <f>IFERROR(__xludf.DUMMYFUNCTION("""COMPUTED_VALUE"""),"Gestión de la inspección y vigilancia")</f>
        <v>Gestión de la inspección y vigilancia</v>
      </c>
      <c r="D106" s="48" t="str">
        <f>IFERROR(__xludf.DUMMYFUNCTION("""COMPUTED_VALUE"""),"Regional Barranquilla")</f>
        <v>Regional Barranquilla</v>
      </c>
      <c r="E106"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06" s="49">
        <f>IFERROR(__xludf.DUMMYFUNCTION("""COMPUTED_VALUE"""),2.019011000276E12)</f>
        <v>2019011000276</v>
      </c>
      <c r="G106" s="50" t="str">
        <f>IFERROR(__xludf.DUMMYFUNCTION("""COMPUTED_VALUE"""),"Inspección")</f>
        <v>Inspección</v>
      </c>
      <c r="H106" s="48" t="str">
        <f>IFERROR(__xludf.DUMMYFUNCTION("""COMPUTED_VALUE"""),"Fortalecer los mecanismos de seguimiento y control de la actividad pesquera y de la acuicultura.")</f>
        <v>Fortalecer los mecanismos de seguimiento y control de la actividad pesquera y de la acuicultura.</v>
      </c>
      <c r="I106" s="48" t="str">
        <f>IFERROR(__xludf.DUMMYFUNCTION("""COMPUTED_VALUE"""),"Servicio de inspección, vigilancia y control de la pesca y la acuicultura")</f>
        <v>Servicio de inspección, vigilancia y control de la pesca y la acuicultura</v>
      </c>
      <c r="J106" s="48" t="str">
        <f>IFERROR(__xludf.DUMMYFUNCTION("""COMPUTED_VALUE"""),"Realizar los operativos de inspección, vigilancia y control.")</f>
        <v>Realizar los operativos de inspección, vigilancia y control.</v>
      </c>
      <c r="K106" s="51" t="str">
        <f>IFERROR(__xludf.DUMMYFUNCTION("""COMPUTED_VALUE"""),"Gestión del área")</f>
        <v>Gestión del área</v>
      </c>
      <c r="L106" s="51" t="str">
        <f>IFERROR(__xludf.DUMMYFUNCTION("""COMPUTED_VALUE"""),"Eficacia")</f>
        <v>Eficacia</v>
      </c>
      <c r="M106" s="51" t="str">
        <f>IFERROR(__xludf.DUMMYFUNCTION("""COMPUTED_VALUE"""),"Número")</f>
        <v>Número</v>
      </c>
      <c r="N106" s="52" t="str">
        <f>IFERROR(__xludf.DUMMYFUNCTION("""COMPUTED_VALUE"""),"Numero de operativos de control a la actividad pesquera y acuicola realizados")</f>
        <v>Numero de operativos de control a la actividad pesquera y acuicola realizados</v>
      </c>
      <c r="O106" s="53"/>
      <c r="P106" s="54">
        <f>IFERROR(__xludf.DUMMYFUNCTION("""COMPUTED_VALUE"""),1000.0)</f>
        <v>1000</v>
      </c>
      <c r="Q106" s="55" t="str">
        <f>IFERROR(__xludf.DUMMYFUNCTION("""COMPUTED_VALUE"""),"Realizar acciones de sensibilizacion (operativos) para el ejercio de las actividades de pesca y acuicultura dentro de la normatividad")</f>
        <v>Realizar acciones de sensibilizacion (operativos) para el ejercio de las actividades de pesca y acuicultura dentro de la normatividad</v>
      </c>
      <c r="R106" s="14" t="str">
        <f>IFERROR(__xludf.DUMMYFUNCTION("""COMPUTED_VALUE"""),"Trimestral")</f>
        <v>Trimestral</v>
      </c>
      <c r="S106" s="54">
        <f>IFERROR(__xludf.DUMMYFUNCTION("""COMPUTED_VALUE"""),130.0)</f>
        <v>130</v>
      </c>
      <c r="T106" s="54">
        <f>IFERROR(__xludf.DUMMYFUNCTION("""COMPUTED_VALUE"""),300.0)</f>
        <v>300</v>
      </c>
      <c r="U106" s="54">
        <f>IFERROR(__xludf.DUMMYFUNCTION("""COMPUTED_VALUE"""),300.0)</f>
        <v>300</v>
      </c>
      <c r="V106" s="54">
        <f>IFERROR(__xludf.DUMMYFUNCTION("""COMPUTED_VALUE"""),270.0)</f>
        <v>270</v>
      </c>
      <c r="W106" s="56" t="str">
        <f>IFERROR(__xludf.DUMMYFUNCTION("""COMPUTED_VALUE"""),"Regional Barranquilla")</f>
        <v>Regional Barranquilla</v>
      </c>
      <c r="X106" s="57" t="str">
        <f>IFERROR(__xludf.DUMMYFUNCTION("""COMPUTED_VALUE"""),"Jorge Roa")</f>
        <v>Jorge Roa</v>
      </c>
      <c r="Y106" s="47" t="str">
        <f>IFERROR(__xludf.DUMMYFUNCTION("""COMPUTED_VALUE"""),"Director Regional")</f>
        <v>Director Regional</v>
      </c>
      <c r="Z106" s="57" t="str">
        <f>IFERROR(__xludf.DUMMYFUNCTION("""COMPUTED_VALUE"""),"jorge.roa@aunap.gov.co")</f>
        <v>jorge.roa@aunap.gov.co</v>
      </c>
      <c r="AA106" s="47" t="str">
        <f>IFERROR(__xludf.DUMMYFUNCTION("""COMPUTED_VALUE"""),"Humanos, Físicos, Financieros, Tecnológicos")</f>
        <v>Humanos, Físicos, Financieros, Tecnológicos</v>
      </c>
      <c r="AB106" s="47" t="str">
        <f>IFERROR(__xludf.DUMMYFUNCTION("""COMPUTED_VALUE"""),"No asociado")</f>
        <v>No asociado</v>
      </c>
      <c r="AC10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6" s="47" t="str">
        <f>IFERROR(__xludf.DUMMYFUNCTION("""COMPUTED_VALUE"""),"Gestión con valores para resultados")</f>
        <v>Gestión con valores para resultados</v>
      </c>
      <c r="AE106" s="47" t="str">
        <f>IFERROR(__xludf.DUMMYFUNCTION("""COMPUTED_VALUE"""),"Fortalecimiento Organizacional y Simplificación de Procesos")</f>
        <v>Fortalecimiento Organizacional y Simplificación de Procesos</v>
      </c>
      <c r="AF106" s="47" t="str">
        <f>IFERROR(__xludf.DUMMYFUNCTION("""COMPUTED_VALUE"""),"12. Producción y consumo responsable")</f>
        <v>12. Producción y consumo responsable</v>
      </c>
      <c r="AG106" s="58">
        <f>IFERROR(__xludf.DUMMYFUNCTION("""COMPUTED_VALUE"""),383.0)</f>
        <v>383</v>
      </c>
      <c r="AH106" s="59" t="str">
        <f>IFERROR(__xludf.DUMMYFUNCTION("""COMPUTED_VALUE"""),"Se dio el cumplimiento de la totalidad de los operativos planeados")</f>
        <v>Se dio el cumplimiento de la totalidad de los operativos planeados</v>
      </c>
      <c r="AI106" s="81" t="str">
        <f>IFERROR(__xludf.DUMMYFUNCTION("""COMPUTED_VALUE"""),"https://drive.google.com/drive/folders/15CTvvALIR5CZAFeS-LOYt9HpFXwh3216?usp=sharing")</f>
        <v>https://drive.google.com/drive/folders/15CTvvALIR5CZAFeS-LOYt9HpFXwh3216?usp=sharing</v>
      </c>
      <c r="AJ106" s="60">
        <f>IFERROR(__xludf.DUMMYFUNCTION("""COMPUTED_VALUE"""),44396.0)</f>
        <v>44396</v>
      </c>
      <c r="AK106" s="61" t="str">
        <f>IFERROR(IF((AL106+1)&lt;2,Alertas!$B$2&amp;TEXT(AL106,"0%")&amp;Alertas!$D$2, IF((AL106+1)=2,Alertas!$B$3,IF((AL106+1)&gt;2,Alertas!$B$4&amp;TEXT(AL106,"0%")&amp;Alertas!$D$4,AL106+1))),"Sin meta para el segundo trimestre")</f>
        <v>La ejecución de la meta registrada se encuentra por encima de la meta programada en la formulación del plan de acción para el segundo trimestre, su porcentaje de cumplimiento es 128%,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06" s="62">
        <f t="shared" si="2"/>
        <v>1.276666667</v>
      </c>
      <c r="AM106" s="61" t="str">
        <f t="shared" si="3"/>
        <v>La ejecución de la meta registrada se encuentra por encima de la meta programada en la formulación del plan de acción para el segundo trimestre, su porcentaje de cumplimiento es 128%,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06" s="63"/>
      <c r="AO106" s="64"/>
      <c r="AP106" s="65"/>
      <c r="AQ106" s="65"/>
      <c r="AR106" s="66"/>
      <c r="AS106" s="67"/>
      <c r="AT106" s="68"/>
      <c r="AU106" s="63"/>
      <c r="AV106" s="64"/>
      <c r="AW106" s="69"/>
      <c r="AX106" s="65"/>
      <c r="AY106" s="70"/>
      <c r="AZ106" s="71"/>
      <c r="BA106" s="72"/>
      <c r="BB106" s="73"/>
      <c r="BC106" s="64"/>
      <c r="BD106" s="69"/>
      <c r="BE106" s="65"/>
      <c r="BF106" s="66"/>
      <c r="BG106" s="71"/>
      <c r="BH106" s="72"/>
      <c r="BI106" s="74"/>
      <c r="BK106" s="5" t="str">
        <f t="shared" si="23"/>
        <v>1</v>
      </c>
      <c r="BM106" s="5"/>
    </row>
    <row r="107" ht="37.5" customHeight="1">
      <c r="A107" s="45"/>
      <c r="B107" s="46">
        <f>IFERROR(__xludf.DUMMYFUNCTION("""COMPUTED_VALUE"""),105.0)</f>
        <v>105</v>
      </c>
      <c r="C107" s="47" t="str">
        <f>IFERROR(__xludf.DUMMYFUNCTION("""COMPUTED_VALUE"""),"Gestión de la administración y fomento")</f>
        <v>Gestión de la administración y fomento</v>
      </c>
      <c r="D107" s="48" t="str">
        <f>IFERROR(__xludf.DUMMYFUNCTION("""COMPUTED_VALUE"""),"Regional Barranquilla")</f>
        <v>Regional Barranquilla</v>
      </c>
      <c r="E107" s="48" t="str">
        <f>IFERROR(__xludf.DUMMYFUNCTION("""COMPUTED_VALUE"""),"Fortalecimiento de la sostenibilidad del sector pesquero y de la acuicultura en el territorio nacional")</f>
        <v>Fortalecimiento de la sostenibilidad del sector pesquero y de la acuicultura en el territorio nacional</v>
      </c>
      <c r="F107" s="49">
        <f>IFERROR(__xludf.DUMMYFUNCTION("""COMPUTED_VALUE"""),2.01901100028E12)</f>
        <v>2019011000280</v>
      </c>
      <c r="G107" s="50" t="str">
        <f>IFERROR(__xludf.DUMMYFUNCTION("""COMPUTED_VALUE"""),"Sostenibilidad")</f>
        <v>Sostenibilidad</v>
      </c>
      <c r="H107" s="48" t="str">
        <f>IFERROR(__xludf.DUMMYFUNCTION("""COMPUTED_VALUE"""),"Mejorar la explotación de los recursos pesqueros y de la acuicultura.")</f>
        <v>Mejorar la explotación de los recursos pesqueros y de la acuicultura.</v>
      </c>
      <c r="I107" s="48" t="str">
        <f>IFERROR(__xludf.DUMMYFUNCTION("""COMPUTED_VALUE"""),"2-Servicios de apoyo a las estaciones de acuicultura")</f>
        <v>2-Servicios de apoyo a las estaciones de acuicultura</v>
      </c>
      <c r="J107" s="48" t="str">
        <f>IFERROR(__xludf.DUMMYFUNCTION("""COMPUTED_VALUE"""),"Producir alevinos para el sector productivo y/o con fines de repoblamiento.")</f>
        <v>Producir alevinos para el sector productivo y/o con fines de repoblamiento.</v>
      </c>
      <c r="K107" s="51" t="str">
        <f>IFERROR(__xludf.DUMMYFUNCTION("""COMPUTED_VALUE"""),"Producto")</f>
        <v>Producto</v>
      </c>
      <c r="L107" s="51" t="str">
        <f>IFERROR(__xludf.DUMMYFUNCTION("""COMPUTED_VALUE"""),"Eficacia")</f>
        <v>Eficacia</v>
      </c>
      <c r="M107" s="51" t="str">
        <f>IFERROR(__xludf.DUMMYFUNCTION("""COMPUTED_VALUE"""),"Número")</f>
        <v>Número</v>
      </c>
      <c r="N107" s="52" t="str">
        <f>IFERROR(__xludf.DUMMYFUNCTION("""COMPUTED_VALUE"""),"Alevinos producidos")</f>
        <v>Alevinos producidos</v>
      </c>
      <c r="O107" s="53"/>
      <c r="P107" s="54">
        <f>IFERROR(__xludf.DUMMYFUNCTION("""COMPUTED_VALUE"""),1.201E7)</f>
        <v>12010000</v>
      </c>
      <c r="Q107" s="55" t="str">
        <f>IFERROR(__xludf.DUMMYFUNCTION("""COMPUTED_VALUE"""),"Producir alevinos en las estaciones Piscicolas a nivel nacional  en las estaciones y centros de la AUNAP con fines de repoblamiento y fomento de la actividad pesquera y acuicola")</f>
        <v>Producir alevinos en las estaciones Piscicolas a nivel nacional  en las estaciones y centros de la AUNAP con fines de repoblamiento y fomento de la actividad pesquera y acuicola</v>
      </c>
      <c r="R107" s="14" t="str">
        <f>IFERROR(__xludf.DUMMYFUNCTION("""COMPUTED_VALUE"""),"Trimestral")</f>
        <v>Trimestral</v>
      </c>
      <c r="S107" s="54">
        <f>IFERROR(__xludf.DUMMYFUNCTION("""COMPUTED_VALUE"""),100000.0)</f>
        <v>100000</v>
      </c>
      <c r="T107" s="54">
        <f>IFERROR(__xludf.DUMMYFUNCTION("""COMPUTED_VALUE"""),3200000.0)</f>
        <v>3200000</v>
      </c>
      <c r="U107" s="54">
        <f>IFERROR(__xludf.DUMMYFUNCTION("""COMPUTED_VALUE"""),4305000.0)</f>
        <v>4305000</v>
      </c>
      <c r="V107" s="54">
        <f>IFERROR(__xludf.DUMMYFUNCTION("""COMPUTED_VALUE"""),4405000.0)</f>
        <v>4405000</v>
      </c>
      <c r="W107" s="56" t="str">
        <f>IFERROR(__xludf.DUMMYFUNCTION("""COMPUTED_VALUE"""),"Regional Barranquilla")</f>
        <v>Regional Barranquilla</v>
      </c>
      <c r="X107" s="57" t="str">
        <f>IFERROR(__xludf.DUMMYFUNCTION("""COMPUTED_VALUE"""),"Jorge Roa")</f>
        <v>Jorge Roa</v>
      </c>
      <c r="Y107" s="47" t="str">
        <f>IFERROR(__xludf.DUMMYFUNCTION("""COMPUTED_VALUE"""),"Director Regional")</f>
        <v>Director Regional</v>
      </c>
      <c r="Z107" s="57" t="str">
        <f>IFERROR(__xludf.DUMMYFUNCTION("""COMPUTED_VALUE"""),"jorge.roa@aunap.gov.co")</f>
        <v>jorge.roa@aunap.gov.co</v>
      </c>
      <c r="AA107" s="47" t="str">
        <f>IFERROR(__xludf.DUMMYFUNCTION("""COMPUTED_VALUE"""),"Humanos, Físicos, Financieros, Tecnológicos")</f>
        <v>Humanos, Físicos, Financieros, Tecnológicos</v>
      </c>
      <c r="AB107" s="47" t="str">
        <f>IFERROR(__xludf.DUMMYFUNCTION("""COMPUTED_VALUE"""),"No asociado")</f>
        <v>No asociado</v>
      </c>
      <c r="AC107" s="47" t="str">
        <f>IFERROR(__xludf.DUMMYFUNCTION("""COMPUTED_VALUE"""),"Llegar con actividades de pesca y acuicultura a todas las regiones")</f>
        <v>Llegar con actividades de pesca y acuicultura a todas las regiones</v>
      </c>
      <c r="AD107" s="47" t="str">
        <f>IFERROR(__xludf.DUMMYFUNCTION("""COMPUTED_VALUE"""),"Gestión con valores para resultados")</f>
        <v>Gestión con valores para resultados</v>
      </c>
      <c r="AE107" s="47" t="str">
        <f>IFERROR(__xludf.DUMMYFUNCTION("""COMPUTED_VALUE"""),"Fortalecimiento Organizacional y Simplificación de Procesos")</f>
        <v>Fortalecimiento Organizacional y Simplificación de Procesos</v>
      </c>
      <c r="AF107" s="47" t="str">
        <f>IFERROR(__xludf.DUMMYFUNCTION("""COMPUTED_VALUE"""),"12. Producción y consumo responsable")</f>
        <v>12. Producción y consumo responsable</v>
      </c>
      <c r="AG107" s="58">
        <f>IFERROR(__xludf.DUMMYFUNCTION("""COMPUTED_VALUE"""),3615000.0)</f>
        <v>3615000</v>
      </c>
      <c r="AH107" s="59" t="str">
        <f>IFERROR(__xludf.DUMMYFUNCTION("""COMPUTED_VALUE"""),"Se cumplio la meta de producción. Ademas se asumio la produccion de Buenaventura que por temas de logistica no podria cumplir ")</f>
        <v>Se cumplio la meta de producción. Ademas se asumio la produccion de Buenaventura que por temas de logistica no podria cumplir </v>
      </c>
      <c r="AI107" s="81" t="str">
        <f>IFERROR(__xludf.DUMMYFUNCTION("""COMPUTED_VALUE"""),"https://drive.google.com/drive/folders/1J4Kl9amOSx9BK6WWrQWQopObwVRspVIM?usp=sharing")</f>
        <v>https://drive.google.com/drive/folders/1J4Kl9amOSx9BK6WWrQWQopObwVRspVIM?usp=sharing</v>
      </c>
      <c r="AJ107" s="60">
        <f>IFERROR(__xludf.DUMMYFUNCTION("""COMPUTED_VALUE"""),44396.0)</f>
        <v>44396</v>
      </c>
      <c r="AK107" s="61" t="str">
        <f>IFERROR(IF((AL107+1)&lt;2,Alertas!$B$2&amp;TEXT(AL107,"0%")&amp;Alertas!$D$2, IF((AL107+1)=2,Alertas!$B$3,IF((AL107+1)&gt;2,Alertas!$B$4&amp;TEXT(AL107,"0%")&amp;Alertas!$D$4,AL107+1))),"Sin meta para el segundo trimestre")</f>
        <v>La ejecución de la meta registrada se encuentra por encima de la meta programada en la formulación del plan de acción para el segundo trimestre, su porcentaje de cumplimiento es 113%,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07" s="62">
        <f t="shared" si="2"/>
        <v>1.1296875</v>
      </c>
      <c r="AM107" s="61" t="str">
        <f t="shared" si="3"/>
        <v>La ejecución de la meta registrada se encuentra por encima de la meta programada en la formulación del plan de acción para el segundo trimestre, su porcentaje de cumplimiento es 113%,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07" s="63"/>
      <c r="AO107" s="64"/>
      <c r="AP107" s="65"/>
      <c r="AQ107" s="65"/>
      <c r="AR107" s="66"/>
      <c r="AS107" s="67"/>
      <c r="AT107" s="68"/>
      <c r="AU107" s="63"/>
      <c r="AV107" s="64"/>
      <c r="AW107" s="69"/>
      <c r="AX107" s="65"/>
      <c r="AY107" s="70"/>
      <c r="AZ107" s="71"/>
      <c r="BA107" s="72"/>
      <c r="BB107" s="73"/>
      <c r="BC107" s="64"/>
      <c r="BD107" s="69"/>
      <c r="BE107" s="65"/>
      <c r="BF107" s="66"/>
      <c r="BG107" s="71"/>
      <c r="BH107" s="72"/>
      <c r="BI107" s="74"/>
      <c r="BK107" s="5" t="str">
        <f t="shared" si="23"/>
        <v>1</v>
      </c>
      <c r="BM107" s="5"/>
    </row>
    <row r="108" ht="37.5" customHeight="1">
      <c r="A108" s="45"/>
      <c r="B108" s="46">
        <f>IFERROR(__xludf.DUMMYFUNCTION("""COMPUTED_VALUE"""),106.0)</f>
        <v>106</v>
      </c>
      <c r="C108" s="47" t="str">
        <f>IFERROR(__xludf.DUMMYFUNCTION("""COMPUTED_VALUE"""),"Gestión de la administración y fomento")</f>
        <v>Gestión de la administración y fomento</v>
      </c>
      <c r="D108" s="48" t="str">
        <f>IFERROR(__xludf.DUMMYFUNCTION("""COMPUTED_VALUE"""),"Regional Barranquilla")</f>
        <v>Regional Barranquilla</v>
      </c>
      <c r="E108" s="48" t="str">
        <f>IFERROR(__xludf.DUMMYFUNCTION("""COMPUTED_VALUE"""),"Fortalecimiento de la sostenibilidad del sector pesquero y de la acuicultura en el territorio nacional")</f>
        <v>Fortalecimiento de la sostenibilidad del sector pesquero y de la acuicultura en el territorio nacional</v>
      </c>
      <c r="F108" s="49">
        <f>IFERROR(__xludf.DUMMYFUNCTION("""COMPUTED_VALUE"""),2.01901100028E12)</f>
        <v>2019011000280</v>
      </c>
      <c r="G108" s="50" t="str">
        <f>IFERROR(__xludf.DUMMYFUNCTION("""COMPUTED_VALUE"""),"Sostenibilidad")</f>
        <v>Sostenibilidad</v>
      </c>
      <c r="H108" s="48" t="str">
        <f>IFERROR(__xludf.DUMMYFUNCTION("""COMPUTED_VALUE"""),"Mejorar las prácticas de pesca y de acuicultura.")</f>
        <v>Mejorar las prácticas de pesca y de acuicultura.</v>
      </c>
      <c r="I108" s="48" t="str">
        <f>IFERROR(__xludf.DUMMYFUNCTION("""COMPUTED_VALUE"""),"Servicios de administración de los recurso pesqueros y de la acuicultura")</f>
        <v>Servicios de administración de los recurso pesqueros y de la acuicultura</v>
      </c>
      <c r="J108" s="48" t="str">
        <f>IFERROR(__xludf.DUMMYFUNCTION("""COMPUTED_VALUE"""),"Realizar acciones de divulgación y formalización de la actividad pesquera y de la acuicultura.")</f>
        <v>Realizar acciones de divulgación y formalización de la actividad pesquera y de la acuicultura.</v>
      </c>
      <c r="K108" s="51" t="str">
        <f>IFERROR(__xludf.DUMMYFUNCTION("""COMPUTED_VALUE"""),"Gestión del área")</f>
        <v>Gestión del área</v>
      </c>
      <c r="L108" s="51" t="str">
        <f>IFERROR(__xludf.DUMMYFUNCTION("""COMPUTED_VALUE"""),"Eficacia")</f>
        <v>Eficacia</v>
      </c>
      <c r="M108" s="51" t="str">
        <f>IFERROR(__xludf.DUMMYFUNCTION("""COMPUTED_VALUE"""),"Número")</f>
        <v>Número</v>
      </c>
      <c r="N108" s="52" t="str">
        <f>IFERROR(__xludf.DUMMYFUNCTION("""COMPUTED_VALUE"""),"Asociaciones instruidas en  buenas practicas pesqueras y acuicolas para el ejercicio de la pesca y la acuicultura y asociatividad")</f>
        <v>Asociaciones instruidas en  buenas practicas pesqueras y acuicolas para el ejercicio de la pesca y la acuicultura y asociatividad</v>
      </c>
      <c r="O108" s="53"/>
      <c r="P108" s="54">
        <f>IFERROR(__xludf.DUMMYFUNCTION("""COMPUTED_VALUE"""),50.0)</f>
        <v>50</v>
      </c>
      <c r="Q108" s="55" t="str">
        <f>IFERROR(__xludf.DUMMYFUNCTION("""COMPUTED_VALUE"""),"Instruir a las comunidades en asociatividad, buenas practicas pesqueras y acuicolas para  el ejercicio de la pesca y la acuicultura")</f>
        <v>Instruir a las comunidades en asociatividad, buenas practicas pesqueras y acuicolas para  el ejercicio de la pesca y la acuicultura</v>
      </c>
      <c r="R108" s="14" t="str">
        <f>IFERROR(__xludf.DUMMYFUNCTION("""COMPUTED_VALUE"""),"Trimestral")</f>
        <v>Trimestral</v>
      </c>
      <c r="S108" s="54">
        <f>IFERROR(__xludf.DUMMYFUNCTION("""COMPUTED_VALUE"""),5.0)</f>
        <v>5</v>
      </c>
      <c r="T108" s="54">
        <f>IFERROR(__xludf.DUMMYFUNCTION("""COMPUTED_VALUE"""),15.0)</f>
        <v>15</v>
      </c>
      <c r="U108" s="54">
        <f>IFERROR(__xludf.DUMMYFUNCTION("""COMPUTED_VALUE"""),15.0)</f>
        <v>15</v>
      </c>
      <c r="V108" s="54">
        <f>IFERROR(__xludf.DUMMYFUNCTION("""COMPUTED_VALUE"""),15.0)</f>
        <v>15</v>
      </c>
      <c r="W108" s="56" t="str">
        <f>IFERROR(__xludf.DUMMYFUNCTION("""COMPUTED_VALUE"""),"Regional Barranquilla")</f>
        <v>Regional Barranquilla</v>
      </c>
      <c r="X108" s="57" t="str">
        <f>IFERROR(__xludf.DUMMYFUNCTION("""COMPUTED_VALUE"""),"Jorge Roa")</f>
        <v>Jorge Roa</v>
      </c>
      <c r="Y108" s="47" t="str">
        <f>IFERROR(__xludf.DUMMYFUNCTION("""COMPUTED_VALUE"""),"Director Regional")</f>
        <v>Director Regional</v>
      </c>
      <c r="Z108" s="57" t="str">
        <f>IFERROR(__xludf.DUMMYFUNCTION("""COMPUTED_VALUE"""),"jorge.roa@aunap.gov.co")</f>
        <v>jorge.roa@aunap.gov.co</v>
      </c>
      <c r="AA108" s="47" t="str">
        <f>IFERROR(__xludf.DUMMYFUNCTION("""COMPUTED_VALUE"""),"Humanos, Físicos, Financieros, Tecnológicos")</f>
        <v>Humanos, Físicos, Financieros, Tecnológicos</v>
      </c>
      <c r="AB108" s="47" t="str">
        <f>IFERROR(__xludf.DUMMYFUNCTION("""COMPUTED_VALUE"""),"No asociado")</f>
        <v>No asociado</v>
      </c>
      <c r="AC108" s="47" t="str">
        <f>IFERROR(__xludf.DUMMYFUNCTION("""COMPUTED_VALUE"""),"Llegar con actividades de pesca y acuicultura a todas las regiones")</f>
        <v>Llegar con actividades de pesca y acuicultura a todas las regiones</v>
      </c>
      <c r="AD108" s="47" t="str">
        <f>IFERROR(__xludf.DUMMYFUNCTION("""COMPUTED_VALUE"""),"Gestión con valores para resultados")</f>
        <v>Gestión con valores para resultados</v>
      </c>
      <c r="AE108" s="47" t="str">
        <f>IFERROR(__xludf.DUMMYFUNCTION("""COMPUTED_VALUE"""),"Fortalecimiento Organizacional y Simplificación de Procesos")</f>
        <v>Fortalecimiento Organizacional y Simplificación de Procesos</v>
      </c>
      <c r="AF108" s="47" t="str">
        <f>IFERROR(__xludf.DUMMYFUNCTION("""COMPUTED_VALUE"""),"12. Producción y consumo responsable")</f>
        <v>12. Producción y consumo responsable</v>
      </c>
      <c r="AG108" s="58">
        <f>IFERROR(__xludf.DUMMYFUNCTION("""COMPUTED_VALUE"""),15.0)</f>
        <v>15</v>
      </c>
      <c r="AH108" s="59" t="str">
        <f>IFERROR(__xludf.DUMMYFUNCTION("""COMPUTED_VALUE"""),"Se cumplio con el total de lo planeado")</f>
        <v>Se cumplio con el total de lo planeado</v>
      </c>
      <c r="AI108" s="81" t="str">
        <f>IFERROR(__xludf.DUMMYFUNCTION("""COMPUTED_VALUE"""),"https://drive.google.com/drive/folders/1nOThh0PDgJZjSjMClQ3NkXxHu6FDPrhm?usp=sharing")</f>
        <v>https://drive.google.com/drive/folders/1nOThh0PDgJZjSjMClQ3NkXxHu6FDPrhm?usp=sharing</v>
      </c>
      <c r="AJ108" s="60">
        <f>IFERROR(__xludf.DUMMYFUNCTION("""COMPUTED_VALUE"""),44396.0)</f>
        <v>44396</v>
      </c>
      <c r="AK108" s="61" t="str">
        <f>IFERROR(IF((AL108+1)&lt;2,Alertas!$B$2&amp;TEXT(AL108,"0%")&amp;Alertas!$D$2, IF((AL108+1)=2,Alertas!$B$3,IF((AL108+1)&gt;2,Alertas!$B$4&amp;TEXT(AL108,"0%")&amp;Alertas!$D$4,AL108+1))),"Sin meta para el segundo trimestre")</f>
        <v>La ejecución de la meta registrada se encuentra acorde a la meta programada en la formulación del plan de acción para el segundo trimestre</v>
      </c>
      <c r="AL108" s="62">
        <f t="shared" si="2"/>
        <v>1</v>
      </c>
      <c r="AM108" s="61" t="str">
        <f t="shared" si="3"/>
        <v>La ejecución de la meta registrada se encuentra acorde a la meta programada en la formulación del plan de acción para el segundo trimestre.</v>
      </c>
      <c r="AN108" s="63"/>
      <c r="AO108" s="64"/>
      <c r="AP108" s="65"/>
      <c r="AQ108" s="65"/>
      <c r="AR108" s="66"/>
      <c r="AS108" s="67"/>
      <c r="AT108" s="68"/>
      <c r="AU108" s="63"/>
      <c r="AV108" s="64"/>
      <c r="AW108" s="69"/>
      <c r="AX108" s="65"/>
      <c r="AY108" s="70"/>
      <c r="AZ108" s="71"/>
      <c r="BA108" s="72"/>
      <c r="BB108" s="73"/>
      <c r="BC108" s="64"/>
      <c r="BD108" s="69"/>
      <c r="BE108" s="65"/>
      <c r="BF108" s="66"/>
      <c r="BG108" s="71"/>
      <c r="BH108" s="72"/>
      <c r="BI108" s="74"/>
      <c r="BK108" s="5" t="str">
        <f t="shared" si="23"/>
        <v>0</v>
      </c>
      <c r="BM108" s="5"/>
    </row>
    <row r="109" ht="37.5" customHeight="1">
      <c r="A109" s="45"/>
      <c r="B109" s="46">
        <f>IFERROR(__xludf.DUMMYFUNCTION("""COMPUTED_VALUE"""),107.0)</f>
        <v>107</v>
      </c>
      <c r="C109" s="47" t="str">
        <f>IFERROR(__xludf.DUMMYFUNCTION("""COMPUTED_VALUE"""),"Gestión de la administración y fomento")</f>
        <v>Gestión de la administración y fomento</v>
      </c>
      <c r="D109" s="48" t="str">
        <f>IFERROR(__xludf.DUMMYFUNCTION("""COMPUTED_VALUE"""),"Regional Barranquilla")</f>
        <v>Regional Barranquilla</v>
      </c>
      <c r="E109" s="48" t="str">
        <f>IFERROR(__xludf.DUMMYFUNCTION("""COMPUTED_VALUE"""),"Fortalecimiento de la sostenibilidad del sector pesquero y de la acuicultura en el territorio nacional")</f>
        <v>Fortalecimiento de la sostenibilidad del sector pesquero y de la acuicultura en el territorio nacional</v>
      </c>
      <c r="F109" s="49">
        <f>IFERROR(__xludf.DUMMYFUNCTION("""COMPUTED_VALUE"""),2.01901100028E12)</f>
        <v>2019011000280</v>
      </c>
      <c r="G109" s="50" t="str">
        <f>IFERROR(__xludf.DUMMYFUNCTION("""COMPUTED_VALUE"""),"Sostenibilidad")</f>
        <v>Sostenibilidad</v>
      </c>
      <c r="H109" s="48" t="str">
        <f>IFERROR(__xludf.DUMMYFUNCTION("""COMPUTED_VALUE"""),"Mejorar las prácticas de pesca y de acuicultura.")</f>
        <v>Mejorar las prácticas de pesca y de acuicultura.</v>
      </c>
      <c r="I109" s="48" t="str">
        <f>IFERROR(__xludf.DUMMYFUNCTION("""COMPUTED_VALUE"""),"Servicios de administración de los recurso pesqueros y de la acuicultura")</f>
        <v>Servicios de administración de los recurso pesqueros y de la acuicultura</v>
      </c>
      <c r="J109" s="48" t="str">
        <f>IFERROR(__xludf.DUMMYFUNCTION("""COMPUTED_VALUE"""),"Realizar acciones de divulgación y formalización de la actividad pesquera y de la acuicultura.")</f>
        <v>Realizar acciones de divulgación y formalización de la actividad pesquera y de la acuicultura.</v>
      </c>
      <c r="K109" s="51" t="str">
        <f>IFERROR(__xludf.DUMMYFUNCTION("""COMPUTED_VALUE"""),"Gestión del área")</f>
        <v>Gestión del área</v>
      </c>
      <c r="L109" s="51" t="str">
        <f>IFERROR(__xludf.DUMMYFUNCTION("""COMPUTED_VALUE"""),"Eficacia")</f>
        <v>Eficacia</v>
      </c>
      <c r="M109" s="51" t="str">
        <f>IFERROR(__xludf.DUMMYFUNCTION("""COMPUTED_VALUE"""),"Número")</f>
        <v>Número</v>
      </c>
      <c r="N109" s="52" t="str">
        <f>IFERROR(__xludf.DUMMYFUNCTION("""COMPUTED_VALUE"""),"Grupos de interes instruidos en  buenas practicas pesqueras y acuicolas para el ejercicio de la pesca y la acuicultura y asociatividad")</f>
        <v>Grupos de interes instruidos en  buenas practicas pesqueras y acuicolas para el ejercicio de la pesca y la acuicultura y asociatividad</v>
      </c>
      <c r="O109" s="53"/>
      <c r="P109" s="54">
        <f>IFERROR(__xludf.DUMMYFUNCTION("""COMPUTED_VALUE"""),30.0)</f>
        <v>30</v>
      </c>
      <c r="Q109" s="55" t="str">
        <f>IFERROR(__xludf.DUMMYFUNCTION("""COMPUTED_VALUE"""),"Instruir a grupos de interes en buenas practicas pesqueras y acuicolas para  el ejercicio de la pesca y la acuicultura")</f>
        <v>Instruir a grupos de interes en buenas practicas pesqueras y acuicolas para  el ejercicio de la pesca y la acuicultura</v>
      </c>
      <c r="R109" s="14" t="str">
        <f>IFERROR(__xludf.DUMMYFUNCTION("""COMPUTED_VALUE"""),"Trimestral")</f>
        <v>Trimestral</v>
      </c>
      <c r="S109" s="54">
        <f>IFERROR(__xludf.DUMMYFUNCTION("""COMPUTED_VALUE"""),0.0)</f>
        <v>0</v>
      </c>
      <c r="T109" s="54">
        <f>IFERROR(__xludf.DUMMYFUNCTION("""COMPUTED_VALUE"""),5.0)</f>
        <v>5</v>
      </c>
      <c r="U109" s="54">
        <f>IFERROR(__xludf.DUMMYFUNCTION("""COMPUTED_VALUE"""),14.0)</f>
        <v>14</v>
      </c>
      <c r="V109" s="54">
        <f>IFERROR(__xludf.DUMMYFUNCTION("""COMPUTED_VALUE"""),11.0)</f>
        <v>11</v>
      </c>
      <c r="W109" s="56" t="str">
        <f>IFERROR(__xludf.DUMMYFUNCTION("""COMPUTED_VALUE"""),"Regional Barranquilla")</f>
        <v>Regional Barranquilla</v>
      </c>
      <c r="X109" s="57" t="str">
        <f>IFERROR(__xludf.DUMMYFUNCTION("""COMPUTED_VALUE"""),"Jorge Roa")</f>
        <v>Jorge Roa</v>
      </c>
      <c r="Y109" s="47" t="str">
        <f>IFERROR(__xludf.DUMMYFUNCTION("""COMPUTED_VALUE"""),"Director Regional")</f>
        <v>Director Regional</v>
      </c>
      <c r="Z109" s="57" t="str">
        <f>IFERROR(__xludf.DUMMYFUNCTION("""COMPUTED_VALUE"""),"jorge.roa@aunap.gov.co")</f>
        <v>jorge.roa@aunap.gov.co</v>
      </c>
      <c r="AA109" s="47" t="str">
        <f>IFERROR(__xludf.DUMMYFUNCTION("""COMPUTED_VALUE"""),"Humanos, Físicos, Financieros, Tecnológicos")</f>
        <v>Humanos, Físicos, Financieros, Tecnológicos</v>
      </c>
      <c r="AB109" s="47" t="str">
        <f>IFERROR(__xludf.DUMMYFUNCTION("""COMPUTED_VALUE"""),"No asociado")</f>
        <v>No asociado</v>
      </c>
      <c r="AC109" s="47" t="str">
        <f>IFERROR(__xludf.DUMMYFUNCTION("""COMPUTED_VALUE"""),"Llegar con actividades de pesca y acuicultura a todas las regiones")</f>
        <v>Llegar con actividades de pesca y acuicultura a todas las regiones</v>
      </c>
      <c r="AD109" s="47" t="str">
        <f>IFERROR(__xludf.DUMMYFUNCTION("""COMPUTED_VALUE"""),"Gestión con valores para resultados")</f>
        <v>Gestión con valores para resultados</v>
      </c>
      <c r="AE109" s="47" t="str">
        <f>IFERROR(__xludf.DUMMYFUNCTION("""COMPUTED_VALUE"""),"Fortalecimiento Organizacional y Simplificación de Procesos")</f>
        <v>Fortalecimiento Organizacional y Simplificación de Procesos</v>
      </c>
      <c r="AF109" s="47" t="str">
        <f>IFERROR(__xludf.DUMMYFUNCTION("""COMPUTED_VALUE"""),"12. Producción y consumo responsable")</f>
        <v>12. Producción y consumo responsable</v>
      </c>
      <c r="AG109" s="58">
        <f>IFERROR(__xludf.DUMMYFUNCTION("""COMPUTED_VALUE"""),5.0)</f>
        <v>5</v>
      </c>
      <c r="AH109" s="59" t="str">
        <f>IFERROR(__xludf.DUMMYFUNCTION("""COMPUTED_VALUE"""),"Se dio cumplimiento total con lo establecido")</f>
        <v>Se dio cumplimiento total con lo establecido</v>
      </c>
      <c r="AI109" s="80" t="str">
        <f>IFERROR(__xludf.DUMMYFUNCTION("""COMPUTED_VALUE"""),"https://drive.google.com/drive/folders/1DJkyJowVePHz-cPk6WeAshEhoLMjdqC3?usp=sharing")</f>
        <v>https://drive.google.com/drive/folders/1DJkyJowVePHz-cPk6WeAshEhoLMjdqC3?usp=sharing</v>
      </c>
      <c r="AJ109" s="60">
        <f>IFERROR(__xludf.DUMMYFUNCTION("""COMPUTED_VALUE"""),44396.0)</f>
        <v>44396</v>
      </c>
      <c r="AK109" s="61" t="str">
        <f>IFERROR(IF((AL109+1)&lt;2,Alertas!$B$2&amp;TEXT(AL109,"0%")&amp;Alertas!$D$2, IF((AL109+1)=2,Alertas!$B$3,IF((AL109+1)&gt;2,Alertas!$B$4&amp;TEXT(AL109,"0%")&amp;Alertas!$D$4,AL109+1))),"Sin meta para el segundo trimestre")</f>
        <v>La ejecución de la meta registrada se encuentra acorde a la meta programada en la formulación del plan de acción para el segundo trimestre</v>
      </c>
      <c r="AL109" s="62">
        <f t="shared" si="2"/>
        <v>1</v>
      </c>
      <c r="AM109" s="61" t="str">
        <f t="shared" si="3"/>
        <v>La ejecución de la meta registrada se encuentra acorde a la meta programada en la formulación del plan de acción para el segundo trimestre.</v>
      </c>
      <c r="AN109" s="63"/>
      <c r="AO109" s="64"/>
      <c r="AP109" s="65"/>
      <c r="AQ109" s="65"/>
      <c r="AR109" s="66"/>
      <c r="AS109" s="67"/>
      <c r="AT109" s="68"/>
      <c r="AU109" s="63"/>
      <c r="AV109" s="64"/>
      <c r="AW109" s="69"/>
      <c r="AX109" s="65"/>
      <c r="AY109" s="70"/>
      <c r="AZ109" s="71"/>
      <c r="BA109" s="72"/>
      <c r="BB109" s="73"/>
      <c r="BC109" s="64"/>
      <c r="BD109" s="69"/>
      <c r="BE109" s="65"/>
      <c r="BF109" s="66"/>
      <c r="BG109" s="71"/>
      <c r="BH109" s="72"/>
      <c r="BI109" s="74"/>
      <c r="BK109" s="5" t="str">
        <f t="shared" si="23"/>
        <v>0</v>
      </c>
      <c r="BM109" s="5"/>
    </row>
    <row r="110" ht="37.5" customHeight="1">
      <c r="A110" s="45"/>
      <c r="B110" s="46">
        <f>IFERROR(__xludf.DUMMYFUNCTION("""COMPUTED_VALUE"""),108.0)</f>
        <v>108</v>
      </c>
      <c r="C110" s="47" t="str">
        <f>IFERROR(__xludf.DUMMYFUNCTION("""COMPUTED_VALUE"""),"Gestión de la inspección y vigilancia")</f>
        <v>Gestión de la inspección y vigilancia</v>
      </c>
      <c r="D110" s="48" t="str">
        <f>IFERROR(__xludf.DUMMYFUNCTION("""COMPUTED_VALUE"""),"Regional Barranquilla")</f>
        <v>Regional Barranquilla</v>
      </c>
      <c r="E11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0" s="49">
        <f>IFERROR(__xludf.DUMMYFUNCTION("""COMPUTED_VALUE"""),2.019011000276E12)</f>
        <v>2019011000276</v>
      </c>
      <c r="G110" s="50" t="str">
        <f>IFERROR(__xludf.DUMMYFUNCTION("""COMPUTED_VALUE"""),"Inspección")</f>
        <v>Inspección</v>
      </c>
      <c r="H110" s="48" t="str">
        <f>IFERROR(__xludf.DUMMYFUNCTION("""COMPUTED_VALUE"""),"Fortalecer los mecanismos de seguimiento y control de la actividad pesquera y de la acuicultura.")</f>
        <v>Fortalecer los mecanismos de seguimiento y control de la actividad pesquera y de la acuicultura.</v>
      </c>
      <c r="I110" s="48" t="str">
        <f>IFERROR(__xludf.DUMMYFUNCTION("""COMPUTED_VALUE"""),"Servicio de inspección, vigilancia y control de la pesca y la acuicultura")</f>
        <v>Servicio de inspección, vigilancia y control de la pesca y la acuicultura</v>
      </c>
      <c r="J110" s="48" t="str">
        <f>IFERROR(__xludf.DUMMYFUNCTION("""COMPUTED_VALUE"""),"Realizar los operativos de inspección, vigilancia y control.")</f>
        <v>Realizar los operativos de inspección, vigilancia y control.</v>
      </c>
      <c r="K110" s="51" t="str">
        <f>IFERROR(__xludf.DUMMYFUNCTION("""COMPUTED_VALUE"""),"Gestión")</f>
        <v>Gestión</v>
      </c>
      <c r="L110" s="51" t="str">
        <f>IFERROR(__xludf.DUMMYFUNCTION("""COMPUTED_VALUE"""),"Eficacia")</f>
        <v>Eficacia</v>
      </c>
      <c r="M110" s="51" t="str">
        <f>IFERROR(__xludf.DUMMYFUNCTION("""COMPUTED_VALUE"""),"Número")</f>
        <v>Número</v>
      </c>
      <c r="N110" s="52" t="str">
        <f>IFERROR(__xludf.DUMMYFUNCTION("""COMPUTED_VALUE"""),"No seguimientos a entrega de elementos")</f>
        <v>No seguimientos a entrega de elementos</v>
      </c>
      <c r="O110" s="53"/>
      <c r="P110" s="54">
        <f>IFERROR(__xludf.DUMMYFUNCTION("""COMPUTED_VALUE"""),40.0)</f>
        <v>40</v>
      </c>
      <c r="Q110" s="55" t="str">
        <f>IFERROR(__xludf.DUMMYFUNCTION("""COMPUTED_VALUE"""),"Realizar acciones para verificacion del buen uso de los elementos, equipos e insumos entregados a las asociaciones")</f>
        <v>Realizar acciones para verificacion del buen uso de los elementos, equipos e insumos entregados a las asociaciones</v>
      </c>
      <c r="R110" s="14" t="str">
        <f>IFERROR(__xludf.DUMMYFUNCTION("""COMPUTED_VALUE"""),"Trimestral")</f>
        <v>Trimestral</v>
      </c>
      <c r="S110" s="54">
        <f>IFERROR(__xludf.DUMMYFUNCTION("""COMPUTED_VALUE"""),5.0)</f>
        <v>5</v>
      </c>
      <c r="T110" s="54">
        <f>IFERROR(__xludf.DUMMYFUNCTION("""COMPUTED_VALUE"""),7.0)</f>
        <v>7</v>
      </c>
      <c r="U110" s="54">
        <f>IFERROR(__xludf.DUMMYFUNCTION("""COMPUTED_VALUE"""),11.0)</f>
        <v>11</v>
      </c>
      <c r="V110" s="54">
        <f>IFERROR(__xludf.DUMMYFUNCTION("""COMPUTED_VALUE"""),17.0)</f>
        <v>17</v>
      </c>
      <c r="W110" s="56" t="str">
        <f>IFERROR(__xludf.DUMMYFUNCTION("""COMPUTED_VALUE"""),"Regional Barranquilla")</f>
        <v>Regional Barranquilla</v>
      </c>
      <c r="X110" s="57" t="str">
        <f>IFERROR(__xludf.DUMMYFUNCTION("""COMPUTED_VALUE"""),"Jorge Roa")</f>
        <v>Jorge Roa</v>
      </c>
      <c r="Y110" s="47" t="str">
        <f>IFERROR(__xludf.DUMMYFUNCTION("""COMPUTED_VALUE"""),"Director Regional")</f>
        <v>Director Regional</v>
      </c>
      <c r="Z110" s="57" t="str">
        <f>IFERROR(__xludf.DUMMYFUNCTION("""COMPUTED_VALUE"""),"jorge.roa@aunap.gov.co")</f>
        <v>jorge.roa@aunap.gov.co</v>
      </c>
      <c r="AA110" s="47" t="str">
        <f>IFERROR(__xludf.DUMMYFUNCTION("""COMPUTED_VALUE"""),"Humanos, Físicos, Financieros, Tecnológicos")</f>
        <v>Humanos, Físicos, Financieros, Tecnológicos</v>
      </c>
      <c r="AB110" s="47" t="str">
        <f>IFERROR(__xludf.DUMMYFUNCTION("""COMPUTED_VALUE"""),"No asociado")</f>
        <v>No asociado</v>
      </c>
      <c r="AC11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10" s="47" t="str">
        <f>IFERROR(__xludf.DUMMYFUNCTION("""COMPUTED_VALUE"""),"Gestión con valores para resultados")</f>
        <v>Gestión con valores para resultados</v>
      </c>
      <c r="AE110" s="47" t="str">
        <f>IFERROR(__xludf.DUMMYFUNCTION("""COMPUTED_VALUE"""),"Fortalecimiento Organizacional y Simplificación de Procesos")</f>
        <v>Fortalecimiento Organizacional y Simplificación de Procesos</v>
      </c>
      <c r="AF110" s="47" t="str">
        <f>IFERROR(__xludf.DUMMYFUNCTION("""COMPUTED_VALUE"""),"12. Producción y consumo responsable")</f>
        <v>12. Producción y consumo responsable</v>
      </c>
      <c r="AG110" s="58">
        <f>IFERROR(__xludf.DUMMYFUNCTION("""COMPUTED_VALUE"""),12.0)</f>
        <v>12</v>
      </c>
      <c r="AH110" s="59" t="str">
        <f>IFERROR(__xludf.DUMMYFUNCTION("""COMPUTED_VALUE"""),"Se logro realizar el seguimiento a 12 asociaciones que fueron beneficiada con fortalecimeinto en vigencias anteriores")</f>
        <v>Se logro realizar el seguimiento a 12 asociaciones que fueron beneficiada con fortalecimeinto en vigencias anteriores</v>
      </c>
      <c r="AI110" s="80" t="str">
        <f>IFERROR(__xludf.DUMMYFUNCTION("""COMPUTED_VALUE"""),"https://drive.google.com/drive/folders/16ZxQMXYaStMXJRRVTqiTzPTmbmBOQtCg?usp=sharing")</f>
        <v>https://drive.google.com/drive/folders/16ZxQMXYaStMXJRRVTqiTzPTmbmBOQtCg?usp=sharing</v>
      </c>
      <c r="AJ110" s="60">
        <f>IFERROR(__xludf.DUMMYFUNCTION("""COMPUTED_VALUE"""),44396.0)</f>
        <v>44396</v>
      </c>
      <c r="AK110" s="61" t="str">
        <f>IFERROR(IF((AL110+1)&lt;2,Alertas!$B$2&amp;TEXT(AL110,"0%")&amp;Alertas!$D$2, IF((AL110+1)=2,Alertas!$B$3,IF((AL110+1)&gt;2,Alertas!$B$4&amp;TEXT(AL110,"0%")&amp;Alertas!$D$4,AL110+1))),"Sin meta para el segundo trimestre")</f>
        <v>La ejecución de la meta registrada se encuentra por encima de la meta programada en la formulación del plan de acción para el segundo trimestre, su porcentaje de cumplimiento es 171%,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10" s="62">
        <f t="shared" si="2"/>
        <v>1.714285714</v>
      </c>
      <c r="AM110" s="61" t="str">
        <f t="shared" si="3"/>
        <v>La ejecución de la meta registrada se encuentra por encima de la meta programada en la formulación del plan de acción para el segundo trimestre, su porcentaje de cumplimiento es 171%,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10" s="63"/>
      <c r="AO110" s="64"/>
      <c r="AP110" s="65"/>
      <c r="AQ110" s="65"/>
      <c r="AR110" s="66"/>
      <c r="AS110" s="67"/>
      <c r="AT110" s="68"/>
      <c r="AU110" s="63"/>
      <c r="AV110" s="64"/>
      <c r="AW110" s="69"/>
      <c r="AX110" s="65"/>
      <c r="AY110" s="70"/>
      <c r="AZ110" s="71"/>
      <c r="BA110" s="72"/>
      <c r="BB110" s="73"/>
      <c r="BC110" s="64"/>
      <c r="BD110" s="69"/>
      <c r="BE110" s="65"/>
      <c r="BF110" s="66"/>
      <c r="BG110" s="71"/>
      <c r="BH110" s="72"/>
      <c r="BI110" s="74"/>
      <c r="BK110" s="5" t="str">
        <f t="shared" si="23"/>
        <v>1</v>
      </c>
      <c r="BM110" s="5"/>
    </row>
    <row r="111" ht="37.5" customHeight="1">
      <c r="A111" s="45"/>
      <c r="B111" s="46">
        <f>IFERROR(__xludf.DUMMYFUNCTION("""COMPUTED_VALUE"""),109.0)</f>
        <v>109</v>
      </c>
      <c r="C111" s="47" t="str">
        <f>IFERROR(__xludf.DUMMYFUNCTION("""COMPUTED_VALUE"""),"Gestión de la inspección y vigilancia")</f>
        <v>Gestión de la inspección y vigilancia</v>
      </c>
      <c r="D111" s="48" t="str">
        <f>IFERROR(__xludf.DUMMYFUNCTION("""COMPUTED_VALUE"""),"Regional Barranquilla")</f>
        <v>Regional Barranquilla</v>
      </c>
      <c r="E11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1" s="49">
        <f>IFERROR(__xludf.DUMMYFUNCTION("""COMPUTED_VALUE"""),2.019011000276E12)</f>
        <v>2019011000276</v>
      </c>
      <c r="G111" s="50" t="str">
        <f>IFERROR(__xludf.DUMMYFUNCTION("""COMPUTED_VALUE"""),"Inspección")</f>
        <v>Inspección</v>
      </c>
      <c r="H111" s="48" t="str">
        <f>IFERROR(__xludf.DUMMYFUNCTION("""COMPUTED_VALUE"""),"Aumentar el conocimiento de la normatividad pesquera y de la acuicultura por parte de la comunidad.")</f>
        <v>Aumentar el conocimiento de la normatividad pesquera y de la acuicultura por parte de la comunidad.</v>
      </c>
      <c r="I111" s="48" t="str">
        <f>IFERROR(__xludf.DUMMYFUNCTION("""COMPUTED_VALUE"""),"Servicio de divulgación y socialización")</f>
        <v>Servicio de divulgación y socialización</v>
      </c>
      <c r="J111" s="48" t="str">
        <f>IFERROR(__xludf.DUMMYFUNCTION("""COMPUTED_VALUE"""),"Implementar las estrategias de socialización y Divulgación a la comunidad")</f>
        <v>Implementar las estrategias de socialización y Divulgación a la comunidad</v>
      </c>
      <c r="K111" s="51" t="str">
        <f>IFERROR(__xludf.DUMMYFUNCTION("""COMPUTED_VALUE"""),"Gestión del área")</f>
        <v>Gestión del área</v>
      </c>
      <c r="L111" s="51" t="str">
        <f>IFERROR(__xludf.DUMMYFUNCTION("""COMPUTED_VALUE"""),"Eficacia")</f>
        <v>Eficacia</v>
      </c>
      <c r="M111" s="51" t="str">
        <f>IFERROR(__xludf.DUMMYFUNCTION("""COMPUTED_VALUE"""),"Número")</f>
        <v>Número</v>
      </c>
      <c r="N111" s="52" t="str">
        <f>IFERROR(__xludf.DUMMYFUNCTION("""COMPUTED_VALUE"""),"Asociaciones instruidas en implementacion de normatividad pesqueras y acuicola")</f>
        <v>Asociaciones instruidas en implementacion de normatividad pesqueras y acuicola</v>
      </c>
      <c r="O111" s="53"/>
      <c r="P111" s="54">
        <f>IFERROR(__xludf.DUMMYFUNCTION("""COMPUTED_VALUE"""),40.0)</f>
        <v>40</v>
      </c>
      <c r="Q111" s="55" t="str">
        <f>IFERROR(__xludf.DUMMYFUNCTION("""COMPUTED_VALUE"""),"Instruir a las asociaciones en el conocimiento y aplicación de la normatividad pesquera y acuicola del pais para el ejercicio de la pesca y la acuicultura")</f>
        <v>Instruir a las asociaciones en el conocimiento y aplicación de la normatividad pesquera y acuicola del pais para el ejercicio de la pesca y la acuicultura</v>
      </c>
      <c r="R111" s="14" t="str">
        <f>IFERROR(__xludf.DUMMYFUNCTION("""COMPUTED_VALUE"""),"Trimestral")</f>
        <v>Trimestral</v>
      </c>
      <c r="S111" s="54">
        <f>IFERROR(__xludf.DUMMYFUNCTION("""COMPUTED_VALUE"""),5.0)</f>
        <v>5</v>
      </c>
      <c r="T111" s="54">
        <f>IFERROR(__xludf.DUMMYFUNCTION("""COMPUTED_VALUE"""),10.0)</f>
        <v>10</v>
      </c>
      <c r="U111" s="54">
        <f>IFERROR(__xludf.DUMMYFUNCTION("""COMPUTED_VALUE"""),15.0)</f>
        <v>15</v>
      </c>
      <c r="V111" s="54">
        <f>IFERROR(__xludf.DUMMYFUNCTION("""COMPUTED_VALUE"""),10.0)</f>
        <v>10</v>
      </c>
      <c r="W111" s="56" t="str">
        <f>IFERROR(__xludf.DUMMYFUNCTION("""COMPUTED_VALUE"""),"Regional Barranquilla")</f>
        <v>Regional Barranquilla</v>
      </c>
      <c r="X111" s="57" t="str">
        <f>IFERROR(__xludf.DUMMYFUNCTION("""COMPUTED_VALUE"""),"Jorge Roa")</f>
        <v>Jorge Roa</v>
      </c>
      <c r="Y111" s="47" t="str">
        <f>IFERROR(__xludf.DUMMYFUNCTION("""COMPUTED_VALUE"""),"Director Regional")</f>
        <v>Director Regional</v>
      </c>
      <c r="Z111" s="57" t="str">
        <f>IFERROR(__xludf.DUMMYFUNCTION("""COMPUTED_VALUE"""),"jorge.roa@aunap.gov.co")</f>
        <v>jorge.roa@aunap.gov.co</v>
      </c>
      <c r="AA111" s="47" t="str">
        <f>IFERROR(__xludf.DUMMYFUNCTION("""COMPUTED_VALUE"""),"Humanos, Físicos, Financieros, Tecnológicos")</f>
        <v>Humanos, Físicos, Financieros, Tecnológicos</v>
      </c>
      <c r="AB111" s="47" t="str">
        <f>IFERROR(__xludf.DUMMYFUNCTION("""COMPUTED_VALUE"""),"No asociado")</f>
        <v>No asociado</v>
      </c>
      <c r="AC111" s="47" t="str">
        <f>IFERROR(__xludf.DUMMYFUNCTION("""COMPUTED_VALUE"""),"Propiciar la formalización de la pesca y la acuicultura")</f>
        <v>Propiciar la formalización de la pesca y la acuicultura</v>
      </c>
      <c r="AD111" s="47" t="str">
        <f>IFERROR(__xludf.DUMMYFUNCTION("""COMPUTED_VALUE"""),"Gestión con valores para resultados")</f>
        <v>Gestión con valores para resultados</v>
      </c>
      <c r="AE111" s="47" t="str">
        <f>IFERROR(__xludf.DUMMYFUNCTION("""COMPUTED_VALUE"""),"Fortalecimiento Organizacional y Simplificación de Procesos")</f>
        <v>Fortalecimiento Organizacional y Simplificación de Procesos</v>
      </c>
      <c r="AF111" s="47" t="str">
        <f>IFERROR(__xludf.DUMMYFUNCTION("""COMPUTED_VALUE"""),"12. Producción y consumo responsable")</f>
        <v>12. Producción y consumo responsable</v>
      </c>
      <c r="AG111" s="58">
        <f>IFERROR(__xludf.DUMMYFUNCTION("""COMPUTED_VALUE"""),12.0)</f>
        <v>12</v>
      </c>
      <c r="AH111" s="59" t="str">
        <f>IFERROR(__xludf.DUMMYFUNCTION("""COMPUTED_VALUE"""),"Se logro divulgar e instruir a 12 asociaciones de pescadores en torno a normatividad con lo cual se dio cumplimiento a la meta")</f>
        <v>Se logro divulgar e instruir a 12 asociaciones de pescadores en torno a normatividad con lo cual se dio cumplimiento a la meta</v>
      </c>
      <c r="AI111" s="81" t="str">
        <f>IFERROR(__xludf.DUMMYFUNCTION("""COMPUTED_VALUE"""),"https://drive.google.com/drive/folders/1fFIKd0nct5-p5ZlOX5NQGN-ZGHcxduC8?usp=sharing")</f>
        <v>https://drive.google.com/drive/folders/1fFIKd0nct5-p5ZlOX5NQGN-ZGHcxduC8?usp=sharing</v>
      </c>
      <c r="AJ111" s="60">
        <f>IFERROR(__xludf.DUMMYFUNCTION("""COMPUTED_VALUE"""),44396.0)</f>
        <v>44396</v>
      </c>
      <c r="AK111" s="61" t="str">
        <f>IFERROR(IF((AL111+1)&lt;2,Alertas!$B$2&amp;TEXT(AL111,"0%")&amp;Alertas!$D$2, IF((AL111+1)=2,Alertas!$B$3,IF((AL111+1)&gt;2,Alertas!$B$4&amp;TEXT(AL111,"0%")&amp;Alertas!$D$4,AL111+1))),"Sin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11" s="62">
        <f t="shared" si="2"/>
        <v>1.2</v>
      </c>
      <c r="AM111" s="61" t="str">
        <f t="shared" si="3"/>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11" s="63"/>
      <c r="AO111" s="64"/>
      <c r="AP111" s="65"/>
      <c r="AQ111" s="65"/>
      <c r="AR111" s="66"/>
      <c r="AS111" s="67"/>
      <c r="AT111" s="68"/>
      <c r="AU111" s="63"/>
      <c r="AV111" s="64"/>
      <c r="AW111" s="69"/>
      <c r="AX111" s="65"/>
      <c r="AY111" s="70"/>
      <c r="AZ111" s="71"/>
      <c r="BA111" s="72"/>
      <c r="BB111" s="73"/>
      <c r="BC111" s="64"/>
      <c r="BD111" s="69"/>
      <c r="BE111" s="65"/>
      <c r="BF111" s="66"/>
      <c r="BG111" s="71"/>
      <c r="BH111" s="72"/>
      <c r="BI111" s="74"/>
      <c r="BK111" s="5" t="str">
        <f t="shared" si="23"/>
        <v>1</v>
      </c>
      <c r="BM111" s="5"/>
    </row>
    <row r="112" ht="37.5" customHeight="1">
      <c r="A112" s="45"/>
      <c r="B112" s="46">
        <f>IFERROR(__xludf.DUMMYFUNCTION("""COMPUTED_VALUE"""),110.0)</f>
        <v>110</v>
      </c>
      <c r="C112" s="47" t="str">
        <f>IFERROR(__xludf.DUMMYFUNCTION("""COMPUTED_VALUE"""),"Gestión de la inspección y vigilancia")</f>
        <v>Gestión de la inspección y vigilancia</v>
      </c>
      <c r="D112" s="48" t="str">
        <f>IFERROR(__xludf.DUMMYFUNCTION("""COMPUTED_VALUE"""),"Regional Barranquilla")</f>
        <v>Regional Barranquilla</v>
      </c>
      <c r="E112"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2" s="49">
        <f>IFERROR(__xludf.DUMMYFUNCTION("""COMPUTED_VALUE"""),2.019011000276E12)</f>
        <v>2019011000276</v>
      </c>
      <c r="G112" s="50" t="str">
        <f>IFERROR(__xludf.DUMMYFUNCTION("""COMPUTED_VALUE"""),"Inspección")</f>
        <v>Inspección</v>
      </c>
      <c r="H112" s="48" t="str">
        <f>IFERROR(__xludf.DUMMYFUNCTION("""COMPUTED_VALUE"""),"Aumentar el conocimiento de la normatividad pesquera y de la acuicultura por parte de la comunidad.")</f>
        <v>Aumentar el conocimiento de la normatividad pesquera y de la acuicultura por parte de la comunidad.</v>
      </c>
      <c r="I112" s="48" t="str">
        <f>IFERROR(__xludf.DUMMYFUNCTION("""COMPUTED_VALUE"""),"Servicio de divulgación y socialización")</f>
        <v>Servicio de divulgación y socialización</v>
      </c>
      <c r="J112" s="48" t="str">
        <f>IFERROR(__xludf.DUMMYFUNCTION("""COMPUTED_VALUE"""),"Implementar las estrategias de socialización y Divulgación a la comunidad")</f>
        <v>Implementar las estrategias de socialización y Divulgación a la comunidad</v>
      </c>
      <c r="K112" s="51" t="str">
        <f>IFERROR(__xludf.DUMMYFUNCTION("""COMPUTED_VALUE"""),"Gestión del área")</f>
        <v>Gestión del área</v>
      </c>
      <c r="L112" s="51" t="str">
        <f>IFERROR(__xludf.DUMMYFUNCTION("""COMPUTED_VALUE"""),"Eficacia")</f>
        <v>Eficacia</v>
      </c>
      <c r="M112" s="51" t="str">
        <f>IFERROR(__xludf.DUMMYFUNCTION("""COMPUTED_VALUE"""),"Número")</f>
        <v>Número</v>
      </c>
      <c r="N112" s="52" t="str">
        <f>IFERROR(__xludf.DUMMYFUNCTION("""COMPUTED_VALUE"""),"Grupo de interes instruidas en implementacion de normatividad pesqueras y acuicola")</f>
        <v>Grupo de interes instruidas en implementacion de normatividad pesqueras y acuicola</v>
      </c>
      <c r="O112" s="53"/>
      <c r="P112" s="54">
        <f>IFERROR(__xludf.DUMMYFUNCTION("""COMPUTED_VALUE"""),40.0)</f>
        <v>40</v>
      </c>
      <c r="Q112" s="55" t="str">
        <f>IFERROR(__xludf.DUMMYFUNCTION("""COMPUTED_VALUE"""),"Instruir a los grupos de interes en el conocimiento y aplicación de la normatividad pesquera y acuicola del pais para el ejercicio de la pesca y la acuicultura")</f>
        <v>Instruir a los grupos de interes en el conocimiento y aplicación de la normatividad pesquera y acuicola del pais para el ejercicio de la pesca y la acuicultura</v>
      </c>
      <c r="R112" s="14" t="str">
        <f>IFERROR(__xludf.DUMMYFUNCTION("""COMPUTED_VALUE"""),"Trimestral")</f>
        <v>Trimestral</v>
      </c>
      <c r="S112" s="54">
        <f>IFERROR(__xludf.DUMMYFUNCTION("""COMPUTED_VALUE"""),5.0)</f>
        <v>5</v>
      </c>
      <c r="T112" s="54">
        <f>IFERROR(__xludf.DUMMYFUNCTION("""COMPUTED_VALUE"""),10.0)</f>
        <v>10</v>
      </c>
      <c r="U112" s="54">
        <f>IFERROR(__xludf.DUMMYFUNCTION("""COMPUTED_VALUE"""),15.0)</f>
        <v>15</v>
      </c>
      <c r="V112" s="54">
        <f>IFERROR(__xludf.DUMMYFUNCTION("""COMPUTED_VALUE"""),10.0)</f>
        <v>10</v>
      </c>
      <c r="W112" s="56" t="str">
        <f>IFERROR(__xludf.DUMMYFUNCTION("""COMPUTED_VALUE"""),"Regional Barranquilla")</f>
        <v>Regional Barranquilla</v>
      </c>
      <c r="X112" s="57" t="str">
        <f>IFERROR(__xludf.DUMMYFUNCTION("""COMPUTED_VALUE"""),"Jorge Roa")</f>
        <v>Jorge Roa</v>
      </c>
      <c r="Y112" s="47" t="str">
        <f>IFERROR(__xludf.DUMMYFUNCTION("""COMPUTED_VALUE"""),"Director Regional")</f>
        <v>Director Regional</v>
      </c>
      <c r="Z112" s="57" t="str">
        <f>IFERROR(__xludf.DUMMYFUNCTION("""COMPUTED_VALUE"""),"jorge.roa@aunap.gov.co")</f>
        <v>jorge.roa@aunap.gov.co</v>
      </c>
      <c r="AA112" s="47" t="str">
        <f>IFERROR(__xludf.DUMMYFUNCTION("""COMPUTED_VALUE"""),"Humanos, Físicos, Financieros, Tecnológicos")</f>
        <v>Humanos, Físicos, Financieros, Tecnológicos</v>
      </c>
      <c r="AB112" s="47" t="str">
        <f>IFERROR(__xludf.DUMMYFUNCTION("""COMPUTED_VALUE"""),"No asociado")</f>
        <v>No asociado</v>
      </c>
      <c r="AC112" s="47" t="str">
        <f>IFERROR(__xludf.DUMMYFUNCTION("""COMPUTED_VALUE"""),"Propiciar la formalización de la pesca y la acuicultura")</f>
        <v>Propiciar la formalización de la pesca y la acuicultura</v>
      </c>
      <c r="AD112" s="47" t="str">
        <f>IFERROR(__xludf.DUMMYFUNCTION("""COMPUTED_VALUE"""),"Gestión con valores para resultados")</f>
        <v>Gestión con valores para resultados</v>
      </c>
      <c r="AE112" s="47" t="str">
        <f>IFERROR(__xludf.DUMMYFUNCTION("""COMPUTED_VALUE"""),"Fortalecimiento Organizacional y Simplificación de Procesos")</f>
        <v>Fortalecimiento Organizacional y Simplificación de Procesos</v>
      </c>
      <c r="AF112" s="47" t="str">
        <f>IFERROR(__xludf.DUMMYFUNCTION("""COMPUTED_VALUE"""),"12. Producción y consumo responsable")</f>
        <v>12. Producción y consumo responsable</v>
      </c>
      <c r="AG112" s="58">
        <f>IFERROR(__xludf.DUMMYFUNCTION("""COMPUTED_VALUE"""),14.0)</f>
        <v>14</v>
      </c>
      <c r="AH112" s="59" t="str">
        <f>IFERROR(__xludf.DUMMYFUNCTION("""COMPUTED_VALUE"""),"Se logro divulgar e instruir a 14 grupo de interes relacionados con la actividad pesquera y acuicola en torno a normatividad con lo cual se dio cumplimiento a la meta")</f>
        <v>Se logro divulgar e instruir a 14 grupo de interes relacionados con la actividad pesquera y acuicola en torno a normatividad con lo cual se dio cumplimiento a la meta</v>
      </c>
      <c r="AI112" s="80" t="str">
        <f>IFERROR(__xludf.DUMMYFUNCTION("""COMPUTED_VALUE"""),"https://drive.google.com/drive/folders/1EtoSetoszaEo6XFMZoTKQEtpICrDpg61?usp=sharing")</f>
        <v>https://drive.google.com/drive/folders/1EtoSetoszaEo6XFMZoTKQEtpICrDpg61?usp=sharing</v>
      </c>
      <c r="AJ112" s="60">
        <f>IFERROR(__xludf.DUMMYFUNCTION("""COMPUTED_VALUE"""),44396.0)</f>
        <v>44396</v>
      </c>
      <c r="AK112" s="61" t="str">
        <f>IFERROR(IF((AL112+1)&lt;2,Alertas!$B$2&amp;TEXT(AL112,"0%")&amp;Alertas!$D$2, IF((AL112+1)=2,Alertas!$B$3,IF((AL112+1)&gt;2,Alertas!$B$4&amp;TEXT(AL112,"0%")&amp;Alertas!$D$4,AL112+1))),"Sin meta para el segundo trimestre")</f>
        <v>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12" s="62">
        <f t="shared" si="2"/>
        <v>1.4</v>
      </c>
      <c r="AM112" s="61" t="str">
        <f t="shared" si="3"/>
        <v>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12" s="63"/>
      <c r="AO112" s="64"/>
      <c r="AP112" s="65"/>
      <c r="AQ112" s="65"/>
      <c r="AR112" s="66"/>
      <c r="AS112" s="67"/>
      <c r="AT112" s="68"/>
      <c r="AU112" s="63"/>
      <c r="AV112" s="64"/>
      <c r="AW112" s="69"/>
      <c r="AX112" s="65"/>
      <c r="AY112" s="70"/>
      <c r="AZ112" s="71"/>
      <c r="BA112" s="72"/>
      <c r="BB112" s="73"/>
      <c r="BC112" s="64"/>
      <c r="BD112" s="69"/>
      <c r="BE112" s="65"/>
      <c r="BF112" s="66"/>
      <c r="BG112" s="71"/>
      <c r="BH112" s="72"/>
      <c r="BI112" s="74"/>
      <c r="BK112" s="5" t="str">
        <f t="shared" si="23"/>
        <v>1</v>
      </c>
      <c r="BM112" s="5"/>
    </row>
    <row r="113" ht="37.5" customHeight="1">
      <c r="A113" s="45"/>
      <c r="B113" s="46">
        <f>IFERROR(__xludf.DUMMYFUNCTION("""COMPUTED_VALUE"""),111.0)</f>
        <v>111</v>
      </c>
      <c r="C113" s="47" t="str">
        <f>IFERROR(__xludf.DUMMYFUNCTION("""COMPUTED_VALUE"""),"Gestión de la administración y fomento")</f>
        <v>Gestión de la administración y fomento</v>
      </c>
      <c r="D113" s="48" t="str">
        <f>IFERROR(__xludf.DUMMYFUNCTION("""COMPUTED_VALUE"""),"Regional Bogotá")</f>
        <v>Regional Bogotá</v>
      </c>
      <c r="E113" s="48" t="str">
        <f>IFERROR(__xludf.DUMMYFUNCTION("""COMPUTED_VALUE"""),"Fortalecimiento de la sostenibilidad del sector pesquero y de la acuicultura en el territorio nacional")</f>
        <v>Fortalecimiento de la sostenibilidad del sector pesquero y de la acuicultura en el territorio nacional</v>
      </c>
      <c r="F113" s="49">
        <f>IFERROR(__xludf.DUMMYFUNCTION("""COMPUTED_VALUE"""),2.01901100028E12)</f>
        <v>2019011000280</v>
      </c>
      <c r="G113" s="50" t="str">
        <f>IFERROR(__xludf.DUMMYFUNCTION("""COMPUTED_VALUE"""),"Sostenibilidad")</f>
        <v>Sostenibilidad</v>
      </c>
      <c r="H113" s="48" t="str">
        <f>IFERROR(__xludf.DUMMYFUNCTION("""COMPUTED_VALUE"""),"Mejorar la explotación de los recursos pesqueros y de la acuicultura.")</f>
        <v>Mejorar la explotación de los recursos pesqueros y de la acuicultura.</v>
      </c>
      <c r="I113" s="48" t="str">
        <f>IFERROR(__xludf.DUMMYFUNCTION("""COMPUTED_VALUE"""),"1-Servicios de apoyo a las estaciones de acuicultura")</f>
        <v>1-Servicios de apoyo a las estaciones de acuicultura</v>
      </c>
      <c r="J113" s="48" t="str">
        <f>IFERROR(__xludf.DUMMYFUNCTION("""COMPUTED_VALUE"""),"Desarrollar acciones de extensión rural a través de las estaciones de acuicultura")</f>
        <v>Desarrollar acciones de extensión rural a través de las estaciones de acuicultura</v>
      </c>
      <c r="K113" s="51" t="str">
        <f>IFERROR(__xludf.DUMMYFUNCTION("""COMPUTED_VALUE"""),"Producto")</f>
        <v>Producto</v>
      </c>
      <c r="L113" s="51" t="str">
        <f>IFERROR(__xludf.DUMMYFUNCTION("""COMPUTED_VALUE"""),"Eficacia")</f>
        <v>Eficacia</v>
      </c>
      <c r="M113" s="51" t="str">
        <f>IFERROR(__xludf.DUMMYFUNCTION("""COMPUTED_VALUE"""),"Número")</f>
        <v>Número</v>
      </c>
      <c r="N113" s="52" t="str">
        <f>IFERROR(__xludf.DUMMYFUNCTION("""COMPUTED_VALUE"""),"Estaciones de acuicultura apoyadas")</f>
        <v>Estaciones de acuicultura apoyadas</v>
      </c>
      <c r="O113" s="53"/>
      <c r="P113" s="54">
        <f>IFERROR(__xludf.DUMMYFUNCTION("""COMPUTED_VALUE"""),1.0)</f>
        <v>1</v>
      </c>
      <c r="Q113" s="55" t="str">
        <f>IFERROR(__xludf.DUMMYFUNCTION("""COMPUTED_VALUE"""),"Apoyo a estaciones de acuicultura (Gigante-Huila)")</f>
        <v>Apoyo a estaciones de acuicultura (Gigante-Huila)</v>
      </c>
      <c r="R113" s="14" t="str">
        <f>IFERROR(__xludf.DUMMYFUNCTION("""COMPUTED_VALUE"""),"Anual")</f>
        <v>Anual</v>
      </c>
      <c r="S113" s="54">
        <f>IFERROR(__xludf.DUMMYFUNCTION("""COMPUTED_VALUE"""),0.0)</f>
        <v>0</v>
      </c>
      <c r="T113" s="54">
        <f>IFERROR(__xludf.DUMMYFUNCTION("""COMPUTED_VALUE"""),0.0)</f>
        <v>0</v>
      </c>
      <c r="U113" s="54">
        <f>IFERROR(__xludf.DUMMYFUNCTION("""COMPUTED_VALUE"""),0.0)</f>
        <v>0</v>
      </c>
      <c r="V113" s="54">
        <f>IFERROR(__xludf.DUMMYFUNCTION("""COMPUTED_VALUE"""),1.0)</f>
        <v>1</v>
      </c>
      <c r="W113" s="56" t="str">
        <f>IFERROR(__xludf.DUMMYFUNCTION("""COMPUTED_VALUE"""),"Regional Bogota")</f>
        <v>Regional Bogota</v>
      </c>
      <c r="X113" s="57" t="str">
        <f>IFERROR(__xludf.DUMMYFUNCTION("""COMPUTED_VALUE"""),"Carlos Augusto Borda Rodriguez")</f>
        <v>Carlos Augusto Borda Rodriguez</v>
      </c>
      <c r="Y113" s="47" t="str">
        <f>IFERROR(__xludf.DUMMYFUNCTION("""COMPUTED_VALUE"""),"Director Regional Bogotá")</f>
        <v>Director Regional Bogotá</v>
      </c>
      <c r="Z113" s="57" t="str">
        <f>IFERROR(__xludf.DUMMYFUNCTION("""COMPUTED_VALUE"""),"carlos.borda@aunap.gov.co")</f>
        <v>carlos.borda@aunap.gov.co</v>
      </c>
      <c r="AA113" s="47" t="str">
        <f>IFERROR(__xludf.DUMMYFUNCTION("""COMPUTED_VALUE"""),"Humanos, Físicos, Financieros, Tecnológicos")</f>
        <v>Humanos, Físicos, Financieros, Tecnológicos</v>
      </c>
      <c r="AB113" s="47" t="str">
        <f>IFERROR(__xludf.DUMMYFUNCTION("""COMPUTED_VALUE"""),"No asociado")</f>
        <v>No asociado</v>
      </c>
      <c r="AC113" s="47" t="str">
        <f>IFERROR(__xludf.DUMMYFUNCTION("""COMPUTED_VALUE"""),"Llegar con actividades de pesca y acuicultura a todas las regiones")</f>
        <v>Llegar con actividades de pesca y acuicultura a todas las regiones</v>
      </c>
      <c r="AD113" s="47" t="str">
        <f>IFERROR(__xludf.DUMMYFUNCTION("""COMPUTED_VALUE"""),"Gestión con valores para resultados")</f>
        <v>Gestión con valores para resultados</v>
      </c>
      <c r="AE113" s="47" t="str">
        <f>IFERROR(__xludf.DUMMYFUNCTION("""COMPUTED_VALUE"""),"Fortalecimiento Organizacional y Simplificación de Procesos")</f>
        <v>Fortalecimiento Organizacional y Simplificación de Procesos</v>
      </c>
      <c r="AF113" s="47" t="str">
        <f>IFERROR(__xludf.DUMMYFUNCTION("""COMPUTED_VALUE"""),"12. Producción y consumo responsable")</f>
        <v>12. Producción y consumo responsable</v>
      </c>
      <c r="AG113" s="58">
        <f>IFERROR(__xludf.DUMMYFUNCTION("""COMPUTED_VALUE"""),0.0)</f>
        <v>0</v>
      </c>
      <c r="AH113" s="59" t="str">
        <f>IFERROR(__xludf.DUMMYFUNCTION("""COMPUTED_VALUE"""),"A l vencimiento de este periodo se esta a la espera del desarrollo del convenio de las estaciones para el suministro de insumos.")</f>
        <v>A l vencimiento de este periodo se esta a la espera del desarrollo del convenio de las estaciones para el suministro de insumos.</v>
      </c>
      <c r="AI113" s="80" t="str">
        <f>IFERROR(__xludf.DUMMYFUNCTION("""COMPUTED_VALUE"""),"https://drive.google.com/drive/folders/1_GMXa6H0jGOSDxtLlU5C_kZtJM4cv0ay")</f>
        <v>https://drive.google.com/drive/folders/1_GMXa6H0jGOSDxtLlU5C_kZtJM4cv0ay</v>
      </c>
      <c r="AJ113" s="60">
        <f>IFERROR(__xludf.DUMMYFUNCTION("""COMPUTED_VALUE"""),44396.0)</f>
        <v>44396</v>
      </c>
      <c r="AK113" s="61" t="str">
        <f>IFERROR(IF((AL113+1)&lt;2,Alertas!$B$2&amp;TEXT(AL113,"0%")&amp;Alertas!$D$2, IF((AL113+1)=2,Alertas!$B$3,IF((AL113+1)&gt;2,Alertas!$B$4&amp;TEXT(AL113,"0%")&amp;Alertas!$D$4,AL113+1))),"Sin meta para el segundo trimestre")</f>
        <v>Sin meta para el segundo trimestre</v>
      </c>
      <c r="AL113" s="62" t="str">
        <f t="shared" si="2"/>
        <v>-</v>
      </c>
      <c r="AM113" s="61" t="str">
        <f t="shared" si="3"/>
        <v>Sin meta para el segundo trimestre.</v>
      </c>
      <c r="AN113" s="63"/>
      <c r="AO113" s="64"/>
      <c r="AP113" s="65"/>
      <c r="AQ113" s="65"/>
      <c r="AR113" s="66"/>
      <c r="AS113" s="67"/>
      <c r="AT113" s="68"/>
      <c r="AU113" s="63"/>
      <c r="AV113" s="64"/>
      <c r="AW113" s="69"/>
      <c r="AX113" s="65"/>
      <c r="AY113" s="70"/>
      <c r="AZ113" s="71"/>
      <c r="BA113" s="72"/>
      <c r="BB113" s="73"/>
      <c r="BC113" s="64"/>
      <c r="BD113" s="69"/>
      <c r="BE113" s="65"/>
      <c r="BF113" s="66"/>
      <c r="BG113" s="71"/>
      <c r="BH113" s="72"/>
      <c r="BI113" s="74"/>
      <c r="BK113" s="5" t="str">
        <f t="shared" si="23"/>
        <v>-</v>
      </c>
      <c r="BM113" s="5"/>
    </row>
    <row r="114" ht="37.5" customHeight="1">
      <c r="A114" s="45"/>
      <c r="B114" s="46">
        <f>IFERROR(__xludf.DUMMYFUNCTION("""COMPUTED_VALUE"""),112.0)</f>
        <v>112</v>
      </c>
      <c r="C114" s="47" t="str">
        <f>IFERROR(__xludf.DUMMYFUNCTION("""COMPUTED_VALUE"""),"Gestión de la administración y fomento")</f>
        <v>Gestión de la administración y fomento</v>
      </c>
      <c r="D114" s="48" t="str">
        <f>IFERROR(__xludf.DUMMYFUNCTION("""COMPUTED_VALUE"""),"Regional Bogotá")</f>
        <v>Regional Bogotá</v>
      </c>
      <c r="E114" s="48" t="str">
        <f>IFERROR(__xludf.DUMMYFUNCTION("""COMPUTED_VALUE"""),"Fortalecimiento de la sostenibilidad del sector pesquero y de la acuicultura en el territorio nacional")</f>
        <v>Fortalecimiento de la sostenibilidad del sector pesquero y de la acuicultura en el territorio nacional</v>
      </c>
      <c r="F114" s="49">
        <f>IFERROR(__xludf.DUMMYFUNCTION("""COMPUTED_VALUE"""),2.01901100028E12)</f>
        <v>2019011000280</v>
      </c>
      <c r="G114" s="50" t="str">
        <f>IFERROR(__xludf.DUMMYFUNCTION("""COMPUTED_VALUE"""),"Sostenibilidad")</f>
        <v>Sostenibilidad</v>
      </c>
      <c r="H114" s="48" t="str">
        <f>IFERROR(__xludf.DUMMYFUNCTION("""COMPUTED_VALUE"""),"Mejorar la explotación de los recursos pesqueros y de la acuicultura.")</f>
        <v>Mejorar la explotación de los recursos pesqueros y de la acuicultura.</v>
      </c>
      <c r="I114" s="48" t="str">
        <f>IFERROR(__xludf.DUMMYFUNCTION("""COMPUTED_VALUE"""),"Servicios de administración de los recurso pesqueros y de la acuicultura")</f>
        <v>Servicios de administración de los recurso pesqueros y de la acuicultura</v>
      </c>
      <c r="J114" s="48" t="str">
        <f>IFERROR(__xludf.DUMMYFUNCTION("""COMPUTED_VALUE"""),"Regular el manejo y el ejercicio de la actividad pesquera y de la acuicultura.")</f>
        <v>Regular el manejo y el ejercicio de la actividad pesquera y de la acuicultura.</v>
      </c>
      <c r="K114" s="51" t="str">
        <f>IFERROR(__xludf.DUMMYFUNCTION("""COMPUTED_VALUE"""),"Producto")</f>
        <v>Producto</v>
      </c>
      <c r="L114" s="51" t="str">
        <f>IFERROR(__xludf.DUMMYFUNCTION("""COMPUTED_VALUE"""),"Eficacia")</f>
        <v>Eficacia</v>
      </c>
      <c r="M114" s="51" t="str">
        <f>IFERROR(__xludf.DUMMYFUNCTION("""COMPUTED_VALUE"""),"Número")</f>
        <v>Número</v>
      </c>
      <c r="N114" s="52" t="str">
        <f>IFERROR(__xludf.DUMMYFUNCTION("""COMPUTED_VALUE"""),"Trámites atendidos")</f>
        <v>Trámites atendidos</v>
      </c>
      <c r="O114" s="53"/>
      <c r="P114" s="54">
        <f>IFERROR(__xludf.DUMMYFUNCTION("""COMPUTED_VALUE"""),750.0)</f>
        <v>750</v>
      </c>
      <c r="Q114" s="55" t="str">
        <f>IFERROR(__xludf.DUMMYFUNCTION("""COMPUTED_VALUE"""),"Atender los Trámites")</f>
        <v>Atender los Trámites</v>
      </c>
      <c r="R114" s="14" t="str">
        <f>IFERROR(__xludf.DUMMYFUNCTION("""COMPUTED_VALUE"""),"Trimestral")</f>
        <v>Trimestral</v>
      </c>
      <c r="S114" s="54">
        <f>IFERROR(__xludf.DUMMYFUNCTION("""COMPUTED_VALUE"""),120.0)</f>
        <v>120</v>
      </c>
      <c r="T114" s="54">
        <f>IFERROR(__xludf.DUMMYFUNCTION("""COMPUTED_VALUE"""),100.0)</f>
        <v>100</v>
      </c>
      <c r="U114" s="54">
        <f>IFERROR(__xludf.DUMMYFUNCTION("""COMPUTED_VALUE"""),250.0)</f>
        <v>250</v>
      </c>
      <c r="V114" s="54">
        <f>IFERROR(__xludf.DUMMYFUNCTION("""COMPUTED_VALUE"""),280.0)</f>
        <v>280</v>
      </c>
      <c r="W114" s="56" t="str">
        <f>IFERROR(__xludf.DUMMYFUNCTION("""COMPUTED_VALUE"""),"Regional Bogota")</f>
        <v>Regional Bogota</v>
      </c>
      <c r="X114" s="57" t="str">
        <f>IFERROR(__xludf.DUMMYFUNCTION("""COMPUTED_VALUE"""),"Carlos Augusto Borda Rodriguez")</f>
        <v>Carlos Augusto Borda Rodriguez</v>
      </c>
      <c r="Y114" s="47" t="str">
        <f>IFERROR(__xludf.DUMMYFUNCTION("""COMPUTED_VALUE"""),"Director Regional Bogotá")</f>
        <v>Director Regional Bogotá</v>
      </c>
      <c r="Z114" s="57" t="str">
        <f>IFERROR(__xludf.DUMMYFUNCTION("""COMPUTED_VALUE"""),"carlos.borda@aunap.gov.co")</f>
        <v>carlos.borda@aunap.gov.co</v>
      </c>
      <c r="AA114" s="47" t="str">
        <f>IFERROR(__xludf.DUMMYFUNCTION("""COMPUTED_VALUE"""),"Humanos, Físicos, Financieros, Tecnológicos")</f>
        <v>Humanos, Físicos, Financieros, Tecnológicos</v>
      </c>
      <c r="AB114" s="47" t="str">
        <f>IFERROR(__xludf.DUMMYFUNCTION("""COMPUTED_VALUE"""),"No asociado")</f>
        <v>No asociado</v>
      </c>
      <c r="AC114" s="47" t="str">
        <f>IFERROR(__xludf.DUMMYFUNCTION("""COMPUTED_VALUE"""),"Llegar con actividades de pesca y acuicultura a todas las regiones")</f>
        <v>Llegar con actividades de pesca y acuicultura a todas las regiones</v>
      </c>
      <c r="AD114" s="47" t="str">
        <f>IFERROR(__xludf.DUMMYFUNCTION("""COMPUTED_VALUE"""),"Gestión con valores para resultados")</f>
        <v>Gestión con valores para resultados</v>
      </c>
      <c r="AE114" s="47" t="str">
        <f>IFERROR(__xludf.DUMMYFUNCTION("""COMPUTED_VALUE"""),"Fortalecimiento Organizacional y Simplificación de Procesos")</f>
        <v>Fortalecimiento Organizacional y Simplificación de Procesos</v>
      </c>
      <c r="AF114" s="47" t="str">
        <f>IFERROR(__xludf.DUMMYFUNCTION("""COMPUTED_VALUE"""),"12. Producción y consumo responsable")</f>
        <v>12. Producción y consumo responsable</v>
      </c>
      <c r="AG114" s="58">
        <f>IFERROR(__xludf.DUMMYFUNCTION("""COMPUTED_VALUE"""),88.0)</f>
        <v>88</v>
      </c>
      <c r="AH114" s="59" t="str">
        <f>IFERROR(__xludf.DUMMYFUNCTION("""COMPUTED_VALUE"""),"El valor reportado corresponde a los tramites gestionados que fueron recibidos en las oficinas adcritas o remitidos desde la DTAF, por corresponder a nuestra juridicción")</f>
        <v>El valor reportado corresponde a los tramites gestionados que fueron recibidos en las oficinas adcritas o remitidos desde la DTAF, por corresponder a nuestra juridicción</v>
      </c>
      <c r="AI114" s="80" t="str">
        <f>IFERROR(__xludf.DUMMYFUNCTION("""COMPUTED_VALUE"""),"https://drive.google.com/drive/folders/1_GMXa6H0jGOSDxtLlU5C_kZtJM4cv0ay")</f>
        <v>https://drive.google.com/drive/folders/1_GMXa6H0jGOSDxtLlU5C_kZtJM4cv0ay</v>
      </c>
      <c r="AJ114" s="60">
        <f>IFERROR(__xludf.DUMMYFUNCTION("""COMPUTED_VALUE"""),44396.0)</f>
        <v>44396</v>
      </c>
      <c r="AK114" s="61" t="str">
        <f>IFERROR(IF((AL114+1)&lt;2,Alertas!$B$2&amp;TEXT(AL114,"0%")&amp;Alertas!$D$2, IF((AL114+1)=2,Alertas!$B$3,IF((AL114+1)&gt;2,Alertas!$B$4&amp;TEXT(AL114,"0%")&amp;Alertas!$D$4,AL114+1))),"Sin meta para el segundo trimestre")</f>
        <v>La ejecución de la meta registrada se encuentra por debajo de la meta programada en la formulación del plan de acción para el segundo trimestre, su porcentaje de cumplimiento es 88%, lo cual indica un incumplimiento que puede ser entendido por los entes de control como falencias en el proceso de planeación y gestión de la dependencia. se recomienda realizar acciones para garantizar el cumplimiento de la meta durante lo que resta de vigencia</v>
      </c>
      <c r="AL114" s="62">
        <f t="shared" si="2"/>
        <v>0.88</v>
      </c>
      <c r="AM114" s="61" t="str">
        <f t="shared" si="3"/>
        <v>La ejecución de la meta registrada se encuentra por debajo de la meta programada en la formulación del plan de acción para el segundo trimestre, su porcentaje de cumplimiento es 88%, lo cual indica un incumplimiento que puede ser entendido por los entes de control como falencias en el proceso de planeación y gestión de la dependencia. se recomienda realizar acciones para garantizar el cumplimiento de la meta durante lo que resta de vigencia.</v>
      </c>
      <c r="AN114" s="63"/>
      <c r="AO114" s="64"/>
      <c r="AP114" s="65"/>
      <c r="AQ114" s="65"/>
      <c r="AR114" s="66"/>
      <c r="AS114" s="67"/>
      <c r="AT114" s="68"/>
      <c r="AU114" s="63"/>
      <c r="AV114" s="64"/>
      <c r="AW114" s="69"/>
      <c r="AX114" s="65"/>
      <c r="AY114" s="70"/>
      <c r="AZ114" s="71"/>
      <c r="BA114" s="72"/>
      <c r="BB114" s="73"/>
      <c r="BC114" s="64"/>
      <c r="BD114" s="69"/>
      <c r="BE114" s="65"/>
      <c r="BF114" s="66"/>
      <c r="BG114" s="71"/>
      <c r="BH114" s="72"/>
      <c r="BI114" s="74"/>
      <c r="BK114" s="5" t="str">
        <f t="shared" si="23"/>
        <v>-1</v>
      </c>
      <c r="BM114" s="5"/>
    </row>
    <row r="115" ht="37.5" customHeight="1">
      <c r="A115" s="45"/>
      <c r="B115" s="46">
        <f>IFERROR(__xludf.DUMMYFUNCTION("""COMPUTED_VALUE"""),113.0)</f>
        <v>113</v>
      </c>
      <c r="C115" s="47" t="str">
        <f>IFERROR(__xludf.DUMMYFUNCTION("""COMPUTED_VALUE"""),"Gestión de la administración y fomento")</f>
        <v>Gestión de la administración y fomento</v>
      </c>
      <c r="D115" s="48" t="str">
        <f>IFERROR(__xludf.DUMMYFUNCTION("""COMPUTED_VALUE"""),"Regional Bogotá")</f>
        <v>Regional Bogotá</v>
      </c>
      <c r="E115" s="48" t="str">
        <f>IFERROR(__xludf.DUMMYFUNCTION("""COMPUTED_VALUE"""),"Fortalecimiento de la sostenibilidad del sector pesquero y de la acuicultura en el territorio nacional")</f>
        <v>Fortalecimiento de la sostenibilidad del sector pesquero y de la acuicultura en el territorio nacional</v>
      </c>
      <c r="F115" s="49">
        <f>IFERROR(__xludf.DUMMYFUNCTION("""COMPUTED_VALUE"""),2.01901100028E12)</f>
        <v>2019011000280</v>
      </c>
      <c r="G115" s="50" t="str">
        <f>IFERROR(__xludf.DUMMYFUNCTION("""COMPUTED_VALUE"""),"Sostenibilidad")</f>
        <v>Sostenibilidad</v>
      </c>
      <c r="H115" s="48" t="str">
        <f>IFERROR(__xludf.DUMMYFUNCTION("""COMPUTED_VALUE"""),"Mejorar la explotación de los recursos pesqueros y de la acuicultura.")</f>
        <v>Mejorar la explotación de los recursos pesqueros y de la acuicultura.</v>
      </c>
      <c r="I115" s="48" t="str">
        <f>IFERROR(__xludf.DUMMYFUNCTION("""COMPUTED_VALUE"""),"2-Servicios de apoyo a las estaciones de acuicultura")</f>
        <v>2-Servicios de apoyo a las estaciones de acuicultura</v>
      </c>
      <c r="J115" s="48" t="str">
        <f>IFERROR(__xludf.DUMMYFUNCTION("""COMPUTED_VALUE"""),"Producir alevinos para el sector productivo y/o con fines de repoblamiento.")</f>
        <v>Producir alevinos para el sector productivo y/o con fines de repoblamiento.</v>
      </c>
      <c r="K115" s="51" t="str">
        <f>IFERROR(__xludf.DUMMYFUNCTION("""COMPUTED_VALUE"""),"Producto")</f>
        <v>Producto</v>
      </c>
      <c r="L115" s="51" t="str">
        <f>IFERROR(__xludf.DUMMYFUNCTION("""COMPUTED_VALUE"""),"Eficacia")</f>
        <v>Eficacia</v>
      </c>
      <c r="M115" s="51" t="str">
        <f>IFERROR(__xludf.DUMMYFUNCTION("""COMPUTED_VALUE"""),"Número")</f>
        <v>Número</v>
      </c>
      <c r="N115" s="52" t="str">
        <f>IFERROR(__xludf.DUMMYFUNCTION("""COMPUTED_VALUE"""),"Alevinos producidos")</f>
        <v>Alevinos producidos</v>
      </c>
      <c r="O115" s="53"/>
      <c r="P115" s="54">
        <f>IFERROR(__xludf.DUMMYFUNCTION("""COMPUTED_VALUE"""),6100000.0)</f>
        <v>6100000</v>
      </c>
      <c r="Q115" s="55" t="str">
        <f>IFERROR(__xludf.DUMMYFUNCTION("""COMPUTED_VALUE"""),"Producir Alevinos")</f>
        <v>Producir Alevinos</v>
      </c>
      <c r="R115" s="14" t="str">
        <f>IFERROR(__xludf.DUMMYFUNCTION("""COMPUTED_VALUE"""),"Trimestral")</f>
        <v>Trimestral</v>
      </c>
      <c r="S115" s="54">
        <f>IFERROR(__xludf.DUMMYFUNCTION("""COMPUTED_VALUE"""),600000.0)</f>
        <v>600000</v>
      </c>
      <c r="T115" s="54">
        <f>IFERROR(__xludf.DUMMYFUNCTION("""COMPUTED_VALUE"""),600000.0)</f>
        <v>600000</v>
      </c>
      <c r="U115" s="54">
        <f>IFERROR(__xludf.DUMMYFUNCTION("""COMPUTED_VALUE"""),2400000.0)</f>
        <v>2400000</v>
      </c>
      <c r="V115" s="54">
        <f>IFERROR(__xludf.DUMMYFUNCTION("""COMPUTED_VALUE"""),2500000.0)</f>
        <v>2500000</v>
      </c>
      <c r="W115" s="56" t="str">
        <f>IFERROR(__xludf.DUMMYFUNCTION("""COMPUTED_VALUE"""),"Regional Bogota")</f>
        <v>Regional Bogota</v>
      </c>
      <c r="X115" s="57" t="str">
        <f>IFERROR(__xludf.DUMMYFUNCTION("""COMPUTED_VALUE"""),"Carlos Augusto Borda Rodriguez")</f>
        <v>Carlos Augusto Borda Rodriguez</v>
      </c>
      <c r="Y115" s="47" t="str">
        <f>IFERROR(__xludf.DUMMYFUNCTION("""COMPUTED_VALUE"""),"Director Regional Bogotá")</f>
        <v>Director Regional Bogotá</v>
      </c>
      <c r="Z115" s="57" t="str">
        <f>IFERROR(__xludf.DUMMYFUNCTION("""COMPUTED_VALUE"""),"carlos.borda@aunap.gov.co")</f>
        <v>carlos.borda@aunap.gov.co</v>
      </c>
      <c r="AA115" s="47" t="str">
        <f>IFERROR(__xludf.DUMMYFUNCTION("""COMPUTED_VALUE"""),"Humanos, Físicos, Financieros, Tecnológicos")</f>
        <v>Humanos, Físicos, Financieros, Tecnológicos</v>
      </c>
      <c r="AB115" s="47" t="str">
        <f>IFERROR(__xludf.DUMMYFUNCTION("""COMPUTED_VALUE"""),"No asociado")</f>
        <v>No asociado</v>
      </c>
      <c r="AC115" s="47" t="str">
        <f>IFERROR(__xludf.DUMMYFUNCTION("""COMPUTED_VALUE"""),"Propiciar la formalización de la pesca y la acuicultura")</f>
        <v>Propiciar la formalización de la pesca y la acuicultura</v>
      </c>
      <c r="AD115" s="47" t="str">
        <f>IFERROR(__xludf.DUMMYFUNCTION("""COMPUTED_VALUE"""),"Gestión con valores para resultados")</f>
        <v>Gestión con valores para resultados</v>
      </c>
      <c r="AE115" s="47" t="str">
        <f>IFERROR(__xludf.DUMMYFUNCTION("""COMPUTED_VALUE"""),"Fortalecimiento Organizacional y Simplificación de Procesos")</f>
        <v>Fortalecimiento Organizacional y Simplificación de Procesos</v>
      </c>
      <c r="AF115" s="47" t="str">
        <f>IFERROR(__xludf.DUMMYFUNCTION("""COMPUTED_VALUE"""),"12. Producción y consumo responsable")</f>
        <v>12. Producción y consumo responsable</v>
      </c>
      <c r="AG115" s="58">
        <f>IFERROR(__xludf.DUMMYFUNCTION("""COMPUTED_VALUE"""),413984.0)</f>
        <v>413984</v>
      </c>
      <c r="AH115" s="59" t="str">
        <f>IFERROR(__xludf.DUMMYFUNCTION("""COMPUTED_VALUE"""),"Según lo acordado, se reportan la cantidad de alevinos entregado por parte de la estación piscicola del alto Magdalena, ubicada en Gigante - Huila ")</f>
        <v>Según lo acordado, se reportan la cantidad de alevinos entregado por parte de la estación piscicola del alto Magdalena, ubicada en Gigante - Huila </v>
      </c>
      <c r="AI115" s="80" t="str">
        <f>IFERROR(__xludf.DUMMYFUNCTION("""COMPUTED_VALUE"""),"https://drive.google.com/drive/folders/1_GMXa6H0jGOSDxtLlU5C_kZtJM4cv0ay")</f>
        <v>https://drive.google.com/drive/folders/1_GMXa6H0jGOSDxtLlU5C_kZtJM4cv0ay</v>
      </c>
      <c r="AJ115" s="60">
        <f>IFERROR(__xludf.DUMMYFUNCTION("""COMPUTED_VALUE"""),44396.0)</f>
        <v>44396</v>
      </c>
      <c r="AK115" s="61" t="str">
        <f>IFERROR(IF((AL115+1)&lt;2,Alertas!$B$2&amp;TEXT(AL115,"0%")&amp;Alertas!$D$2, IF((AL115+1)=2,Alertas!$B$3,IF((AL115+1)&gt;2,Alertas!$B$4&amp;TEXT(AL115,"0%")&amp;Alertas!$D$4,AL115+1))),"Sin meta para el segundo trimestre")</f>
        <v>La ejecución de la meta registrada se encuentra por debajo de la meta programada en la formulación del plan de acción para el segundo trimestre, su porcentaje de cumplimiento es 69%, lo cual indica un incumplimiento que puede ser entendido por los entes de control como falencias en el proceso de planeación y gestión de la dependencia. se recomienda realizar acciones para garantizar el cumplimiento de la meta durante lo que resta de vigencia</v>
      </c>
      <c r="AL115" s="62">
        <f t="shared" si="2"/>
        <v>0.6899733333</v>
      </c>
      <c r="AM115" s="61" t="str">
        <f t="shared" si="3"/>
        <v>La ejecución de la meta registrada se encuentra por debajo de la meta programada en la formulación del plan de acción para el segundo trimestre, su porcentaje de cumplimiento es 69%, lo cual indica un incumplimiento que puede ser entendido por los entes de control como falencias en el proceso de planeación y gestión de la dependencia. se recomienda realizar acciones para garantizar el cumplimiento de la meta durante lo que resta de vigencia.</v>
      </c>
      <c r="AN115" s="63"/>
      <c r="AO115" s="64"/>
      <c r="AP115" s="65"/>
      <c r="AQ115" s="65"/>
      <c r="AR115" s="66"/>
      <c r="AS115" s="67"/>
      <c r="AT115" s="68"/>
      <c r="AU115" s="63"/>
      <c r="AV115" s="64"/>
      <c r="AW115" s="69"/>
      <c r="AX115" s="65"/>
      <c r="AY115" s="70"/>
      <c r="AZ115" s="71"/>
      <c r="BA115" s="72"/>
      <c r="BB115" s="73"/>
      <c r="BC115" s="64"/>
      <c r="BD115" s="69"/>
      <c r="BE115" s="65"/>
      <c r="BF115" s="66"/>
      <c r="BG115" s="71"/>
      <c r="BH115" s="72"/>
      <c r="BI115" s="74"/>
      <c r="BK115" s="5" t="str">
        <f t="shared" si="23"/>
        <v>-1</v>
      </c>
      <c r="BM115" s="5"/>
    </row>
    <row r="116" ht="37.5" customHeight="1">
      <c r="A116" s="45"/>
      <c r="B116" s="46">
        <f>IFERROR(__xludf.DUMMYFUNCTION("""COMPUTED_VALUE"""),114.0)</f>
        <v>114</v>
      </c>
      <c r="C116" s="47" t="str">
        <f>IFERROR(__xludf.DUMMYFUNCTION("""COMPUTED_VALUE"""),"Gestión de la administración y fomento")</f>
        <v>Gestión de la administración y fomento</v>
      </c>
      <c r="D116" s="48" t="str">
        <f>IFERROR(__xludf.DUMMYFUNCTION("""COMPUTED_VALUE"""),"Regional Bogotá")</f>
        <v>Regional Bogotá</v>
      </c>
      <c r="E116" s="48" t="str">
        <f>IFERROR(__xludf.DUMMYFUNCTION("""COMPUTED_VALUE"""),"Fortalecimiento de la sostenibilidad del sector pesquero y de la acuicultura en el territorio nacional")</f>
        <v>Fortalecimiento de la sostenibilidad del sector pesquero y de la acuicultura en el territorio nacional</v>
      </c>
      <c r="F116" s="49">
        <f>IFERROR(__xludf.DUMMYFUNCTION("""COMPUTED_VALUE"""),2.01901100028E12)</f>
        <v>2019011000280</v>
      </c>
      <c r="G116" s="50" t="str">
        <f>IFERROR(__xludf.DUMMYFUNCTION("""COMPUTED_VALUE"""),"Sostenibilidad")</f>
        <v>Sostenibilidad</v>
      </c>
      <c r="H116" s="48" t="str">
        <f>IFERROR(__xludf.DUMMYFUNCTION("""COMPUTED_VALUE"""),"Mejorar la explotación de los recursos pesqueros y de la acuicultura.")</f>
        <v>Mejorar la explotación de los recursos pesqueros y de la acuicultura.</v>
      </c>
      <c r="I116" s="48" t="str">
        <f>IFERROR(__xludf.DUMMYFUNCTION("""COMPUTED_VALUE"""),"3-Servicios de apoyo a las estaciones de acuicultura")</f>
        <v>3-Servicios de apoyo a las estaciones de acuicultura</v>
      </c>
      <c r="J116" s="48" t="str">
        <f>IFERROR(__xludf.DUMMYFUNCTION("""COMPUTED_VALUE"""),"Desarrollar acciones de extensión rural a través de las estaciones de acuicultura")</f>
        <v>Desarrollar acciones de extensión rural a través de las estaciones de acuicultura</v>
      </c>
      <c r="K116" s="51" t="str">
        <f>IFERROR(__xludf.DUMMYFUNCTION("""COMPUTED_VALUE"""),"Producto")</f>
        <v>Producto</v>
      </c>
      <c r="L116" s="51" t="str">
        <f>IFERROR(__xludf.DUMMYFUNCTION("""COMPUTED_VALUE"""),"Eficacia")</f>
        <v>Eficacia</v>
      </c>
      <c r="M116" s="51" t="str">
        <f>IFERROR(__xludf.DUMMYFUNCTION("""COMPUTED_VALUE"""),"Número")</f>
        <v>Número</v>
      </c>
      <c r="N116" s="52" t="str">
        <f>IFERROR(__xludf.DUMMYFUNCTION("""COMPUTED_VALUE"""),"Eventos realizados")</f>
        <v>Eventos realizados</v>
      </c>
      <c r="O116" s="53"/>
      <c r="P116" s="54">
        <f>IFERROR(__xludf.DUMMYFUNCTION("""COMPUTED_VALUE"""),7.0)</f>
        <v>7</v>
      </c>
      <c r="Q116" s="55" t="str">
        <f>IFERROR(__xludf.DUMMYFUNCTION("""COMPUTED_VALUE"""),"Realizar Eventos de Extención Rural")</f>
        <v>Realizar Eventos de Extención Rural</v>
      </c>
      <c r="R116" s="14" t="str">
        <f>IFERROR(__xludf.DUMMYFUNCTION("""COMPUTED_VALUE"""),"Trimestral")</f>
        <v>Trimestral</v>
      </c>
      <c r="S116" s="54">
        <f>IFERROR(__xludf.DUMMYFUNCTION("""COMPUTED_VALUE"""),1.0)</f>
        <v>1</v>
      </c>
      <c r="T116" s="54">
        <f>IFERROR(__xludf.DUMMYFUNCTION("""COMPUTED_VALUE"""),1.0)</f>
        <v>1</v>
      </c>
      <c r="U116" s="54">
        <f>IFERROR(__xludf.DUMMYFUNCTION("""COMPUTED_VALUE"""),2.0)</f>
        <v>2</v>
      </c>
      <c r="V116" s="54">
        <f>IFERROR(__xludf.DUMMYFUNCTION("""COMPUTED_VALUE"""),3.0)</f>
        <v>3</v>
      </c>
      <c r="W116" s="56" t="str">
        <f>IFERROR(__xludf.DUMMYFUNCTION("""COMPUTED_VALUE"""),"Regional Bogota")</f>
        <v>Regional Bogota</v>
      </c>
      <c r="X116" s="57" t="str">
        <f>IFERROR(__xludf.DUMMYFUNCTION("""COMPUTED_VALUE"""),"Carlos Augusto Borda Rodriguez")</f>
        <v>Carlos Augusto Borda Rodriguez</v>
      </c>
      <c r="Y116" s="47" t="str">
        <f>IFERROR(__xludf.DUMMYFUNCTION("""COMPUTED_VALUE"""),"Director Regional Bogotá")</f>
        <v>Director Regional Bogotá</v>
      </c>
      <c r="Z116" s="57" t="str">
        <f>IFERROR(__xludf.DUMMYFUNCTION("""COMPUTED_VALUE"""),"carlos.borda@aunap.gov.co")</f>
        <v>carlos.borda@aunap.gov.co</v>
      </c>
      <c r="AA116" s="47" t="str">
        <f>IFERROR(__xludf.DUMMYFUNCTION("""COMPUTED_VALUE"""),"Humanos, Físicos, Financieros, Tecnológicos")</f>
        <v>Humanos, Físicos, Financieros, Tecnológicos</v>
      </c>
      <c r="AB116" s="47" t="str">
        <f>IFERROR(__xludf.DUMMYFUNCTION("""COMPUTED_VALUE"""),"No asociado")</f>
        <v>No asociado</v>
      </c>
      <c r="AC116" s="47" t="str">
        <f>IFERROR(__xludf.DUMMYFUNCTION("""COMPUTED_VALUE"""),"Llegar con actividades de pesca y acuicultura a todas las regiones")</f>
        <v>Llegar con actividades de pesca y acuicultura a todas las regiones</v>
      </c>
      <c r="AD116" s="47" t="str">
        <f>IFERROR(__xludf.DUMMYFUNCTION("""COMPUTED_VALUE"""),"Gestión con valores para resultados")</f>
        <v>Gestión con valores para resultados</v>
      </c>
      <c r="AE116" s="47" t="str">
        <f>IFERROR(__xludf.DUMMYFUNCTION("""COMPUTED_VALUE"""),"Fortalecimiento Organizacional y Simplificación de Procesos")</f>
        <v>Fortalecimiento Organizacional y Simplificación de Procesos</v>
      </c>
      <c r="AF116" s="47" t="str">
        <f>IFERROR(__xludf.DUMMYFUNCTION("""COMPUTED_VALUE"""),"12. Producción y consumo responsable")</f>
        <v>12. Producción y consumo responsable</v>
      </c>
      <c r="AG116" s="58">
        <f>IFERROR(__xludf.DUMMYFUNCTION("""COMPUTED_VALUE"""),1.0)</f>
        <v>1</v>
      </c>
      <c r="AH116" s="59" t="str">
        <f>IFERROR(__xludf.DUMMYFUNCTION("""COMPUTED_VALUE"""),"Se realizo la socialización de los resultados del trabajo de investigación en la reproducción del pez doncella, logrados en la estacion piscicola de gigante Huila")</f>
        <v>Se realizo la socialización de los resultados del trabajo de investigación en la reproducción del pez doncella, logrados en la estacion piscicola de gigante Huila</v>
      </c>
      <c r="AI116" s="80" t="str">
        <f>IFERROR(__xludf.DUMMYFUNCTION("""COMPUTED_VALUE"""),"https://drive.google.com/drive/folders/1_GMXa6H0jGOSDxtLlU5C_kZtJM4cv0ay")</f>
        <v>https://drive.google.com/drive/folders/1_GMXa6H0jGOSDxtLlU5C_kZtJM4cv0ay</v>
      </c>
      <c r="AJ116" s="60">
        <f>IFERROR(__xludf.DUMMYFUNCTION("""COMPUTED_VALUE"""),44396.0)</f>
        <v>44396</v>
      </c>
      <c r="AK116" s="61" t="str">
        <f>IFERROR(IF((AL116+1)&lt;2,Alertas!$B$2&amp;TEXT(AL116,"0%")&amp;Alertas!$D$2, IF((AL116+1)=2,Alertas!$B$3,IF((AL116+1)&gt;2,Alertas!$B$4&amp;TEXT(AL116,"0%")&amp;Alertas!$D$4,AL116+1))),"Sin meta para el segundo trimestre")</f>
        <v>La ejecución de la meta registrada se encuentra acorde a la meta programada en la formulación del plan de acción para el segundo trimestre</v>
      </c>
      <c r="AL116" s="62">
        <f t="shared" si="2"/>
        <v>1</v>
      </c>
      <c r="AM116" s="61" t="str">
        <f t="shared" si="3"/>
        <v>La ejecución de la meta registrada se encuentra acorde a la meta programada en la formulación del plan de acción para el segundo trimestre.</v>
      </c>
      <c r="AN116" s="63"/>
      <c r="AO116" s="64"/>
      <c r="AP116" s="65"/>
      <c r="AQ116" s="65"/>
      <c r="AR116" s="66"/>
      <c r="AS116" s="67"/>
      <c r="AT116" s="68"/>
      <c r="AU116" s="63"/>
      <c r="AV116" s="64"/>
      <c r="AW116" s="69"/>
      <c r="AX116" s="65"/>
      <c r="AY116" s="70"/>
      <c r="AZ116" s="71"/>
      <c r="BA116" s="72"/>
      <c r="BB116" s="73"/>
      <c r="BC116" s="64"/>
      <c r="BD116" s="69"/>
      <c r="BE116" s="65"/>
      <c r="BF116" s="66"/>
      <c r="BG116" s="71"/>
      <c r="BH116" s="72"/>
      <c r="BI116" s="74"/>
      <c r="BK116" s="5" t="str">
        <f t="shared" si="23"/>
        <v>0</v>
      </c>
      <c r="BM116" s="5"/>
    </row>
    <row r="117" ht="37.5" customHeight="1">
      <c r="A117" s="45"/>
      <c r="B117" s="46">
        <f>IFERROR(__xludf.DUMMYFUNCTION("""COMPUTED_VALUE"""),115.0)</f>
        <v>115</v>
      </c>
      <c r="C117" s="47" t="str">
        <f>IFERROR(__xludf.DUMMYFUNCTION("""COMPUTED_VALUE"""),"Gestión de la administración y fomento")</f>
        <v>Gestión de la administración y fomento</v>
      </c>
      <c r="D117" s="48" t="str">
        <f>IFERROR(__xludf.DUMMYFUNCTION("""COMPUTED_VALUE"""),"Regional Bogotá")</f>
        <v>Regional Bogotá</v>
      </c>
      <c r="E117" s="48" t="str">
        <f>IFERROR(__xludf.DUMMYFUNCTION("""COMPUTED_VALUE"""),"Fortalecimiento de la sostenibilidad del sector pesquero y de la acuicultura en el territorio nacional")</f>
        <v>Fortalecimiento de la sostenibilidad del sector pesquero y de la acuicultura en el territorio nacional</v>
      </c>
      <c r="F117" s="49">
        <f>IFERROR(__xludf.DUMMYFUNCTION("""COMPUTED_VALUE"""),2.01901100028E12)</f>
        <v>2019011000280</v>
      </c>
      <c r="G117" s="50" t="str">
        <f>IFERROR(__xludf.DUMMYFUNCTION("""COMPUTED_VALUE"""),"Sostenibilidad")</f>
        <v>Sostenibilidad</v>
      </c>
      <c r="H117" s="48" t="str">
        <f>IFERROR(__xludf.DUMMYFUNCTION("""COMPUTED_VALUE"""),"Mejorar la explotación de los recursos pesqueros y de la acuicultura.")</f>
        <v>Mejorar la explotación de los recursos pesqueros y de la acuicultura.</v>
      </c>
      <c r="I117" s="48" t="str">
        <f>IFERROR(__xludf.DUMMYFUNCTION("""COMPUTED_VALUE"""),"Servicios de administración de los recurso pesqueros y de la acuicultura")</f>
        <v>Servicios de administración de los recurso pesqueros y de la acuicultura</v>
      </c>
      <c r="J117" s="48" t="str">
        <f>IFERROR(__xludf.DUMMYFUNCTION("""COMPUTED_VALUE"""),"Realizar acciones de divulgación y formalización de la actividad pesquera y de la acuicultura.")</f>
        <v>Realizar acciones de divulgación y formalización de la actividad pesquera y de la acuicultura.</v>
      </c>
      <c r="K117" s="51" t="str">
        <f>IFERROR(__xludf.DUMMYFUNCTION("""COMPUTED_VALUE"""),"Gestión del área")</f>
        <v>Gestión del área</v>
      </c>
      <c r="L117" s="51" t="str">
        <f>IFERROR(__xludf.DUMMYFUNCTION("""COMPUTED_VALUE"""),"Eficacia")</f>
        <v>Eficacia</v>
      </c>
      <c r="M117" s="51" t="str">
        <f>IFERROR(__xludf.DUMMYFUNCTION("""COMPUTED_VALUE"""),"Número")</f>
        <v>Número</v>
      </c>
      <c r="N117" s="52" t="str">
        <f>IFERROR(__xludf.DUMMYFUNCTION("""COMPUTED_VALUE"""),"Número de capacitaciones realizadas/Número de capacitaciones programadas")</f>
        <v>Número de capacitaciones realizadas/Número de capacitaciones programadas</v>
      </c>
      <c r="O117" s="53"/>
      <c r="P117" s="54">
        <f>IFERROR(__xludf.DUMMYFUNCTION("""COMPUTED_VALUE"""),90.0)</f>
        <v>90</v>
      </c>
      <c r="Q117" s="55" t="str">
        <f>IFERROR(__xludf.DUMMYFUNCTION("""COMPUTED_VALUE"""),"Realizar capacitaciones a los grupos de interés en asociatividad y normatividad para el ejercicio de la acuicultura, pesca y actividades conexas")</f>
        <v>Realizar capacitaciones a los grupos de interés en asociatividad y normatividad para el ejercicio de la acuicultura, pesca y actividades conexas</v>
      </c>
      <c r="R117" s="14" t="str">
        <f>IFERROR(__xludf.DUMMYFUNCTION("""COMPUTED_VALUE"""),"Trimestral")</f>
        <v>Trimestral</v>
      </c>
      <c r="S117" s="54">
        <f>IFERROR(__xludf.DUMMYFUNCTION("""COMPUTED_VALUE"""),15.0)</f>
        <v>15</v>
      </c>
      <c r="T117" s="54">
        <f>IFERROR(__xludf.DUMMYFUNCTION("""COMPUTED_VALUE"""),25.0)</f>
        <v>25</v>
      </c>
      <c r="U117" s="54">
        <f>IFERROR(__xludf.DUMMYFUNCTION("""COMPUTED_VALUE"""),25.0)</f>
        <v>25</v>
      </c>
      <c r="V117" s="54">
        <f>IFERROR(__xludf.DUMMYFUNCTION("""COMPUTED_VALUE"""),25.0)</f>
        <v>25</v>
      </c>
      <c r="W117" s="56" t="str">
        <f>IFERROR(__xludf.DUMMYFUNCTION("""COMPUTED_VALUE"""),"Regional Bogota")</f>
        <v>Regional Bogota</v>
      </c>
      <c r="X117" s="57" t="str">
        <f>IFERROR(__xludf.DUMMYFUNCTION("""COMPUTED_VALUE"""),"Carlos Augusto Borda Rodriguez")</f>
        <v>Carlos Augusto Borda Rodriguez</v>
      </c>
      <c r="Y117" s="47" t="str">
        <f>IFERROR(__xludf.DUMMYFUNCTION("""COMPUTED_VALUE"""),"Director Regional Bogotá")</f>
        <v>Director Regional Bogotá</v>
      </c>
      <c r="Z117" s="57" t="str">
        <f>IFERROR(__xludf.DUMMYFUNCTION("""COMPUTED_VALUE"""),"carlos.borda@aunap.gov.co")</f>
        <v>carlos.borda@aunap.gov.co</v>
      </c>
      <c r="AA117" s="47" t="str">
        <f>IFERROR(__xludf.DUMMYFUNCTION("""COMPUTED_VALUE"""),"Humanos, Físicos, Financieros, Tecnológicos")</f>
        <v>Humanos, Físicos, Financieros, Tecnológicos</v>
      </c>
      <c r="AB117" s="47" t="str">
        <f>IFERROR(__xludf.DUMMYFUNCTION("""COMPUTED_VALUE"""),"No asociado")</f>
        <v>No asociado</v>
      </c>
      <c r="AC117" s="47" t="str">
        <f>IFERROR(__xludf.DUMMYFUNCTION("""COMPUTED_VALUE"""),"Llegar con actividades de pesca y acuicultura a todas las regiones")</f>
        <v>Llegar con actividades de pesca y acuicultura a todas las regiones</v>
      </c>
      <c r="AD117" s="47" t="str">
        <f>IFERROR(__xludf.DUMMYFUNCTION("""COMPUTED_VALUE"""),"Gestión con valores para resultados")</f>
        <v>Gestión con valores para resultados</v>
      </c>
      <c r="AE117" s="47" t="str">
        <f>IFERROR(__xludf.DUMMYFUNCTION("""COMPUTED_VALUE"""),"Fortalecimiento Organizacional y Simplificación de Procesos")</f>
        <v>Fortalecimiento Organizacional y Simplificación de Procesos</v>
      </c>
      <c r="AF117" s="47" t="str">
        <f>IFERROR(__xludf.DUMMYFUNCTION("""COMPUTED_VALUE"""),"12. Producción y consumo responsable")</f>
        <v>12. Producción y consumo responsable</v>
      </c>
      <c r="AG117" s="58">
        <f>IFERROR(__xludf.DUMMYFUNCTION("""COMPUTED_VALUE"""),12.0)</f>
        <v>12</v>
      </c>
      <c r="AH117" s="59" t="str">
        <f>IFERROR(__xludf.DUMMYFUNCTION("""COMPUTED_VALUE"""),"Se adelantaron acciones de capacitación ante la flexibilización en la restriccióones a la movilización ")</f>
        <v>Se adelantaron acciones de capacitación ante la flexibilización en la restriccióones a la movilización </v>
      </c>
      <c r="AI117" s="80" t="str">
        <f>IFERROR(__xludf.DUMMYFUNCTION("""COMPUTED_VALUE"""),"https://drive.google.com/drive/folders/1_GMXa6H0jGOSDxtLlU5C_kZtJM4cv0ay")</f>
        <v>https://drive.google.com/drive/folders/1_GMXa6H0jGOSDxtLlU5C_kZtJM4cv0ay</v>
      </c>
      <c r="AJ117" s="60">
        <f>IFERROR(__xludf.DUMMYFUNCTION("""COMPUTED_VALUE"""),44396.0)</f>
        <v>44396</v>
      </c>
      <c r="AK117" s="61" t="str">
        <f>IFERROR(IF((AL117+1)&lt;2,Alertas!$B$2&amp;TEXT(AL117,"0%")&amp;Alertas!$D$2, IF((AL117+1)=2,Alertas!$B$3,IF((AL117+1)&gt;2,Alertas!$B$4&amp;TEXT(AL117,"0%")&amp;Alertas!$D$4,AL117+1))),"Sin meta para el segundo trimestre")</f>
        <v>La ejecución de la meta registrada se encuentra por debajo de la meta programada en la formulación del plan de acción para el segundo trimestre, su porcentaje de cumplimiento es 48%, lo cual indica un incumplimiento que puede ser entendido por los entes de control como falencias en el proceso de planeación y gestión de la dependencia. se recomienda realizar acciones para garantizar el cumplimiento de la meta durante lo que resta de vigencia</v>
      </c>
      <c r="AL117" s="62">
        <f t="shared" si="2"/>
        <v>0.48</v>
      </c>
      <c r="AM117" s="61" t="str">
        <f t="shared" si="3"/>
        <v>La ejecución de la meta registrada se encuentra por debajo de la meta programada en la formulación del plan de acción para el segundo trimestre, su porcentaje de cumplimiento es 48%, lo cual indica un incumplimiento que puede ser entendido por los entes de control como falencias en el proceso de planeación y gestión de la dependencia. se recomienda realizar acciones para garantizar el cumplimiento de la meta durante lo que resta de vigencia.</v>
      </c>
      <c r="AN117" s="63"/>
      <c r="AO117" s="64"/>
      <c r="AP117" s="65"/>
      <c r="AQ117" s="65"/>
      <c r="AR117" s="66"/>
      <c r="AS117" s="67"/>
      <c r="AT117" s="68"/>
      <c r="AU117" s="63"/>
      <c r="AV117" s="64"/>
      <c r="AW117" s="69"/>
      <c r="AX117" s="65"/>
      <c r="AY117" s="70"/>
      <c r="AZ117" s="71"/>
      <c r="BA117" s="72"/>
      <c r="BB117" s="73"/>
      <c r="BC117" s="64"/>
      <c r="BD117" s="69"/>
      <c r="BE117" s="65"/>
      <c r="BF117" s="66"/>
      <c r="BG117" s="71"/>
      <c r="BH117" s="72"/>
      <c r="BI117" s="74"/>
      <c r="BK117" s="5" t="str">
        <f t="shared" si="23"/>
        <v>-1</v>
      </c>
      <c r="BM117" s="5"/>
    </row>
    <row r="118" ht="37.5" customHeight="1">
      <c r="A118" s="45"/>
      <c r="B118" s="46">
        <f>IFERROR(__xludf.DUMMYFUNCTION("""COMPUTED_VALUE"""),116.0)</f>
        <v>116</v>
      </c>
      <c r="C118" s="47" t="str">
        <f>IFERROR(__xludf.DUMMYFUNCTION("""COMPUTED_VALUE"""),"Gestión de la administración y fomento")</f>
        <v>Gestión de la administración y fomento</v>
      </c>
      <c r="D118" s="48" t="str">
        <f>IFERROR(__xludf.DUMMYFUNCTION("""COMPUTED_VALUE"""),"Regional Bogotá")</f>
        <v>Regional Bogotá</v>
      </c>
      <c r="E118" s="48" t="str">
        <f>IFERROR(__xludf.DUMMYFUNCTION("""COMPUTED_VALUE"""),"Fortalecimiento de la sostenibilidad del sector pesquero y de la acuicultura en el territorio nacional")</f>
        <v>Fortalecimiento de la sostenibilidad del sector pesquero y de la acuicultura en el territorio nacional</v>
      </c>
      <c r="F118" s="49">
        <f>IFERROR(__xludf.DUMMYFUNCTION("""COMPUTED_VALUE"""),2.01901100028E12)</f>
        <v>2019011000280</v>
      </c>
      <c r="G118" s="50" t="str">
        <f>IFERROR(__xludf.DUMMYFUNCTION("""COMPUTED_VALUE"""),"Sostenibilidad")</f>
        <v>Sostenibilidad</v>
      </c>
      <c r="H118" s="48" t="str">
        <f>IFERROR(__xludf.DUMMYFUNCTION("""COMPUTED_VALUE"""),"Mejorar la explotación de los recursos pesqueros y de la acuicultura.")</f>
        <v>Mejorar la explotación de los recursos pesqueros y de la acuicultura.</v>
      </c>
      <c r="I118" s="48" t="str">
        <f>IFERROR(__xludf.DUMMYFUNCTION("""COMPUTED_VALUE"""),"Servicios de administración de los recurso pesqueros y de la acuicultura")</f>
        <v>Servicios de administración de los recurso pesqueros y de la acuicultura</v>
      </c>
      <c r="J118" s="48" t="str">
        <f>IFERROR(__xludf.DUMMYFUNCTION("""COMPUTED_VALUE"""),"Realizar acciones de divulgación y formalización de la actividad pesquera y de la acuicultura.")</f>
        <v>Realizar acciones de divulgación y formalización de la actividad pesquera y de la acuicultura.</v>
      </c>
      <c r="K118" s="51" t="str">
        <f>IFERROR(__xludf.DUMMYFUNCTION("""COMPUTED_VALUE"""),"Gestión del área")</f>
        <v>Gestión del área</v>
      </c>
      <c r="L118" s="51" t="str">
        <f>IFERROR(__xludf.DUMMYFUNCTION("""COMPUTED_VALUE"""),"Eficacia")</f>
        <v>Eficacia</v>
      </c>
      <c r="M118" s="51" t="str">
        <f>IFERROR(__xludf.DUMMYFUNCTION("""COMPUTED_VALUE"""),"Número")</f>
        <v>Número</v>
      </c>
      <c r="N118" s="52" t="str">
        <f>IFERROR(__xludf.DUMMYFUNCTION("""COMPUTED_VALUE"""),"Número de asociaciones capacitadas/Número de asociaciones programadas para capacitar.")</f>
        <v>Número de asociaciones capacitadas/Número de asociaciones programadas para capacitar.</v>
      </c>
      <c r="O118" s="53"/>
      <c r="P118" s="54">
        <f>IFERROR(__xludf.DUMMYFUNCTION("""COMPUTED_VALUE"""),35.0)</f>
        <v>35</v>
      </c>
      <c r="Q118" s="55" t="str">
        <f>IFERROR(__xludf.DUMMYFUNCTION("""COMPUTED_VALUE"""),"Realizar capacitaciones a las asociaciones en temas de pesca y acuicultura")</f>
        <v>Realizar capacitaciones a las asociaciones en temas de pesca y acuicultura</v>
      </c>
      <c r="R118" s="14" t="str">
        <f>IFERROR(__xludf.DUMMYFUNCTION("""COMPUTED_VALUE"""),"Trimestral")</f>
        <v>Trimestral</v>
      </c>
      <c r="S118" s="54">
        <f>IFERROR(__xludf.DUMMYFUNCTION("""COMPUTED_VALUE"""),6.0)</f>
        <v>6</v>
      </c>
      <c r="T118" s="54">
        <f>IFERROR(__xludf.DUMMYFUNCTION("""COMPUTED_VALUE"""),8.0)</f>
        <v>8</v>
      </c>
      <c r="U118" s="54">
        <f>IFERROR(__xludf.DUMMYFUNCTION("""COMPUTED_VALUE"""),9.0)</f>
        <v>9</v>
      </c>
      <c r="V118" s="54">
        <f>IFERROR(__xludf.DUMMYFUNCTION("""COMPUTED_VALUE"""),12.0)</f>
        <v>12</v>
      </c>
      <c r="W118" s="56" t="str">
        <f>IFERROR(__xludf.DUMMYFUNCTION("""COMPUTED_VALUE"""),"Regional Bogota")</f>
        <v>Regional Bogota</v>
      </c>
      <c r="X118" s="57" t="str">
        <f>IFERROR(__xludf.DUMMYFUNCTION("""COMPUTED_VALUE"""),"Carlos Augusto Borda Rodriguez")</f>
        <v>Carlos Augusto Borda Rodriguez</v>
      </c>
      <c r="Y118" s="47" t="str">
        <f>IFERROR(__xludf.DUMMYFUNCTION("""COMPUTED_VALUE"""),"Director Regional Bogotá")</f>
        <v>Director Regional Bogotá</v>
      </c>
      <c r="Z118" s="57" t="str">
        <f>IFERROR(__xludf.DUMMYFUNCTION("""COMPUTED_VALUE"""),"carlos.borda@aunap.gov.co")</f>
        <v>carlos.borda@aunap.gov.co</v>
      </c>
      <c r="AA118" s="47" t="str">
        <f>IFERROR(__xludf.DUMMYFUNCTION("""COMPUTED_VALUE"""),"Humanos, Físicos, Financieros, Tecnológicos")</f>
        <v>Humanos, Físicos, Financieros, Tecnológicos</v>
      </c>
      <c r="AB118" s="47" t="str">
        <f>IFERROR(__xludf.DUMMYFUNCTION("""COMPUTED_VALUE"""),"No asociado")</f>
        <v>No asociado</v>
      </c>
      <c r="AC118" s="47" t="str">
        <f>IFERROR(__xludf.DUMMYFUNCTION("""COMPUTED_VALUE"""),"Llegar con actividades de pesca y acuicultura a todas las regiones")</f>
        <v>Llegar con actividades de pesca y acuicultura a todas las regiones</v>
      </c>
      <c r="AD118" s="47" t="str">
        <f>IFERROR(__xludf.DUMMYFUNCTION("""COMPUTED_VALUE"""),"Gestión con valores para resultados")</f>
        <v>Gestión con valores para resultados</v>
      </c>
      <c r="AE118" s="47" t="str">
        <f>IFERROR(__xludf.DUMMYFUNCTION("""COMPUTED_VALUE"""),"Fortalecimiento Organizacional y Simplificación de Procesos")</f>
        <v>Fortalecimiento Organizacional y Simplificación de Procesos</v>
      </c>
      <c r="AF118" s="47" t="str">
        <f>IFERROR(__xludf.DUMMYFUNCTION("""COMPUTED_VALUE"""),"12. Producción y consumo responsable")</f>
        <v>12. Producción y consumo responsable</v>
      </c>
      <c r="AG118" s="58">
        <f>IFERROR(__xludf.DUMMYFUNCTION("""COMPUTED_VALUE"""),12.0)</f>
        <v>12</v>
      </c>
      <c r="AH118" s="59" t="str">
        <f>IFERROR(__xludf.DUMMYFUNCTION("""COMPUTED_VALUE"""),"Se adelantaron acciones de capacitación ante la flexibilización en la restriccióones a la movilización ")</f>
        <v>Se adelantaron acciones de capacitación ante la flexibilización en la restriccióones a la movilización </v>
      </c>
      <c r="AI118" s="80" t="str">
        <f>IFERROR(__xludf.DUMMYFUNCTION("""COMPUTED_VALUE"""),"https://drive.google.com/drive/folders/1_GMXa6H0jGOSDxtLlU5C_kZtJM4cv0ay")</f>
        <v>https://drive.google.com/drive/folders/1_GMXa6H0jGOSDxtLlU5C_kZtJM4cv0ay</v>
      </c>
      <c r="AJ118" s="60">
        <f>IFERROR(__xludf.DUMMYFUNCTION("""COMPUTED_VALUE"""),44396.0)</f>
        <v>44396</v>
      </c>
      <c r="AK118" s="61" t="str">
        <f>IFERROR(IF((AL118+1)&lt;2,Alertas!$B$2&amp;TEXT(AL118,"0%")&amp;Alertas!$D$2, IF((AL118+1)=2,Alertas!$B$3,IF((AL118+1)&gt;2,Alertas!$B$4&amp;TEXT(AL118,"0%")&amp;Alertas!$D$4,AL118+1))),"Sin meta para el segundo trimestre")</f>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18" s="62">
        <f t="shared" si="2"/>
        <v>1.5</v>
      </c>
      <c r="AM118" s="61" t="str">
        <f t="shared" si="3"/>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18" s="63"/>
      <c r="AO118" s="64"/>
      <c r="AP118" s="65"/>
      <c r="AQ118" s="65"/>
      <c r="AR118" s="66"/>
      <c r="AS118" s="67"/>
      <c r="AT118" s="68"/>
      <c r="AU118" s="63"/>
      <c r="AV118" s="64"/>
      <c r="AW118" s="69"/>
      <c r="AX118" s="65"/>
      <c r="AY118" s="70"/>
      <c r="AZ118" s="71"/>
      <c r="BA118" s="72"/>
      <c r="BB118" s="73"/>
      <c r="BC118" s="64"/>
      <c r="BD118" s="69"/>
      <c r="BE118" s="65"/>
      <c r="BF118" s="66"/>
      <c r="BG118" s="71"/>
      <c r="BH118" s="72"/>
      <c r="BI118" s="74"/>
      <c r="BK118" s="5" t="str">
        <f t="shared" si="23"/>
        <v>1</v>
      </c>
      <c r="BM118" s="5"/>
    </row>
    <row r="119" ht="37.5" customHeight="1">
      <c r="A119" s="45"/>
      <c r="B119" s="46">
        <f>IFERROR(__xludf.DUMMYFUNCTION("""COMPUTED_VALUE"""),117.0)</f>
        <v>117</v>
      </c>
      <c r="C119" s="47" t="str">
        <f>IFERROR(__xludf.DUMMYFUNCTION("""COMPUTED_VALUE"""),"Gestión de la administración y fomento")</f>
        <v>Gestión de la administración y fomento</v>
      </c>
      <c r="D119" s="48" t="str">
        <f>IFERROR(__xludf.DUMMYFUNCTION("""COMPUTED_VALUE"""),"Regional Bogotá")</f>
        <v>Regional Bogotá</v>
      </c>
      <c r="E119" s="48" t="str">
        <f>IFERROR(__xludf.DUMMYFUNCTION("""COMPUTED_VALUE"""),"Fortalecimiento de la sostenibilidad del sector pesquero y de la acuicultura en el territorio nacional")</f>
        <v>Fortalecimiento de la sostenibilidad del sector pesquero y de la acuicultura en el territorio nacional</v>
      </c>
      <c r="F119" s="49">
        <f>IFERROR(__xludf.DUMMYFUNCTION("""COMPUTED_VALUE"""),2.01901100028E12)</f>
        <v>2019011000280</v>
      </c>
      <c r="G119" s="50" t="str">
        <f>IFERROR(__xludf.DUMMYFUNCTION("""COMPUTED_VALUE"""),"Sostenibilidad")</f>
        <v>Sostenibilidad</v>
      </c>
      <c r="H119" s="48" t="str">
        <f>IFERROR(__xludf.DUMMYFUNCTION("""COMPUTED_VALUE"""),"Mejorar la explotación de los recursos pesqueros y de la acuicultura.")</f>
        <v>Mejorar la explotación de los recursos pesqueros y de la acuicultura.</v>
      </c>
      <c r="I119" s="48" t="str">
        <f>IFERROR(__xludf.DUMMYFUNCTION("""COMPUTED_VALUE"""),"Servicios de administración de los recurso pesqueros y de la acuicultura")</f>
        <v>Servicios de administración de los recurso pesqueros y de la acuicultura</v>
      </c>
      <c r="J119" s="48" t="str">
        <f>IFERROR(__xludf.DUMMYFUNCTION("""COMPUTED_VALUE"""),"Regular el manejo y el ejercicio de la actividad pesquera y de la acuicultura.")</f>
        <v>Regular el manejo y el ejercicio de la actividad pesquera y de la acuicultura.</v>
      </c>
      <c r="K119" s="51" t="str">
        <f>IFERROR(__xludf.DUMMYFUNCTION("""COMPUTED_VALUE"""),"Gestión del área")</f>
        <v>Gestión del área</v>
      </c>
      <c r="L119" s="51" t="str">
        <f>IFERROR(__xludf.DUMMYFUNCTION("""COMPUTED_VALUE"""),"Eficacia")</f>
        <v>Eficacia</v>
      </c>
      <c r="M119" s="51" t="str">
        <f>IFERROR(__xludf.DUMMYFUNCTION("""COMPUTED_VALUE"""),"Número")</f>
        <v>Número</v>
      </c>
      <c r="N119" s="52" t="str">
        <f>IFERROR(__xludf.DUMMYFUNCTION("""COMPUTED_VALUE"""),"Pescadores artesanales formalizados/pescadores artesanales programados para formalizar")</f>
        <v>Pescadores artesanales formalizados/pescadores artesanales programados para formalizar</v>
      </c>
      <c r="O119" s="53"/>
      <c r="P119" s="54">
        <f>IFERROR(__xludf.DUMMYFUNCTION("""COMPUTED_VALUE"""),800.0)</f>
        <v>800</v>
      </c>
      <c r="Q119" s="55" t="str">
        <f>IFERROR(__xludf.DUMMYFUNCTION("""COMPUTED_VALUE"""),"Realizar la formalización de Pescadores Artesanales")</f>
        <v>Realizar la formalización de Pescadores Artesanales</v>
      </c>
      <c r="R119" s="14" t="str">
        <f>IFERROR(__xludf.DUMMYFUNCTION("""COMPUTED_VALUE"""),"Trimestral")</f>
        <v>Trimestral</v>
      </c>
      <c r="S119" s="54">
        <f>IFERROR(__xludf.DUMMYFUNCTION("""COMPUTED_VALUE"""),200.0)</f>
        <v>200</v>
      </c>
      <c r="T119" s="54">
        <f>IFERROR(__xludf.DUMMYFUNCTION("""COMPUTED_VALUE"""),200.0)</f>
        <v>200</v>
      </c>
      <c r="U119" s="54">
        <f>IFERROR(__xludf.DUMMYFUNCTION("""COMPUTED_VALUE"""),200.0)</f>
        <v>200</v>
      </c>
      <c r="V119" s="54">
        <f>IFERROR(__xludf.DUMMYFUNCTION("""COMPUTED_VALUE"""),200.0)</f>
        <v>200</v>
      </c>
      <c r="W119" s="56" t="str">
        <f>IFERROR(__xludf.DUMMYFUNCTION("""COMPUTED_VALUE"""),"Regional Bogota")</f>
        <v>Regional Bogota</v>
      </c>
      <c r="X119" s="57" t="str">
        <f>IFERROR(__xludf.DUMMYFUNCTION("""COMPUTED_VALUE"""),"Carlos Augusto Borda Rodriguez")</f>
        <v>Carlos Augusto Borda Rodriguez</v>
      </c>
      <c r="Y119" s="47" t="str">
        <f>IFERROR(__xludf.DUMMYFUNCTION("""COMPUTED_VALUE"""),"Director Regional Bogotá")</f>
        <v>Director Regional Bogotá</v>
      </c>
      <c r="Z119" s="57" t="str">
        <f>IFERROR(__xludf.DUMMYFUNCTION("""COMPUTED_VALUE"""),"carlos.borda@aunap.gov.co")</f>
        <v>carlos.borda@aunap.gov.co</v>
      </c>
      <c r="AA119" s="47" t="str">
        <f>IFERROR(__xludf.DUMMYFUNCTION("""COMPUTED_VALUE"""),"Humanos, Físicos, Financieros, Tecnológicos")</f>
        <v>Humanos, Físicos, Financieros, Tecnológicos</v>
      </c>
      <c r="AB119" s="47" t="str">
        <f>IFERROR(__xludf.DUMMYFUNCTION("""COMPUTED_VALUE"""),"No asociado")</f>
        <v>No asociado</v>
      </c>
      <c r="AC119" s="47" t="str">
        <f>IFERROR(__xludf.DUMMYFUNCTION("""COMPUTED_VALUE"""),"Llegar con actividades de pesca y acuicultura a todas las regiones")</f>
        <v>Llegar con actividades de pesca y acuicultura a todas las regiones</v>
      </c>
      <c r="AD119" s="47" t="str">
        <f>IFERROR(__xludf.DUMMYFUNCTION("""COMPUTED_VALUE"""),"Gestión con valores para resultados")</f>
        <v>Gestión con valores para resultados</v>
      </c>
      <c r="AE119" s="47" t="str">
        <f>IFERROR(__xludf.DUMMYFUNCTION("""COMPUTED_VALUE"""),"Racionalización de Trámites")</f>
        <v>Racionalización de Trámites</v>
      </c>
      <c r="AF119" s="47" t="str">
        <f>IFERROR(__xludf.DUMMYFUNCTION("""COMPUTED_VALUE"""),"12. Producción y consumo responsable")</f>
        <v>12. Producción y consumo responsable</v>
      </c>
      <c r="AG119" s="58">
        <f>IFERROR(__xludf.DUMMYFUNCTION("""COMPUTED_VALUE"""),592.0)</f>
        <v>592</v>
      </c>
      <c r="AH119" s="59" t="str">
        <f>IFERROR(__xludf.DUMMYFUNCTION("""COMPUTED_VALUE"""),"Se realizo un gran número de carné debido a la demanda por parte de la comunidad de pescadores y a los carné que estaban pendientes de elaboración por temas logisticos")</f>
        <v>Se realizo un gran número de carné debido a la demanda por parte de la comunidad de pescadores y a los carné que estaban pendientes de elaboración por temas logisticos</v>
      </c>
      <c r="AI119" s="80" t="str">
        <f>IFERROR(__xludf.DUMMYFUNCTION("""COMPUTED_VALUE"""),"https://drive.google.com/drive/folders/1_GMXa6H0jGOSDxtLlU5C_kZtJM4cv0ay")</f>
        <v>https://drive.google.com/drive/folders/1_GMXa6H0jGOSDxtLlU5C_kZtJM4cv0ay</v>
      </c>
      <c r="AJ119" s="60">
        <f>IFERROR(__xludf.DUMMYFUNCTION("""COMPUTED_VALUE"""),44396.0)</f>
        <v>44396</v>
      </c>
      <c r="AK119" s="61" t="str">
        <f>IFERROR(IF((AL119+1)&lt;2,Alertas!$B$2&amp;TEXT(AL119,"0%")&amp;Alertas!$D$2, IF((AL119+1)=2,Alertas!$B$3,IF((AL119+1)&gt;2,Alertas!$B$4&amp;TEXT(AL119,"0%")&amp;Alertas!$D$4,AL119+1))),"Sin meta para el segundo trimestre")</f>
        <v>La ejecución de la meta registrada se encuentra por encima de la meta programada en la formulación del plan de acción para el segundo trimestre, su porcentaje de cumplimiento es 296%,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19" s="62">
        <f t="shared" si="2"/>
        <v>2.96</v>
      </c>
      <c r="AM119" s="61" t="str">
        <f t="shared" si="3"/>
        <v>La ejecución de la meta registrada se encuentra por encima de la meta programada en la formulación del plan de acción para el segundo trimestre, su porcentaje de cumplimiento es 296%,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19" s="63"/>
      <c r="AO119" s="64"/>
      <c r="AP119" s="65"/>
      <c r="AQ119" s="65"/>
      <c r="AR119" s="66"/>
      <c r="AS119" s="67"/>
      <c r="AT119" s="68"/>
      <c r="AU119" s="63"/>
      <c r="AV119" s="64"/>
      <c r="AW119" s="69"/>
      <c r="AX119" s="65"/>
      <c r="AY119" s="70"/>
      <c r="AZ119" s="71"/>
      <c r="BA119" s="72"/>
      <c r="BB119" s="73"/>
      <c r="BC119" s="64"/>
      <c r="BD119" s="69"/>
      <c r="BE119" s="65"/>
      <c r="BF119" s="66"/>
      <c r="BG119" s="71"/>
      <c r="BH119" s="72"/>
      <c r="BI119" s="74"/>
      <c r="BK119" s="5" t="str">
        <f t="shared" si="23"/>
        <v>1</v>
      </c>
      <c r="BM119" s="5"/>
    </row>
    <row r="120" ht="37.5" customHeight="1">
      <c r="A120" s="45"/>
      <c r="B120" s="46">
        <f>IFERROR(__xludf.DUMMYFUNCTION("""COMPUTED_VALUE"""),118.0)</f>
        <v>118</v>
      </c>
      <c r="C120" s="47" t="str">
        <f>IFERROR(__xludf.DUMMYFUNCTION("""COMPUTED_VALUE"""),"Gestión de la inspección y vigilancia")</f>
        <v>Gestión de la inspección y vigilancia</v>
      </c>
      <c r="D120" s="48" t="str">
        <f>IFERROR(__xludf.DUMMYFUNCTION("""COMPUTED_VALUE"""),"Regional Bogotá")</f>
        <v>Regional Bogotá</v>
      </c>
      <c r="E12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20" s="49">
        <f>IFERROR(__xludf.DUMMYFUNCTION("""COMPUTED_VALUE"""),2.019011000276E12)</f>
        <v>2019011000276</v>
      </c>
      <c r="G120" s="50" t="str">
        <f>IFERROR(__xludf.DUMMYFUNCTION("""COMPUTED_VALUE"""),"Inspección")</f>
        <v>Inspección</v>
      </c>
      <c r="H120" s="48" t="str">
        <f>IFERROR(__xludf.DUMMYFUNCTION("""COMPUTED_VALUE"""),"Fortalecer los mecanismos de seguimiento y control de la actividad pesquera y de la acuicultura.")</f>
        <v>Fortalecer los mecanismos de seguimiento y control de la actividad pesquera y de la acuicultura.</v>
      </c>
      <c r="I120" s="48" t="str">
        <f>IFERROR(__xludf.DUMMYFUNCTION("""COMPUTED_VALUE"""),"Servicio de inspección, vigilancia y control de la pesca y la acuicultura")</f>
        <v>Servicio de inspección, vigilancia y control de la pesca y la acuicultura</v>
      </c>
      <c r="J120" s="48" t="str">
        <f>IFERROR(__xludf.DUMMYFUNCTION("""COMPUTED_VALUE"""),"Realizar los operativos de inspección, vigilancia y control.")</f>
        <v>Realizar los operativos de inspección, vigilancia y control.</v>
      </c>
      <c r="K120" s="51" t="str">
        <f>IFERROR(__xludf.DUMMYFUNCTION("""COMPUTED_VALUE"""),"Producto")</f>
        <v>Producto</v>
      </c>
      <c r="L120" s="51" t="str">
        <f>IFERROR(__xludf.DUMMYFUNCTION("""COMPUTED_VALUE"""),"Eficacia")</f>
        <v>Eficacia</v>
      </c>
      <c r="M120" s="51" t="str">
        <f>IFERROR(__xludf.DUMMYFUNCTION("""COMPUTED_VALUE"""),"Número")</f>
        <v>Número</v>
      </c>
      <c r="N120" s="52" t="str">
        <f>IFERROR(__xludf.DUMMYFUNCTION("""COMPUTED_VALUE"""),"Operativos de inspección, vigilancia y control realizados")</f>
        <v>Operativos de inspección, vigilancia y control realizados</v>
      </c>
      <c r="O120" s="53"/>
      <c r="P120" s="54">
        <f>IFERROR(__xludf.DUMMYFUNCTION("""COMPUTED_VALUE"""),510.0)</f>
        <v>510</v>
      </c>
      <c r="Q120" s="55" t="str">
        <f>IFERROR(__xludf.DUMMYFUNCTION("""COMPUTED_VALUE"""),"Realizar Operativos de Control")</f>
        <v>Realizar Operativos de Control</v>
      </c>
      <c r="R120" s="14" t="str">
        <f>IFERROR(__xludf.DUMMYFUNCTION("""COMPUTED_VALUE"""),"Trimestral")</f>
        <v>Trimestral</v>
      </c>
      <c r="S120" s="54">
        <f>IFERROR(__xludf.DUMMYFUNCTION("""COMPUTED_VALUE"""),106.0)</f>
        <v>106</v>
      </c>
      <c r="T120" s="54">
        <f>IFERROR(__xludf.DUMMYFUNCTION("""COMPUTED_VALUE"""),120.0)</f>
        <v>120</v>
      </c>
      <c r="U120" s="54">
        <f>IFERROR(__xludf.DUMMYFUNCTION("""COMPUTED_VALUE"""),164.0)</f>
        <v>164</v>
      </c>
      <c r="V120" s="54">
        <f>IFERROR(__xludf.DUMMYFUNCTION("""COMPUTED_VALUE"""),120.0)</f>
        <v>120</v>
      </c>
      <c r="W120" s="56" t="str">
        <f>IFERROR(__xludf.DUMMYFUNCTION("""COMPUTED_VALUE"""),"Regional Bogota")</f>
        <v>Regional Bogota</v>
      </c>
      <c r="X120" s="57" t="str">
        <f>IFERROR(__xludf.DUMMYFUNCTION("""COMPUTED_VALUE"""),"Carlos Augusto Borda Rodriguez")</f>
        <v>Carlos Augusto Borda Rodriguez</v>
      </c>
      <c r="Y120" s="47" t="str">
        <f>IFERROR(__xludf.DUMMYFUNCTION("""COMPUTED_VALUE"""),"Director Regional Bogotá")</f>
        <v>Director Regional Bogotá</v>
      </c>
      <c r="Z120" s="57" t="str">
        <f>IFERROR(__xludf.DUMMYFUNCTION("""COMPUTED_VALUE"""),"carlos.borda@aunap.gov.co")</f>
        <v>carlos.borda@aunap.gov.co</v>
      </c>
      <c r="AA120" s="47" t="str">
        <f>IFERROR(__xludf.DUMMYFUNCTION("""COMPUTED_VALUE"""),"Humanos, Físicos, Financieros, Tecnológicos")</f>
        <v>Humanos, Físicos, Financieros, Tecnológicos</v>
      </c>
      <c r="AB120" s="47" t="str">
        <f>IFERROR(__xludf.DUMMYFUNCTION("""COMPUTED_VALUE"""),"No asociado")</f>
        <v>No asociado</v>
      </c>
      <c r="AC120" s="47" t="str">
        <f>IFERROR(__xludf.DUMMYFUNCTION("""COMPUTED_VALUE"""),"Llegar con actividades de pesca y acuicultura a todas las regiones")</f>
        <v>Llegar con actividades de pesca y acuicultura a todas las regiones</v>
      </c>
      <c r="AD120" s="47" t="str">
        <f>IFERROR(__xludf.DUMMYFUNCTION("""COMPUTED_VALUE"""),"Gestión con valores para resultados")</f>
        <v>Gestión con valores para resultados</v>
      </c>
      <c r="AE120" s="47" t="str">
        <f>IFERROR(__xludf.DUMMYFUNCTION("""COMPUTED_VALUE"""),"Fortalecimiento Organizacional y Simplificación de Procesos")</f>
        <v>Fortalecimiento Organizacional y Simplificación de Procesos</v>
      </c>
      <c r="AF120" s="47" t="str">
        <f>IFERROR(__xludf.DUMMYFUNCTION("""COMPUTED_VALUE"""),"12. Producción y consumo responsable")</f>
        <v>12. Producción y consumo responsable</v>
      </c>
      <c r="AG120" s="58">
        <f>IFERROR(__xludf.DUMMYFUNCTION("""COMPUTED_VALUE"""),121.0)</f>
        <v>121</v>
      </c>
      <c r="AH120" s="59" t="str">
        <f>IFERROR(__xludf.DUMMYFUNCTION("""COMPUTED_VALUE"""),"Con las nuevas politicas implementadas, se lograron realizar actividades de manera mas frecuente, por parte de los compañeros de las oficinas adcritas")</f>
        <v>Con las nuevas politicas implementadas, se lograron realizar actividades de manera mas frecuente, por parte de los compañeros de las oficinas adcritas</v>
      </c>
      <c r="AI120" s="80" t="str">
        <f>IFERROR(__xludf.DUMMYFUNCTION("""COMPUTED_VALUE"""),"https://drive.google.com/drive/folders/1zpQ3atICDLnNkVN3loVZZijl1jjT1l0w")</f>
        <v>https://drive.google.com/drive/folders/1zpQ3atICDLnNkVN3loVZZijl1jjT1l0w</v>
      </c>
      <c r="AJ120" s="60">
        <f>IFERROR(__xludf.DUMMYFUNCTION("""COMPUTED_VALUE"""),44396.0)</f>
        <v>44396</v>
      </c>
      <c r="AK120" s="61" t="str">
        <f>IFERROR(IF((AL120+1)&lt;2,Alertas!$B$2&amp;TEXT(AL120,"0%")&amp;Alertas!$D$2, IF((AL120+1)=2,Alertas!$B$3,IF((AL120+1)&gt;2,Alertas!$B$4&amp;TEXT(AL120,"0%")&amp;Alertas!$D$4,AL120+1))),"Sin meta para el segundo trimestre")</f>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20" s="62">
        <f t="shared" si="2"/>
        <v>1.008333333</v>
      </c>
      <c r="AM120" s="61" t="str">
        <f t="shared" si="3"/>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20" s="63"/>
      <c r="AO120" s="64"/>
      <c r="AP120" s="65"/>
      <c r="AQ120" s="65"/>
      <c r="AR120" s="66"/>
      <c r="AS120" s="67"/>
      <c r="AT120" s="68"/>
      <c r="AU120" s="63"/>
      <c r="AV120" s="64"/>
      <c r="AW120" s="69"/>
      <c r="AX120" s="65"/>
      <c r="AY120" s="70"/>
      <c r="AZ120" s="71"/>
      <c r="BA120" s="72"/>
      <c r="BB120" s="73"/>
      <c r="BC120" s="64"/>
      <c r="BD120" s="69"/>
      <c r="BE120" s="65"/>
      <c r="BF120" s="66"/>
      <c r="BG120" s="71"/>
      <c r="BH120" s="72"/>
      <c r="BI120" s="74"/>
      <c r="BK120" s="5" t="str">
        <f t="shared" si="23"/>
        <v>1</v>
      </c>
      <c r="BM120" s="5"/>
    </row>
    <row r="121" ht="37.5" customHeight="1">
      <c r="A121" s="45"/>
      <c r="B121" s="46">
        <f>IFERROR(__xludf.DUMMYFUNCTION("""COMPUTED_VALUE"""),119.0)</f>
        <v>119</v>
      </c>
      <c r="C121" s="47" t="str">
        <f>IFERROR(__xludf.DUMMYFUNCTION("""COMPUTED_VALUE"""),"Gestión de la administración y fomento")</f>
        <v>Gestión de la administración y fomento</v>
      </c>
      <c r="D121" s="48" t="str">
        <f>IFERROR(__xludf.DUMMYFUNCTION("""COMPUTED_VALUE"""),"Regional Bogotá")</f>
        <v>Regional Bogotá</v>
      </c>
      <c r="E121" s="48" t="str">
        <f>IFERROR(__xludf.DUMMYFUNCTION("""COMPUTED_VALUE"""),"Fortalecimiento de la sostenibilidad del sector pesquero y de la acuicultura en el territorio nacional")</f>
        <v>Fortalecimiento de la sostenibilidad del sector pesquero y de la acuicultura en el territorio nacional</v>
      </c>
      <c r="F121" s="49">
        <f>IFERROR(__xludf.DUMMYFUNCTION("""COMPUTED_VALUE"""),2.01901100028E12)</f>
        <v>2019011000280</v>
      </c>
      <c r="G121" s="50" t="str">
        <f>IFERROR(__xludf.DUMMYFUNCTION("""COMPUTED_VALUE"""),"Sostenibilidad")</f>
        <v>Sostenibilidad</v>
      </c>
      <c r="H121" s="48" t="str">
        <f>IFERROR(__xludf.DUMMYFUNCTION("""COMPUTED_VALUE"""),"Mejorar la explotación de los recursos pesqueros y de la acuicultura.")</f>
        <v>Mejorar la explotación de los recursos pesqueros y de la acuicultura.</v>
      </c>
      <c r="I121" s="48" t="str">
        <f>IFERROR(__xludf.DUMMYFUNCTION("""COMPUTED_VALUE"""),"Servicio de ordenación pesquera y de la acuicultura")</f>
        <v>Servicio de ordenación pesquera y de la acuicultura</v>
      </c>
      <c r="J121" s="48" t="str">
        <f>IFERROR(__xludf.DUMMYFUNCTION("""COMPUTED_VALUE"""),"Generar acciones de fomento para la pesca, la acuicultura y sus actividades conexas.")</f>
        <v>Generar acciones de fomento para la pesca, la acuicultura y sus actividades conexas.</v>
      </c>
      <c r="K121" s="51" t="str">
        <f>IFERROR(__xludf.DUMMYFUNCTION("""COMPUTED_VALUE"""),"Gestión del área")</f>
        <v>Gestión del área</v>
      </c>
      <c r="L121" s="51" t="str">
        <f>IFERROR(__xludf.DUMMYFUNCTION("""COMPUTED_VALUE"""),"Eficacia")</f>
        <v>Eficacia</v>
      </c>
      <c r="M121" s="51" t="str">
        <f>IFERROR(__xludf.DUMMYFUNCTION("""COMPUTED_VALUE"""),"Número")</f>
        <v>Número</v>
      </c>
      <c r="N121" s="52" t="str">
        <f>IFERROR(__xludf.DUMMYFUNCTION("""COMPUTED_VALUE"""),"Numero de Repoblamientos realizados sobre Numero de Repoblamientos programados")</f>
        <v>Numero de Repoblamientos realizados sobre Numero de Repoblamientos programados</v>
      </c>
      <c r="O121" s="53"/>
      <c r="P121" s="54">
        <f>IFERROR(__xludf.DUMMYFUNCTION("""COMPUTED_VALUE"""),1450000.0)</f>
        <v>1450000</v>
      </c>
      <c r="Q121" s="55" t="str">
        <f>IFERROR(__xludf.DUMMYFUNCTION("""COMPUTED_VALUE"""),"Generar los Repoblamientos Misionales - Bocachico")</f>
        <v>Generar los Repoblamientos Misionales - Bocachico</v>
      </c>
      <c r="R121" s="14" t="str">
        <f>IFERROR(__xludf.DUMMYFUNCTION("""COMPUTED_VALUE"""),"Trimestral")</f>
        <v>Trimestral</v>
      </c>
      <c r="S121" s="54">
        <f>IFERROR(__xludf.DUMMYFUNCTION("""COMPUTED_VALUE"""),150000.0)</f>
        <v>150000</v>
      </c>
      <c r="T121" s="54">
        <f>IFERROR(__xludf.DUMMYFUNCTION("""COMPUTED_VALUE"""),350000.0)</f>
        <v>350000</v>
      </c>
      <c r="U121" s="54">
        <f>IFERROR(__xludf.DUMMYFUNCTION("""COMPUTED_VALUE"""),450000.0)</f>
        <v>450000</v>
      </c>
      <c r="V121" s="54">
        <f>IFERROR(__xludf.DUMMYFUNCTION("""COMPUTED_VALUE"""),500000.0)</f>
        <v>500000</v>
      </c>
      <c r="W121" s="56" t="str">
        <f>IFERROR(__xludf.DUMMYFUNCTION("""COMPUTED_VALUE"""),"Regional Bogota")</f>
        <v>Regional Bogota</v>
      </c>
      <c r="X121" s="57" t="str">
        <f>IFERROR(__xludf.DUMMYFUNCTION("""COMPUTED_VALUE"""),"Carlos Augusto Borda Rodriguez")</f>
        <v>Carlos Augusto Borda Rodriguez</v>
      </c>
      <c r="Y121" s="47" t="str">
        <f>IFERROR(__xludf.DUMMYFUNCTION("""COMPUTED_VALUE"""),"Director Regional Bogotá")</f>
        <v>Director Regional Bogotá</v>
      </c>
      <c r="Z121" s="57" t="str">
        <f>IFERROR(__xludf.DUMMYFUNCTION("""COMPUTED_VALUE"""),"carlos.borda@aunap.gov.co")</f>
        <v>carlos.borda@aunap.gov.co</v>
      </c>
      <c r="AA121" s="47" t="str">
        <f>IFERROR(__xludf.DUMMYFUNCTION("""COMPUTED_VALUE"""),"Humanos, Físicos, Financieros, Tecnológicos")</f>
        <v>Humanos, Físicos, Financieros, Tecnológicos</v>
      </c>
      <c r="AB121" s="47" t="str">
        <f>IFERROR(__xludf.DUMMYFUNCTION("""COMPUTED_VALUE"""),"No asociado")</f>
        <v>No asociado</v>
      </c>
      <c r="AC121" s="47" t="str">
        <f>IFERROR(__xludf.DUMMYFUNCTION("""COMPUTED_VALUE"""),"Llegar con actividades de pesca y acuicultura a todas las regiones")</f>
        <v>Llegar con actividades de pesca y acuicultura a todas las regiones</v>
      </c>
      <c r="AD121" s="47" t="str">
        <f>IFERROR(__xludf.DUMMYFUNCTION("""COMPUTED_VALUE"""),"Gestión con valores para resultados")</f>
        <v>Gestión con valores para resultados</v>
      </c>
      <c r="AE121" s="47" t="str">
        <f>IFERROR(__xludf.DUMMYFUNCTION("""COMPUTED_VALUE"""),"Fortalecimiento Organizacional y Simplificación de Procesos")</f>
        <v>Fortalecimiento Organizacional y Simplificación de Procesos</v>
      </c>
      <c r="AF121" s="47" t="str">
        <f>IFERROR(__xludf.DUMMYFUNCTION("""COMPUTED_VALUE"""),"12. Producción y consumo responsable")</f>
        <v>12. Producción y consumo responsable</v>
      </c>
      <c r="AG121" s="58">
        <f>IFERROR(__xludf.DUMMYFUNCTION("""COMPUTED_VALUE"""),326394.0)</f>
        <v>326394</v>
      </c>
      <c r="AH121" s="59" t="str">
        <f>IFERROR(__xludf.DUMMYFUNCTION("""COMPUTED_VALUE"""),"Se pudieron entregar unos bocachicos con el alimento (prestado) que logro gestionar el adminstrador de la granja  y luego en el mes de junio un bloque importante para un repoblamiento ")</f>
        <v>Se pudieron entregar unos bocachicos con el alimento (prestado) que logro gestionar el adminstrador de la granja  y luego en el mes de junio un bloque importante para un repoblamiento </v>
      </c>
      <c r="AI121" s="80" t="str">
        <f>IFERROR(__xludf.DUMMYFUNCTION("""COMPUTED_VALUE"""),"https://drive.google.com/drive/folders/1_GMXa6H0jGOSDxtLlU5C_kZtJM4cv0ay")</f>
        <v>https://drive.google.com/drive/folders/1_GMXa6H0jGOSDxtLlU5C_kZtJM4cv0ay</v>
      </c>
      <c r="AJ121" s="60">
        <f>IFERROR(__xludf.DUMMYFUNCTION("""COMPUTED_VALUE"""),44396.0)</f>
        <v>44396</v>
      </c>
      <c r="AK121" s="61" t="str">
        <f>IFERROR(IF((AL121+1)&lt;2,Alertas!$B$2&amp;TEXT(AL121,"0%")&amp;Alertas!$D$2, IF((AL121+1)=2,Alertas!$B$3,IF((AL121+1)&gt;2,Alertas!$B$4&amp;TEXT(AL121,"0%")&amp;Alertas!$D$4,AL121+1))),"Sin meta para el segundo trimestre")</f>
        <v>La ejecución de la meta registrada se encuentra por debajo de la meta programada en la formulación del plan de acción para el segundo trimestre, su porcentaje de cumplimiento es 93%, lo cual indica un incumplimiento que puede ser entendido por los entes de control como falencias en el proceso de planeación y gestión de la dependencia. se recomienda realizar acciones para garantizar el cumplimiento de la meta durante lo que resta de vigencia</v>
      </c>
      <c r="AL121" s="62">
        <f t="shared" si="2"/>
        <v>0.9325542857</v>
      </c>
      <c r="AM121" s="61" t="str">
        <f t="shared" si="3"/>
        <v>La ejecución de la meta registrada se encuentra por debajo de la meta programada en la formulación del plan de acción para el segundo trimestre, su porcentaje de cumplimiento es 93%, lo cual indica un incumplimiento que puede ser entendido por los entes de control como falencias en el proceso de planeación y gestión de la dependencia. se recomienda realizar acciones para garantizar el cumplimiento de la meta durante lo que resta de vigencia.</v>
      </c>
      <c r="AN121" s="63"/>
      <c r="AO121" s="64"/>
      <c r="AP121" s="65"/>
      <c r="AQ121" s="65"/>
      <c r="AR121" s="66"/>
      <c r="AS121" s="67"/>
      <c r="AT121" s="68"/>
      <c r="AU121" s="63"/>
      <c r="AV121" s="64"/>
      <c r="AW121" s="69"/>
      <c r="AX121" s="65"/>
      <c r="AY121" s="70"/>
      <c r="AZ121" s="71"/>
      <c r="BA121" s="72"/>
      <c r="BB121" s="73"/>
      <c r="BC121" s="64"/>
      <c r="BD121" s="69"/>
      <c r="BE121" s="65"/>
      <c r="BF121" s="66"/>
      <c r="BG121" s="71"/>
      <c r="BH121" s="72"/>
      <c r="BI121" s="74"/>
      <c r="BK121" s="5" t="str">
        <f t="shared" si="23"/>
        <v>-1</v>
      </c>
      <c r="BM121" s="5"/>
    </row>
    <row r="122" ht="37.5" customHeight="1">
      <c r="A122" s="45"/>
      <c r="B122" s="46">
        <f>IFERROR(__xludf.DUMMYFUNCTION("""COMPUTED_VALUE"""),120.0)</f>
        <v>120</v>
      </c>
      <c r="C122" s="47" t="str">
        <f>IFERROR(__xludf.DUMMYFUNCTION("""COMPUTED_VALUE"""),"Gestión de la administración y fomento")</f>
        <v>Gestión de la administración y fomento</v>
      </c>
      <c r="D122" s="48" t="str">
        <f>IFERROR(__xludf.DUMMYFUNCTION("""COMPUTED_VALUE"""),"Regional Bogotá")</f>
        <v>Regional Bogotá</v>
      </c>
      <c r="E122" s="48" t="str">
        <f>IFERROR(__xludf.DUMMYFUNCTION("""COMPUTED_VALUE"""),"Fortalecimiento de la sostenibilidad del sector pesquero y de la acuicultura en el territorio nacional")</f>
        <v>Fortalecimiento de la sostenibilidad del sector pesquero y de la acuicultura en el territorio nacional</v>
      </c>
      <c r="F122" s="49">
        <f>IFERROR(__xludf.DUMMYFUNCTION("""COMPUTED_VALUE"""),2.01901100028E12)</f>
        <v>2019011000280</v>
      </c>
      <c r="G122" s="50" t="str">
        <f>IFERROR(__xludf.DUMMYFUNCTION("""COMPUTED_VALUE"""),"Sostenibilidad")</f>
        <v>Sostenibilidad</v>
      </c>
      <c r="H122" s="48" t="str">
        <f>IFERROR(__xludf.DUMMYFUNCTION("""COMPUTED_VALUE"""),"Mejorar la explotación de los recursos pesqueros y de la acuicultura.")</f>
        <v>Mejorar la explotación de los recursos pesqueros y de la acuicultura.</v>
      </c>
      <c r="I122" s="48" t="str">
        <f>IFERROR(__xludf.DUMMYFUNCTION("""COMPUTED_VALUE"""),"Servicios de apoyo al fomento de la pesca y la acuicultura")</f>
        <v>Servicios de apoyo al fomento de la pesca y la acuicultura</v>
      </c>
      <c r="J122" s="48" t="str">
        <f>IFERROR(__xludf.DUMMYFUNCTION("""COMPUTED_VALUE"""),"Generar acciones de fomento para la pesca, la acuicultura y sus actividades conexas.")</f>
        <v>Generar acciones de fomento para la pesca, la acuicultura y sus actividades conexas.</v>
      </c>
      <c r="K122" s="51" t="str">
        <f>IFERROR(__xludf.DUMMYFUNCTION("""COMPUTED_VALUE"""),"Gestión del área")</f>
        <v>Gestión del área</v>
      </c>
      <c r="L122" s="51" t="str">
        <f>IFERROR(__xludf.DUMMYFUNCTION("""COMPUTED_VALUE"""),"Eficacia")</f>
        <v>Eficacia</v>
      </c>
      <c r="M122" s="51" t="str">
        <f>IFERROR(__xludf.DUMMYFUNCTION("""COMPUTED_VALUE"""),"Número")</f>
        <v>Número</v>
      </c>
      <c r="N122" s="52" t="str">
        <f>IFERROR(__xludf.DUMMYFUNCTION("""COMPUTED_VALUE"""),"Numero de Especies Nativas realizadas sobre Numero de Especies Nativas Programadas")</f>
        <v>Numero de Especies Nativas realizadas sobre Numero de Especies Nativas Programadas</v>
      </c>
      <c r="O122" s="53"/>
      <c r="P122" s="54">
        <f>IFERROR(__xludf.DUMMYFUNCTION("""COMPUTED_VALUE"""),110000.0)</f>
        <v>110000</v>
      </c>
      <c r="Q122" s="55" t="str">
        <f>IFERROR(__xludf.DUMMYFUNCTION("""COMPUTED_VALUE"""),"Generar el Repoblamiento de otras especies nativas")</f>
        <v>Generar el Repoblamiento de otras especies nativas</v>
      </c>
      <c r="R122" s="14" t="str">
        <f>IFERROR(__xludf.DUMMYFUNCTION("""COMPUTED_VALUE"""),"Trimestral")</f>
        <v>Trimestral</v>
      </c>
      <c r="S122" s="54">
        <f>IFERROR(__xludf.DUMMYFUNCTION("""COMPUTED_VALUE"""),0.0)</f>
        <v>0</v>
      </c>
      <c r="T122" s="54">
        <f>IFERROR(__xludf.DUMMYFUNCTION("""COMPUTED_VALUE"""),30000.0)</f>
        <v>30000</v>
      </c>
      <c r="U122" s="54">
        <f>IFERROR(__xludf.DUMMYFUNCTION("""COMPUTED_VALUE"""),50000.0)</f>
        <v>50000</v>
      </c>
      <c r="V122" s="54">
        <f>IFERROR(__xludf.DUMMYFUNCTION("""COMPUTED_VALUE"""),30000.0)</f>
        <v>30000</v>
      </c>
      <c r="W122" s="56" t="str">
        <f>IFERROR(__xludf.DUMMYFUNCTION("""COMPUTED_VALUE"""),"Regional Bogota")</f>
        <v>Regional Bogota</v>
      </c>
      <c r="X122" s="57" t="str">
        <f>IFERROR(__xludf.DUMMYFUNCTION("""COMPUTED_VALUE"""),"Carlos Augusto Borda Rodriguez")</f>
        <v>Carlos Augusto Borda Rodriguez</v>
      </c>
      <c r="Y122" s="47" t="str">
        <f>IFERROR(__xludf.DUMMYFUNCTION("""COMPUTED_VALUE"""),"Director Regional Bogotá")</f>
        <v>Director Regional Bogotá</v>
      </c>
      <c r="Z122" s="57" t="str">
        <f>IFERROR(__xludf.DUMMYFUNCTION("""COMPUTED_VALUE"""),"carlos.borda@aunap.gov.co")</f>
        <v>carlos.borda@aunap.gov.co</v>
      </c>
      <c r="AA122" s="47" t="str">
        <f>IFERROR(__xludf.DUMMYFUNCTION("""COMPUTED_VALUE"""),"Humanos, Físicos, Financieros, Tecnológicos")</f>
        <v>Humanos, Físicos, Financieros, Tecnológicos</v>
      </c>
      <c r="AB122" s="47" t="str">
        <f>IFERROR(__xludf.DUMMYFUNCTION("""COMPUTED_VALUE"""),"No asociado")</f>
        <v>No asociado</v>
      </c>
      <c r="AC122" s="47" t="str">
        <f>IFERROR(__xludf.DUMMYFUNCTION("""COMPUTED_VALUE"""),"Llegar con actividades de pesca y acuicultura a todas las regiones")</f>
        <v>Llegar con actividades de pesca y acuicultura a todas las regiones</v>
      </c>
      <c r="AD122" s="47" t="str">
        <f>IFERROR(__xludf.DUMMYFUNCTION("""COMPUTED_VALUE"""),"Gestión con valores para resultados")</f>
        <v>Gestión con valores para resultados</v>
      </c>
      <c r="AE122" s="47" t="str">
        <f>IFERROR(__xludf.DUMMYFUNCTION("""COMPUTED_VALUE"""),"Fortalecimiento Organizacional y Simplificación de Procesos")</f>
        <v>Fortalecimiento Organizacional y Simplificación de Procesos</v>
      </c>
      <c r="AF122" s="47" t="str">
        <f>IFERROR(__xludf.DUMMYFUNCTION("""COMPUTED_VALUE"""),"12. Producción y consumo responsable")</f>
        <v>12. Producción y consumo responsable</v>
      </c>
      <c r="AG122" s="58">
        <f>IFERROR(__xludf.DUMMYFUNCTION("""COMPUTED_VALUE"""),29210.0)</f>
        <v>29210</v>
      </c>
      <c r="AH122" s="59" t="str">
        <f>IFERROR(__xludf.DUMMYFUNCTION("""COMPUTED_VALUE"""),"Se logro hacer un despacho de repoblamiento luego de estar sin alimento para los peces durante el primer semestre")</f>
        <v>Se logro hacer un despacho de repoblamiento luego de estar sin alimento para los peces durante el primer semestre</v>
      </c>
      <c r="AI122" s="80" t="str">
        <f>IFERROR(__xludf.DUMMYFUNCTION("""COMPUTED_VALUE"""),"https://drive.google.com/drive/folders/1_GMXa6H0jGOSDxtLlU5C_kZtJM4cv0ay")</f>
        <v>https://drive.google.com/drive/folders/1_GMXa6H0jGOSDxtLlU5C_kZtJM4cv0ay</v>
      </c>
      <c r="AJ122" s="60">
        <f>IFERROR(__xludf.DUMMYFUNCTION("""COMPUTED_VALUE"""),44396.0)</f>
        <v>44396</v>
      </c>
      <c r="AK122" s="61" t="str">
        <f>IFERROR(IF((AL122+1)&lt;2,Alertas!$B$2&amp;TEXT(AL122,"0%")&amp;Alertas!$D$2, IF((AL122+1)=2,Alertas!$B$3,IF((AL122+1)&gt;2,Alertas!$B$4&amp;TEXT(AL122,"0%")&amp;Alertas!$D$4,AL122+1))),"Sin meta para el segundo trimestre")</f>
        <v>La ejecución de la meta registrada se encuentra por debajo de la meta programada en la formulación del plan de acción para el segundo trimestre, su porcentaje de cumplimiento es 97%, lo cual indica un incumplimiento que puede ser entendido por los entes de control como falencias en el proceso de planeación y gestión de la dependencia. se recomienda realizar acciones para garantizar el cumplimiento de la meta durante lo que resta de vigencia</v>
      </c>
      <c r="AL122" s="62">
        <f t="shared" si="2"/>
        <v>0.9736666667</v>
      </c>
      <c r="AM122" s="61" t="str">
        <f t="shared" si="3"/>
        <v>La ejecución de la meta registrada se encuentra por debajo de la meta programada en la formulación del plan de acción para el segundo trimestre, su porcentaje de cumplimiento es 97%, lo cual indica un incumplimiento que puede ser entendido por los entes de control como falencias en el proceso de planeación y gestión de la dependencia. se recomienda realizar acciones para garantizar el cumplimiento de la meta durante lo que resta de vigencia.</v>
      </c>
      <c r="AN122" s="63"/>
      <c r="AO122" s="64"/>
      <c r="AP122" s="65"/>
      <c r="AQ122" s="65"/>
      <c r="AR122" s="66"/>
      <c r="AS122" s="67"/>
      <c r="AT122" s="68"/>
      <c r="AU122" s="63"/>
      <c r="AV122" s="64"/>
      <c r="AW122" s="69"/>
      <c r="AX122" s="65"/>
      <c r="AY122" s="70"/>
      <c r="AZ122" s="71"/>
      <c r="BA122" s="72"/>
      <c r="BB122" s="73"/>
      <c r="BC122" s="64"/>
      <c r="BD122" s="69"/>
      <c r="BE122" s="65"/>
      <c r="BF122" s="66"/>
      <c r="BG122" s="71"/>
      <c r="BH122" s="72"/>
      <c r="BI122" s="74"/>
      <c r="BK122" s="5" t="str">
        <f t="shared" si="23"/>
        <v>-1</v>
      </c>
      <c r="BM122" s="5"/>
    </row>
    <row r="123" ht="37.5" customHeight="1">
      <c r="A123" s="45"/>
      <c r="B123" s="46">
        <f>IFERROR(__xludf.DUMMYFUNCTION("""COMPUTED_VALUE"""),121.0)</f>
        <v>121</v>
      </c>
      <c r="C123" s="47" t="str">
        <f>IFERROR(__xludf.DUMMYFUNCTION("""COMPUTED_VALUE"""),"Gestión de la administración y fomento")</f>
        <v>Gestión de la administración y fomento</v>
      </c>
      <c r="D123" s="48" t="str">
        <f>IFERROR(__xludf.DUMMYFUNCTION("""COMPUTED_VALUE"""),"Regional Cali")</f>
        <v>Regional Cali</v>
      </c>
      <c r="E123" s="48" t="str">
        <f>IFERROR(__xludf.DUMMYFUNCTION("""COMPUTED_VALUE"""),"Fortalecimiento de la sostenibilidad del sector pesquero y de la acuicultura en el territorio nacional")</f>
        <v>Fortalecimiento de la sostenibilidad del sector pesquero y de la acuicultura en el territorio nacional</v>
      </c>
      <c r="F123" s="49">
        <f>IFERROR(__xludf.DUMMYFUNCTION("""COMPUTED_VALUE"""),2.01901100028E12)</f>
        <v>2019011000280</v>
      </c>
      <c r="G123" s="50" t="str">
        <f>IFERROR(__xludf.DUMMYFUNCTION("""COMPUTED_VALUE"""),"Sostenibilidad")</f>
        <v>Sostenibilidad</v>
      </c>
      <c r="H123" s="48" t="str">
        <f>IFERROR(__xludf.DUMMYFUNCTION("""COMPUTED_VALUE"""),"Mejorar la explotación de los recursos pesqueros y de la acuicultura.")</f>
        <v>Mejorar la explotación de los recursos pesqueros y de la acuicultura.</v>
      </c>
      <c r="I123" s="48" t="str">
        <f>IFERROR(__xludf.DUMMYFUNCTION("""COMPUTED_VALUE"""),"Servicios de administración de los recurso pesqueros y de la acuicultura")</f>
        <v>Servicios de administración de los recurso pesqueros y de la acuicultura</v>
      </c>
      <c r="J123" s="48" t="str">
        <f>IFERROR(__xludf.DUMMYFUNCTION("""COMPUTED_VALUE"""),"Regular el manejo y el ejercicio de la actividad pesquera y de la acuicultura.")</f>
        <v>Regular el manejo y el ejercicio de la actividad pesquera y de la acuicultura.</v>
      </c>
      <c r="K123" s="51" t="str">
        <f>IFERROR(__xludf.DUMMYFUNCTION("""COMPUTED_VALUE"""),"Producto")</f>
        <v>Producto</v>
      </c>
      <c r="L123" s="51" t="str">
        <f>IFERROR(__xludf.DUMMYFUNCTION("""COMPUTED_VALUE"""),"Eficacia")</f>
        <v>Eficacia</v>
      </c>
      <c r="M123" s="51" t="str">
        <f>IFERROR(__xludf.DUMMYFUNCTION("""COMPUTED_VALUE"""),"Número")</f>
        <v>Número</v>
      </c>
      <c r="N123" s="52" t="str">
        <f>IFERROR(__xludf.DUMMYFUNCTION("""COMPUTED_VALUE"""),"Trámites atendidos")</f>
        <v>Trámites atendidos</v>
      </c>
      <c r="O123" s="53">
        <f>IFERROR(__xludf.DUMMYFUNCTION("""COMPUTED_VALUE"""),-7140.0)</f>
        <v>-7140</v>
      </c>
      <c r="P123" s="54">
        <f>IFERROR(__xludf.DUMMYFUNCTION("""COMPUTED_VALUE"""),410.0)</f>
        <v>410</v>
      </c>
      <c r="Q123" s="55" t="str">
        <f>IFERROR(__xludf.DUMMYFUNCTION("""COMPUTED_VALUE"""),"Atención de trámites")</f>
        <v>Atención de trámites</v>
      </c>
      <c r="R123" s="14" t="str">
        <f>IFERROR(__xludf.DUMMYFUNCTION("""COMPUTED_VALUE"""),"Trimestral")</f>
        <v>Trimestral</v>
      </c>
      <c r="S123" s="54">
        <f>IFERROR(__xludf.DUMMYFUNCTION("""COMPUTED_VALUE"""),105.0)</f>
        <v>105</v>
      </c>
      <c r="T123" s="54">
        <f>IFERROR(__xludf.DUMMYFUNCTION("""COMPUTED_VALUE"""),85.0)</f>
        <v>85</v>
      </c>
      <c r="U123" s="54">
        <f>IFERROR(__xludf.DUMMYFUNCTION("""COMPUTED_VALUE"""),120.0)</f>
        <v>120</v>
      </c>
      <c r="V123" s="54">
        <f>IFERROR(__xludf.DUMMYFUNCTION("""COMPUTED_VALUE"""),100.0)</f>
        <v>100</v>
      </c>
      <c r="W123" s="56" t="str">
        <f>IFERROR(__xludf.DUMMYFUNCTION("""COMPUTED_VALUE"""),"Regional Cali")</f>
        <v>Regional Cali</v>
      </c>
      <c r="X123" s="57" t="str">
        <f>IFERROR(__xludf.DUMMYFUNCTION("""COMPUTED_VALUE"""),"Sandra Amgulo")</f>
        <v>Sandra Amgulo</v>
      </c>
      <c r="Y123" s="47" t="str">
        <f>IFERROR(__xludf.DUMMYFUNCTION("""COMPUTED_VALUE"""),"Director Regional")</f>
        <v>Director Regional</v>
      </c>
      <c r="Z123" s="57" t="str">
        <f>IFERROR(__xludf.DUMMYFUNCTION("""COMPUTED_VALUE"""),"sandra.angulo@aunap.gov.co")</f>
        <v>sandra.angulo@aunap.gov.co</v>
      </c>
      <c r="AA123" s="47" t="str">
        <f>IFERROR(__xludf.DUMMYFUNCTION("""COMPUTED_VALUE"""),"Humanos, fisicos, financieros y tecnologicos")</f>
        <v>Humanos, fisicos, financieros y tecnologicos</v>
      </c>
      <c r="AB123" s="47" t="str">
        <f>IFERROR(__xludf.DUMMYFUNCTION("""COMPUTED_VALUE"""),"No asociado")</f>
        <v>No asociado</v>
      </c>
      <c r="AC123" s="47" t="str">
        <f>IFERROR(__xludf.DUMMYFUNCTION("""COMPUTED_VALUE"""),"Propiciar la formalización de la pesca y la acuicultura")</f>
        <v>Propiciar la formalización de la pesca y la acuicultura</v>
      </c>
      <c r="AD123" s="47" t="str">
        <f>IFERROR(__xludf.DUMMYFUNCTION("""COMPUTED_VALUE"""),"Gestión con valores para resultados")</f>
        <v>Gestión con valores para resultados</v>
      </c>
      <c r="AE123" s="47" t="str">
        <f>IFERROR(__xludf.DUMMYFUNCTION("""COMPUTED_VALUE"""),"Fortalecimiento Organizacional y Simplificación de Procesos")</f>
        <v>Fortalecimiento Organizacional y Simplificación de Procesos</v>
      </c>
      <c r="AF123" s="47" t="str">
        <f>IFERROR(__xludf.DUMMYFUNCTION("""COMPUTED_VALUE"""),"12. Producción y consumo responsable")</f>
        <v>12. Producción y consumo responsable</v>
      </c>
      <c r="AG123" s="58">
        <f>IFERROR(__xludf.DUMMYFUNCTION("""COMPUTED_VALUE"""),133.0)</f>
        <v>133</v>
      </c>
      <c r="AH123" s="59" t="str">
        <f>IFERROR(__xludf.DUMMYFUNCTION("""COMPUTED_VALUE"""),"Esta actividad se supero en un 156%, cabe resaltar que aunque esta actividad depende en gran parte de las solicitudes de los usuarios,  la regional  esta realizando más visitas de sensibilización  que se reflejan en el aumento de legalización de   activid"&amp;"ad pesquera y acuicola")</f>
        <v>Esta actividad se supero en un 156%, cabe resaltar que aunque esta actividad depende en gran parte de las solicitudes de los usuarios,  la regional  esta realizando más visitas de sensibilización  que se reflejan en el aumento de legalización de   actividad pesquera y acuicola</v>
      </c>
      <c r="AI123" s="80" t="str">
        <f>IFERROR(__xludf.DUMMYFUNCTION("""COMPUTED_VALUE"""),"https://drive.google.com/file/d/1o8fnADHZ9enqG3Z-5baqQq2GdMUf6Myc/view?usp=sharing")</f>
        <v>https://drive.google.com/file/d/1o8fnADHZ9enqG3Z-5baqQq2GdMUf6Myc/view?usp=sharing</v>
      </c>
      <c r="AJ123" s="60">
        <f>IFERROR(__xludf.DUMMYFUNCTION("""COMPUTED_VALUE"""),44396.0)</f>
        <v>44396</v>
      </c>
      <c r="AK123" s="61" t="str">
        <f>IFERROR(IF((AL123+1)&lt;2,Alertas!$B$2&amp;TEXT(AL123,"0%")&amp;Alertas!$D$2, IF((AL123+1)=2,Alertas!$B$3,IF((AL123+1)&gt;2,Alertas!$B$4&amp;TEXT(AL123,"0%")&amp;Alertas!$D$4,AL123+1))),"Sin meta para el segundo trimestre")</f>
        <v>La ejecución de la meta registrada se encuentra por encima de la meta programada en la formulación del plan de acción para el segundo trimestre, su porcentaje de cumplimiento es 156%,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23" s="62">
        <f t="shared" si="2"/>
        <v>1.564705882</v>
      </c>
      <c r="AM123" s="61" t="str">
        <f t="shared" si="3"/>
        <v>La ejecución de la meta registrada se encuentra por encima de la meta programada en la formulación del plan de acción para el segundo trimestre, su porcentaje de cumplimiento es 156%,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23" s="63"/>
      <c r="AO123" s="64"/>
      <c r="AP123" s="65"/>
      <c r="AQ123" s="65"/>
      <c r="AR123" s="66"/>
      <c r="AS123" s="67"/>
      <c r="AT123" s="68"/>
      <c r="AU123" s="63"/>
      <c r="AV123" s="64"/>
      <c r="AW123" s="69"/>
      <c r="AX123" s="65"/>
      <c r="AY123" s="70"/>
      <c r="AZ123" s="71"/>
      <c r="BA123" s="72"/>
      <c r="BB123" s="73"/>
      <c r="BC123" s="64"/>
      <c r="BD123" s="69"/>
      <c r="BE123" s="65"/>
      <c r="BF123" s="66"/>
      <c r="BG123" s="71"/>
      <c r="BH123" s="72"/>
      <c r="BI123" s="74"/>
      <c r="BK123" s="5" t="str">
        <f t="shared" si="23"/>
        <v>1</v>
      </c>
      <c r="BM123" s="5"/>
    </row>
    <row r="124" ht="37.5" customHeight="1">
      <c r="A124" s="45"/>
      <c r="B124" s="46">
        <f>IFERROR(__xludf.DUMMYFUNCTION("""COMPUTED_VALUE"""),122.0)</f>
        <v>122</v>
      </c>
      <c r="C124" s="47" t="str">
        <f>IFERROR(__xludf.DUMMYFUNCTION("""COMPUTED_VALUE"""),"Gestión de la administración y fomento")</f>
        <v>Gestión de la administración y fomento</v>
      </c>
      <c r="D124" s="48" t="str">
        <f>IFERROR(__xludf.DUMMYFUNCTION("""COMPUTED_VALUE"""),"Regional Cali")</f>
        <v>Regional Cali</v>
      </c>
      <c r="E124" s="48" t="str">
        <f>IFERROR(__xludf.DUMMYFUNCTION("""COMPUTED_VALUE"""),"Fortalecimiento de la sostenibilidad del sector pesquero y de la acuicultura en el territorio nacional")</f>
        <v>Fortalecimiento de la sostenibilidad del sector pesquero y de la acuicultura en el territorio nacional</v>
      </c>
      <c r="F124" s="49">
        <f>IFERROR(__xludf.DUMMYFUNCTION("""COMPUTED_VALUE"""),2.01901100028E12)</f>
        <v>2019011000280</v>
      </c>
      <c r="G124" s="50" t="str">
        <f>IFERROR(__xludf.DUMMYFUNCTION("""COMPUTED_VALUE"""),"Sostenibilidad")</f>
        <v>Sostenibilidad</v>
      </c>
      <c r="H124" s="48" t="str">
        <f>IFERROR(__xludf.DUMMYFUNCTION("""COMPUTED_VALUE"""),"Mejorar la explotación de los recursos pesqueros y de la acuicultura.")</f>
        <v>Mejorar la explotación de los recursos pesqueros y de la acuicultura.</v>
      </c>
      <c r="I124" s="48" t="str">
        <f>IFERROR(__xludf.DUMMYFUNCTION("""COMPUTED_VALUE"""),"3-Servicios de apoyo a las estaciones de acuicultura")</f>
        <v>3-Servicios de apoyo a las estaciones de acuicultura</v>
      </c>
      <c r="J124" s="48" t="str">
        <f>IFERROR(__xludf.DUMMYFUNCTION("""COMPUTED_VALUE"""),"Desarrollar acciones de extensión rural a través de las estaciones de acuicultura")</f>
        <v>Desarrollar acciones de extensión rural a través de las estaciones de acuicultura</v>
      </c>
      <c r="K124" s="51" t="str">
        <f>IFERROR(__xludf.DUMMYFUNCTION("""COMPUTED_VALUE"""),"Producto")</f>
        <v>Producto</v>
      </c>
      <c r="L124" s="51" t="str">
        <f>IFERROR(__xludf.DUMMYFUNCTION("""COMPUTED_VALUE"""),"Eficacia")</f>
        <v>Eficacia</v>
      </c>
      <c r="M124" s="51" t="str">
        <f>IFERROR(__xludf.DUMMYFUNCTION("""COMPUTED_VALUE"""),"Número")</f>
        <v>Número</v>
      </c>
      <c r="N124" s="52" t="str">
        <f>IFERROR(__xludf.DUMMYFUNCTION("""COMPUTED_VALUE"""),"Eventos realizados")</f>
        <v>Eventos realizados</v>
      </c>
      <c r="O124" s="53">
        <f>IFERROR(__xludf.DUMMYFUNCTION("""COMPUTED_VALUE"""),-7140.0)</f>
        <v>-7140</v>
      </c>
      <c r="P124" s="54">
        <f>IFERROR(__xludf.DUMMYFUNCTION("""COMPUTED_VALUE"""),3.0)</f>
        <v>3</v>
      </c>
      <c r="Q124" s="55" t="str">
        <f>IFERROR(__xludf.DUMMYFUNCTION("""COMPUTED_VALUE"""),"Desarrollar campañas informativas y Divulgadas de acciones de acuicultura a través de las estaciones")</f>
        <v>Desarrollar campañas informativas y Divulgadas de acciones de acuicultura a través de las estaciones</v>
      </c>
      <c r="R124" s="14" t="str">
        <f>IFERROR(__xludf.DUMMYFUNCTION("""COMPUTED_VALUE"""),"Trimestral")</f>
        <v>Trimestral</v>
      </c>
      <c r="S124" s="54">
        <f>IFERROR(__xludf.DUMMYFUNCTION("""COMPUTED_VALUE"""),0.0)</f>
        <v>0</v>
      </c>
      <c r="T124" s="54">
        <f>IFERROR(__xludf.DUMMYFUNCTION("""COMPUTED_VALUE"""),1.0)</f>
        <v>1</v>
      </c>
      <c r="U124" s="54">
        <f>IFERROR(__xludf.DUMMYFUNCTION("""COMPUTED_VALUE"""),1.0)</f>
        <v>1</v>
      </c>
      <c r="V124" s="54">
        <f>IFERROR(__xludf.DUMMYFUNCTION("""COMPUTED_VALUE"""),1.0)</f>
        <v>1</v>
      </c>
      <c r="W124" s="56" t="str">
        <f>IFERROR(__xludf.DUMMYFUNCTION("""COMPUTED_VALUE"""),"Regional Cali")</f>
        <v>Regional Cali</v>
      </c>
      <c r="X124" s="57" t="str">
        <f>IFERROR(__xludf.DUMMYFUNCTION("""COMPUTED_VALUE"""),"Sandra Amgulo")</f>
        <v>Sandra Amgulo</v>
      </c>
      <c r="Y124" s="47" t="str">
        <f>IFERROR(__xludf.DUMMYFUNCTION("""COMPUTED_VALUE"""),"Director Regional")</f>
        <v>Director Regional</v>
      </c>
      <c r="Z124" s="57" t="str">
        <f>IFERROR(__xludf.DUMMYFUNCTION("""COMPUTED_VALUE"""),"sandra.angulo@aunap.gov.co")</f>
        <v>sandra.angulo@aunap.gov.co</v>
      </c>
      <c r="AA124" s="47" t="str">
        <f>IFERROR(__xludf.DUMMYFUNCTION("""COMPUTED_VALUE"""),"Humanos, fisicos, financieros y tecnologicos")</f>
        <v>Humanos, fisicos, financieros y tecnologicos</v>
      </c>
      <c r="AB124" s="47" t="str">
        <f>IFERROR(__xludf.DUMMYFUNCTION("""COMPUTED_VALUE"""),"No asociado")</f>
        <v>No asociado</v>
      </c>
      <c r="AC124" s="47" t="str">
        <f>IFERROR(__xludf.DUMMYFUNCTION("""COMPUTED_VALUE"""),"Llegar con actividades de pesca y acuicultura a todas las regiones")</f>
        <v>Llegar con actividades de pesca y acuicultura a todas las regiones</v>
      </c>
      <c r="AD124" s="47" t="str">
        <f>IFERROR(__xludf.DUMMYFUNCTION("""COMPUTED_VALUE"""),"Gestión con valores para resultados")</f>
        <v>Gestión con valores para resultados</v>
      </c>
      <c r="AE124" s="47" t="str">
        <f>IFERROR(__xludf.DUMMYFUNCTION("""COMPUTED_VALUE"""),"Fortalecimiento Organizacional y Simplificación de Procesos")</f>
        <v>Fortalecimiento Organizacional y Simplificación de Procesos</v>
      </c>
      <c r="AF124" s="47" t="str">
        <f>IFERROR(__xludf.DUMMYFUNCTION("""COMPUTED_VALUE"""),"12. Producción y consumo responsable")</f>
        <v>12. Producción y consumo responsable</v>
      </c>
      <c r="AG124" s="58">
        <f>IFERROR(__xludf.DUMMYFUNCTION("""COMPUTED_VALUE"""),1.0)</f>
        <v>1</v>
      </c>
      <c r="AH124" s="59" t="str">
        <f>IFERROR(__xludf.DUMMYFUNCTION("""COMPUTED_VALUE"""),"Se dio cumplimiento del 100% en la ejecución de esta actividad. Por temas de pandemia se llevo a cabo de manera virtual, cumpliendo con el objetivo de divulgar a los estudiantes lo que se viene realizando desde la entidad en la estacion de bahia malaga")</f>
        <v>Se dio cumplimiento del 100% en la ejecución de esta actividad. Por temas de pandemia se llevo a cabo de manera virtual, cumpliendo con el objetivo de divulgar a los estudiantes lo que se viene realizando desde la entidad en la estacion de bahia malaga</v>
      </c>
      <c r="AI124" s="80" t="str">
        <f>IFERROR(__xludf.DUMMYFUNCTION("""COMPUTED_VALUE"""),"https://drive.google.com/file/d/1xm9KiGAPk9WNjbnvDYXm23EXBOJXZ04W/view?usp=sharing")</f>
        <v>https://drive.google.com/file/d/1xm9KiGAPk9WNjbnvDYXm23EXBOJXZ04W/view?usp=sharing</v>
      </c>
      <c r="AJ124" s="60">
        <f>IFERROR(__xludf.DUMMYFUNCTION("""COMPUTED_VALUE"""),44396.0)</f>
        <v>44396</v>
      </c>
      <c r="AK124" s="61" t="str">
        <f>IFERROR(IF((AL124+1)&lt;2,Alertas!$B$2&amp;TEXT(AL124,"0%")&amp;Alertas!$D$2, IF((AL124+1)=2,Alertas!$B$3,IF((AL124+1)&gt;2,Alertas!$B$4&amp;TEXT(AL124,"0%")&amp;Alertas!$D$4,AL124+1))),"Sin meta para el segundo trimestre")</f>
        <v>La ejecución de la meta registrada se encuentra acorde a la meta programada en la formulación del plan de acción para el segundo trimestre</v>
      </c>
      <c r="AL124" s="62">
        <f t="shared" si="2"/>
        <v>1</v>
      </c>
      <c r="AM124" s="61" t="str">
        <f t="shared" si="3"/>
        <v>La ejecución de la meta registrada se encuentra acorde a la meta programada en la formulación del plan de acción para el segundo trimestre.</v>
      </c>
      <c r="AN124" s="63"/>
      <c r="AO124" s="64"/>
      <c r="AP124" s="65"/>
      <c r="AQ124" s="65"/>
      <c r="AR124" s="66"/>
      <c r="AS124" s="67"/>
      <c r="AT124" s="68"/>
      <c r="AU124" s="63"/>
      <c r="AV124" s="64"/>
      <c r="AW124" s="69"/>
      <c r="AX124" s="65"/>
      <c r="AY124" s="70"/>
      <c r="AZ124" s="71"/>
      <c r="BA124" s="72"/>
      <c r="BB124" s="73"/>
      <c r="BC124" s="64"/>
      <c r="BD124" s="69"/>
      <c r="BE124" s="65"/>
      <c r="BF124" s="66"/>
      <c r="BG124" s="71"/>
      <c r="BH124" s="72"/>
      <c r="BI124" s="74"/>
      <c r="BK124" s="5" t="str">
        <f t="shared" si="23"/>
        <v>0</v>
      </c>
      <c r="BM124" s="5"/>
    </row>
    <row r="125" ht="37.5" customHeight="1">
      <c r="A125" s="45"/>
      <c r="B125" s="46">
        <f>IFERROR(__xludf.DUMMYFUNCTION("""COMPUTED_VALUE"""),123.0)</f>
        <v>123</v>
      </c>
      <c r="C125" s="47" t="str">
        <f>IFERROR(__xludf.DUMMYFUNCTION("""COMPUTED_VALUE"""),"Gestión de la administración y fomento")</f>
        <v>Gestión de la administración y fomento</v>
      </c>
      <c r="D125" s="48" t="str">
        <f>IFERROR(__xludf.DUMMYFUNCTION("""COMPUTED_VALUE"""),"Regional Cali")</f>
        <v>Regional Cali</v>
      </c>
      <c r="E125" s="48" t="str">
        <f>IFERROR(__xludf.DUMMYFUNCTION("""COMPUTED_VALUE"""),"Fortalecimiento de la sostenibilidad del sector pesquero y de la acuicultura en el territorio nacional")</f>
        <v>Fortalecimiento de la sostenibilidad del sector pesquero y de la acuicultura en el territorio nacional</v>
      </c>
      <c r="F125" s="49">
        <f>IFERROR(__xludf.DUMMYFUNCTION("""COMPUTED_VALUE"""),2.01901100028E12)</f>
        <v>2019011000280</v>
      </c>
      <c r="G125" s="50" t="str">
        <f>IFERROR(__xludf.DUMMYFUNCTION("""COMPUTED_VALUE"""),"Sostenibilidad")</f>
        <v>Sostenibilidad</v>
      </c>
      <c r="H125" s="48" t="str">
        <f>IFERROR(__xludf.DUMMYFUNCTION("""COMPUTED_VALUE"""),"Mejorar la explotación de los recursos pesqueros y de la acuicultura.")</f>
        <v>Mejorar la explotación de los recursos pesqueros y de la acuicultura.</v>
      </c>
      <c r="I125" s="48" t="str">
        <f>IFERROR(__xludf.DUMMYFUNCTION("""COMPUTED_VALUE"""),"Servicios de administración de los recurso pesqueros y de la acuicultura")</f>
        <v>Servicios de administración de los recurso pesqueros y de la acuicultura</v>
      </c>
      <c r="J125" s="48" t="str">
        <f>IFERROR(__xludf.DUMMYFUNCTION("""COMPUTED_VALUE"""),"Realizar acciones de divulgación y formalización de la actividad pesquera y de la acuicultura.")</f>
        <v>Realizar acciones de divulgación y formalización de la actividad pesquera y de la acuicultura.</v>
      </c>
      <c r="K125" s="51" t="str">
        <f>IFERROR(__xludf.DUMMYFUNCTION("""COMPUTED_VALUE"""),"Producto")</f>
        <v>Producto</v>
      </c>
      <c r="L125" s="51" t="str">
        <f>IFERROR(__xludf.DUMMYFUNCTION("""COMPUTED_VALUE"""),"Eficacia")</f>
        <v>Eficacia</v>
      </c>
      <c r="M125" s="51" t="str">
        <f>IFERROR(__xludf.DUMMYFUNCTION("""COMPUTED_VALUE"""),"Número")</f>
        <v>Número</v>
      </c>
      <c r="N125" s="52" t="str">
        <f>IFERROR(__xludf.DUMMYFUNCTION("""COMPUTED_VALUE"""),"Numero de capacitaciones realizadasNumero de capacitaciones programadas")</f>
        <v>Numero de capacitaciones realizadasNumero de capacitaciones programadas</v>
      </c>
      <c r="O125" s="53">
        <f>IFERROR(__xludf.DUMMYFUNCTION("""COMPUTED_VALUE"""),-7140.0)</f>
        <v>-7140</v>
      </c>
      <c r="P125" s="54">
        <f>IFERROR(__xludf.DUMMYFUNCTION("""COMPUTED_VALUE"""),35.0)</f>
        <v>35</v>
      </c>
      <c r="Q125" s="55" t="str">
        <f>IFERROR(__xludf.DUMMYFUNCTION("""COMPUTED_VALUE"""),"Capacitación a los grupos de interés en asociatividad y normatividad para el ejercicio de la acuicultura, pesca y actividades conexas")</f>
        <v>Capacitación a los grupos de interés en asociatividad y normatividad para el ejercicio de la acuicultura, pesca y actividades conexas</v>
      </c>
      <c r="R125" s="14" t="str">
        <f>IFERROR(__xludf.DUMMYFUNCTION("""COMPUTED_VALUE"""),"Trimestral")</f>
        <v>Trimestral</v>
      </c>
      <c r="S125" s="54">
        <f>IFERROR(__xludf.DUMMYFUNCTION("""COMPUTED_VALUE"""),0.0)</f>
        <v>0</v>
      </c>
      <c r="T125" s="54">
        <f>IFERROR(__xludf.DUMMYFUNCTION("""COMPUTED_VALUE"""),10.0)</f>
        <v>10</v>
      </c>
      <c r="U125" s="54">
        <f>IFERROR(__xludf.DUMMYFUNCTION("""COMPUTED_VALUE"""),15.0)</f>
        <v>15</v>
      </c>
      <c r="V125" s="54">
        <f>IFERROR(__xludf.DUMMYFUNCTION("""COMPUTED_VALUE"""),10.0)</f>
        <v>10</v>
      </c>
      <c r="W125" s="56" t="str">
        <f>IFERROR(__xludf.DUMMYFUNCTION("""COMPUTED_VALUE"""),"Regional Cali")</f>
        <v>Regional Cali</v>
      </c>
      <c r="X125" s="57" t="str">
        <f>IFERROR(__xludf.DUMMYFUNCTION("""COMPUTED_VALUE"""),"Sandra Amgulo")</f>
        <v>Sandra Amgulo</v>
      </c>
      <c r="Y125" s="47" t="str">
        <f>IFERROR(__xludf.DUMMYFUNCTION("""COMPUTED_VALUE"""),"Director Regional")</f>
        <v>Director Regional</v>
      </c>
      <c r="Z125" s="57" t="str">
        <f>IFERROR(__xludf.DUMMYFUNCTION("""COMPUTED_VALUE"""),"sandra.angulo@aunap.gov.co")</f>
        <v>sandra.angulo@aunap.gov.co</v>
      </c>
      <c r="AA125" s="47" t="str">
        <f>IFERROR(__xludf.DUMMYFUNCTION("""COMPUTED_VALUE"""),"Humanos, fisicos, financieros y tecnologicos")</f>
        <v>Humanos, fisicos, financieros y tecnologicos</v>
      </c>
      <c r="AB125" s="47" t="str">
        <f>IFERROR(__xludf.DUMMYFUNCTION("""COMPUTED_VALUE"""),"No asociado")</f>
        <v>No asociado</v>
      </c>
      <c r="AC125" s="47" t="str">
        <f>IFERROR(__xludf.DUMMYFUNCTION("""COMPUTED_VALUE"""),"Llegar con actividades de pesca y acuicultura a todas las regiones")</f>
        <v>Llegar con actividades de pesca y acuicultura a todas las regiones</v>
      </c>
      <c r="AD125" s="47" t="str">
        <f>IFERROR(__xludf.DUMMYFUNCTION("""COMPUTED_VALUE"""),"Gestión con valores para resultados")</f>
        <v>Gestión con valores para resultados</v>
      </c>
      <c r="AE125" s="47" t="str">
        <f>IFERROR(__xludf.DUMMYFUNCTION("""COMPUTED_VALUE"""),"Fortalecimiento Organizacional y Simplificación de Procesos")</f>
        <v>Fortalecimiento Organizacional y Simplificación de Procesos</v>
      </c>
      <c r="AF125" s="47" t="str">
        <f>IFERROR(__xludf.DUMMYFUNCTION("""COMPUTED_VALUE"""),"12. Producción y consumo responsable")</f>
        <v>12. Producción y consumo responsable</v>
      </c>
      <c r="AG125" s="58">
        <f>IFERROR(__xludf.DUMMYFUNCTION("""COMPUTED_VALUE"""),10.0)</f>
        <v>10</v>
      </c>
      <c r="AH125" s="59" t="str">
        <f>IFERROR(__xludf.DUMMYFUNCTION("""COMPUTED_VALUE"""),"Se ejecutó esta actividad en 100% en pro de que los grupos de interés se organicen para el fortalecimiento de sus actividades productivas enfatizando los beneficios de trabajar en equipo")</f>
        <v>Se ejecutó esta actividad en 100% en pro de que los grupos de interés se organicen para el fortalecimiento de sus actividades productivas enfatizando los beneficios de trabajar en equipo</v>
      </c>
      <c r="AI125" s="80" t="str">
        <f>IFERROR(__xludf.DUMMYFUNCTION("""COMPUTED_VALUE"""),"https://drive.google.com/file/d/1sY-OYWwi1u7RsMU2YohfVPvTLaaYDrm1/view?usp=sharing")</f>
        <v>https://drive.google.com/file/d/1sY-OYWwi1u7RsMU2YohfVPvTLaaYDrm1/view?usp=sharing</v>
      </c>
      <c r="AJ125" s="60">
        <f>IFERROR(__xludf.DUMMYFUNCTION("""COMPUTED_VALUE"""),44396.0)</f>
        <v>44396</v>
      </c>
      <c r="AK125" s="61" t="str">
        <f>IFERROR(IF((AL125+1)&lt;2,Alertas!$B$2&amp;TEXT(AL125,"0%")&amp;Alertas!$D$2, IF((AL125+1)=2,Alertas!$B$3,IF((AL125+1)&gt;2,Alertas!$B$4&amp;TEXT(AL125,"0%")&amp;Alertas!$D$4,AL125+1))),"Sin meta para el segundo trimestre")</f>
        <v>La ejecución de la meta registrada se encuentra acorde a la meta programada en la formulación del plan de acción para el segundo trimestre</v>
      </c>
      <c r="AL125" s="62">
        <f t="shared" si="2"/>
        <v>1</v>
      </c>
      <c r="AM125" s="61" t="str">
        <f t="shared" si="3"/>
        <v>La ejecución de la meta registrada se encuentra acorde a la meta programada en la formulación del plan de acción para el segundo trimestre.</v>
      </c>
      <c r="AN125" s="63"/>
      <c r="AO125" s="64"/>
      <c r="AP125" s="65"/>
      <c r="AQ125" s="65"/>
      <c r="AR125" s="66"/>
      <c r="AS125" s="67"/>
      <c r="AT125" s="68"/>
      <c r="AU125" s="63"/>
      <c r="AV125" s="64"/>
      <c r="AW125" s="69"/>
      <c r="AX125" s="65"/>
      <c r="AY125" s="70"/>
      <c r="AZ125" s="71"/>
      <c r="BA125" s="72"/>
      <c r="BB125" s="73"/>
      <c r="BC125" s="64"/>
      <c r="BD125" s="69"/>
      <c r="BE125" s="65"/>
      <c r="BF125" s="66"/>
      <c r="BG125" s="71"/>
      <c r="BH125" s="72"/>
      <c r="BI125" s="74"/>
      <c r="BK125" s="5" t="str">
        <f t="shared" si="23"/>
        <v>0</v>
      </c>
      <c r="BM125" s="5"/>
    </row>
    <row r="126" ht="37.5" customHeight="1">
      <c r="A126" s="45"/>
      <c r="B126" s="46">
        <f>IFERROR(__xludf.DUMMYFUNCTION("""COMPUTED_VALUE"""),124.0)</f>
        <v>124</v>
      </c>
      <c r="C126" s="47" t="str">
        <f>IFERROR(__xludf.DUMMYFUNCTION("""COMPUTED_VALUE"""),"Gestión de la administración y fomento")</f>
        <v>Gestión de la administración y fomento</v>
      </c>
      <c r="D126" s="48" t="str">
        <f>IFERROR(__xludf.DUMMYFUNCTION("""COMPUTED_VALUE"""),"Regional Cali")</f>
        <v>Regional Cali</v>
      </c>
      <c r="E126" s="48" t="str">
        <f>IFERROR(__xludf.DUMMYFUNCTION("""COMPUTED_VALUE"""),"Fortalecimiento de la sostenibilidad del sector pesquero y de la acuicultura en el territorio nacional")</f>
        <v>Fortalecimiento de la sostenibilidad del sector pesquero y de la acuicultura en el territorio nacional</v>
      </c>
      <c r="F126" s="49">
        <f>IFERROR(__xludf.DUMMYFUNCTION("""COMPUTED_VALUE"""),2.01901100028E12)</f>
        <v>2019011000280</v>
      </c>
      <c r="G126" s="50" t="str">
        <f>IFERROR(__xludf.DUMMYFUNCTION("""COMPUTED_VALUE"""),"Sostenibilidad")</f>
        <v>Sostenibilidad</v>
      </c>
      <c r="H126" s="48" t="str">
        <f>IFERROR(__xludf.DUMMYFUNCTION("""COMPUTED_VALUE"""),"Mejorar la explotación de los recursos pesqueros y de la acuicultura.")</f>
        <v>Mejorar la explotación de los recursos pesqueros y de la acuicultura.</v>
      </c>
      <c r="I126" s="48" t="str">
        <f>IFERROR(__xludf.DUMMYFUNCTION("""COMPUTED_VALUE"""),"Servicios de administración de los recurso pesqueros y de la acuicultura")</f>
        <v>Servicios de administración de los recurso pesqueros y de la acuicultura</v>
      </c>
      <c r="J126" s="48" t="str">
        <f>IFERROR(__xludf.DUMMYFUNCTION("""COMPUTED_VALUE"""),"Realizar acciones de divulgación y formalización de la actividad pesquera y de la acuicultura.")</f>
        <v>Realizar acciones de divulgación y formalización de la actividad pesquera y de la acuicultura.</v>
      </c>
      <c r="K126" s="51" t="str">
        <f>IFERROR(__xludf.DUMMYFUNCTION("""COMPUTED_VALUE"""),"Gestión del área")</f>
        <v>Gestión del área</v>
      </c>
      <c r="L126" s="51" t="str">
        <f>IFERROR(__xludf.DUMMYFUNCTION("""COMPUTED_VALUE"""),"Eficacia")</f>
        <v>Eficacia</v>
      </c>
      <c r="M126" s="51" t="str">
        <f>IFERROR(__xludf.DUMMYFUNCTION("""COMPUTED_VALUE"""),"Número")</f>
        <v>Número</v>
      </c>
      <c r="N126" s="52" t="str">
        <f>IFERROR(__xludf.DUMMYFUNCTION("""COMPUTED_VALUE"""),"Número de asociaciones capacitadas/Número de asociaciones programadas")</f>
        <v>Número de asociaciones capacitadas/Número de asociaciones programadas</v>
      </c>
      <c r="O126" s="53"/>
      <c r="P126" s="54">
        <f>IFERROR(__xludf.DUMMYFUNCTION("""COMPUTED_VALUE"""),30.0)</f>
        <v>30</v>
      </c>
      <c r="Q126" s="55" t="str">
        <f>IFERROR(__xludf.DUMMYFUNCTION("""COMPUTED_VALUE"""),"Asociaciones capacitadas en temas de pesca y acuicultura")</f>
        <v>Asociaciones capacitadas en temas de pesca y acuicultura</v>
      </c>
      <c r="R126" s="14" t="str">
        <f>IFERROR(__xludf.DUMMYFUNCTION("""COMPUTED_VALUE"""),"Trimestral")</f>
        <v>Trimestral</v>
      </c>
      <c r="S126" s="54">
        <f>IFERROR(__xludf.DUMMYFUNCTION("""COMPUTED_VALUE"""),0.0)</f>
        <v>0</v>
      </c>
      <c r="T126" s="54">
        <f>IFERROR(__xludf.DUMMYFUNCTION("""COMPUTED_VALUE"""),10.0)</f>
        <v>10</v>
      </c>
      <c r="U126" s="54">
        <f>IFERROR(__xludf.DUMMYFUNCTION("""COMPUTED_VALUE"""),10.0)</f>
        <v>10</v>
      </c>
      <c r="V126" s="54">
        <f>IFERROR(__xludf.DUMMYFUNCTION("""COMPUTED_VALUE"""),10.0)</f>
        <v>10</v>
      </c>
      <c r="W126" s="56" t="str">
        <f>IFERROR(__xludf.DUMMYFUNCTION("""COMPUTED_VALUE"""),"Regional Cali")</f>
        <v>Regional Cali</v>
      </c>
      <c r="X126" s="57" t="str">
        <f>IFERROR(__xludf.DUMMYFUNCTION("""COMPUTED_VALUE"""),"Sandra Amgulo")</f>
        <v>Sandra Amgulo</v>
      </c>
      <c r="Y126" s="47" t="str">
        <f>IFERROR(__xludf.DUMMYFUNCTION("""COMPUTED_VALUE"""),"Director Regional")</f>
        <v>Director Regional</v>
      </c>
      <c r="Z126" s="57" t="str">
        <f>IFERROR(__xludf.DUMMYFUNCTION("""COMPUTED_VALUE"""),"sandra.angulo@aunap.gov.co")</f>
        <v>sandra.angulo@aunap.gov.co</v>
      </c>
      <c r="AA126" s="47" t="str">
        <f>IFERROR(__xludf.DUMMYFUNCTION("""COMPUTED_VALUE"""),"Humanos, fisicos, financieros y tecnologicos")</f>
        <v>Humanos, fisicos, financieros y tecnologicos</v>
      </c>
      <c r="AB126" s="47" t="str">
        <f>IFERROR(__xludf.DUMMYFUNCTION("""COMPUTED_VALUE"""),"No asociado")</f>
        <v>No asociado</v>
      </c>
      <c r="AC126" s="47" t="str">
        <f>IFERROR(__xludf.DUMMYFUNCTION("""COMPUTED_VALUE"""),"Llegar con actividades de pesca y acuicultura a todas las regiones")</f>
        <v>Llegar con actividades de pesca y acuicultura a todas las regiones</v>
      </c>
      <c r="AD126" s="47" t="str">
        <f>IFERROR(__xludf.DUMMYFUNCTION("""COMPUTED_VALUE"""),"Gestión con valores para resultados")</f>
        <v>Gestión con valores para resultados</v>
      </c>
      <c r="AE126" s="47" t="str">
        <f>IFERROR(__xludf.DUMMYFUNCTION("""COMPUTED_VALUE"""),"Fortalecimiento Organizacional y Simplificación de Procesos")</f>
        <v>Fortalecimiento Organizacional y Simplificación de Procesos</v>
      </c>
      <c r="AF126" s="47" t="str">
        <f>IFERROR(__xludf.DUMMYFUNCTION("""COMPUTED_VALUE"""),"12. Producción y consumo responsable")</f>
        <v>12. Producción y consumo responsable</v>
      </c>
      <c r="AG126" s="58">
        <f>IFERROR(__xludf.DUMMYFUNCTION("""COMPUTED_VALUE"""),11.0)</f>
        <v>11</v>
      </c>
      <c r="AH126" s="59" t="str">
        <f>IFERROR(__xludf.DUMMYFUNCTION("""COMPUTED_VALUE"""),"Se supero esta actividad en un 110%, ya que por parte de la regional, se adelantaron capacitaciones a las platoneras de Buenaventura y sus alrederores en coordinación con el Ministerio de Agricultura para el fortalecimiento de estas personas que ejercen e"&amp;"sta actividad en el marco del decreto 281 del 18 de marzo del 2021 que las afecta directamente (lo cual se realizó durante el mes de junio, donde se las caracterizó).")</f>
        <v>Se supero esta actividad en un 110%, ya que por parte de la regional, se adelantaron capacitaciones a las platoneras de Buenaventura y sus alrederores en coordinación con el Ministerio de Agricultura para el fortalecimiento de estas personas que ejercen esta actividad en el marco del decreto 281 del 18 de marzo del 2021 que las afecta directamente (lo cual se realizó durante el mes de junio, donde se las caracterizó).</v>
      </c>
      <c r="AI126" s="80" t="str">
        <f>IFERROR(__xludf.DUMMYFUNCTION("""COMPUTED_VALUE"""),"https://drive.google.com/file/d/1WcIEhHlrxavdjrH5cjM110KrkFgF5cEV/view?usp=sharing")</f>
        <v>https://drive.google.com/file/d/1WcIEhHlrxavdjrH5cjM110KrkFgF5cEV/view?usp=sharing</v>
      </c>
      <c r="AJ126" s="60">
        <f>IFERROR(__xludf.DUMMYFUNCTION("""COMPUTED_VALUE"""),44396.0)</f>
        <v>44396</v>
      </c>
      <c r="AK126" s="61" t="str">
        <f>IFERROR(IF((AL126+1)&lt;2,Alertas!$B$2&amp;TEXT(AL126,"0%")&amp;Alertas!$D$2, IF((AL126+1)=2,Alertas!$B$3,IF((AL126+1)&gt;2,Alertas!$B$4&amp;TEXT(AL126,"0%")&amp;Alertas!$D$4,AL126+1))),"Sin meta para el segundo trimestre")</f>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26" s="62">
        <f t="shared" si="2"/>
        <v>1.1</v>
      </c>
      <c r="AM126" s="61" t="str">
        <f t="shared" si="3"/>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26" s="63"/>
      <c r="AO126" s="64"/>
      <c r="AP126" s="65"/>
      <c r="AQ126" s="65"/>
      <c r="AR126" s="66"/>
      <c r="AS126" s="67"/>
      <c r="AT126" s="68"/>
      <c r="AU126" s="63"/>
      <c r="AV126" s="64"/>
      <c r="AW126" s="69"/>
      <c r="AX126" s="65"/>
      <c r="AY126" s="70"/>
      <c r="AZ126" s="71"/>
      <c r="BA126" s="72"/>
      <c r="BB126" s="73"/>
      <c r="BC126" s="64"/>
      <c r="BD126" s="69"/>
      <c r="BE126" s="65"/>
      <c r="BF126" s="66"/>
      <c r="BG126" s="71"/>
      <c r="BH126" s="72"/>
      <c r="BI126" s="74"/>
      <c r="BK126" s="5" t="str">
        <f t="shared" si="23"/>
        <v>1</v>
      </c>
      <c r="BM126" s="5"/>
    </row>
    <row r="127" ht="37.5" customHeight="1">
      <c r="A127" s="45"/>
      <c r="B127" s="46">
        <f>IFERROR(__xludf.DUMMYFUNCTION("""COMPUTED_VALUE"""),125.0)</f>
        <v>125</v>
      </c>
      <c r="C127" s="47" t="str">
        <f>IFERROR(__xludf.DUMMYFUNCTION("""COMPUTED_VALUE"""),"Gestión de la administración y fomento")</f>
        <v>Gestión de la administración y fomento</v>
      </c>
      <c r="D127" s="48" t="str">
        <f>IFERROR(__xludf.DUMMYFUNCTION("""COMPUTED_VALUE"""),"Regional Cali")</f>
        <v>Regional Cali</v>
      </c>
      <c r="E127" s="48" t="str">
        <f>IFERROR(__xludf.DUMMYFUNCTION("""COMPUTED_VALUE"""),"Fortalecimiento de la sostenibilidad del sector pesquero y de la acuicultura en el territorio nacional")</f>
        <v>Fortalecimiento de la sostenibilidad del sector pesquero y de la acuicultura en el territorio nacional</v>
      </c>
      <c r="F127" s="49">
        <f>IFERROR(__xludf.DUMMYFUNCTION("""COMPUTED_VALUE"""),2.01901100028E12)</f>
        <v>2019011000280</v>
      </c>
      <c r="G127" s="50" t="str">
        <f>IFERROR(__xludf.DUMMYFUNCTION("""COMPUTED_VALUE"""),"Sostenibilidad")</f>
        <v>Sostenibilidad</v>
      </c>
      <c r="H127" s="48" t="str">
        <f>IFERROR(__xludf.DUMMYFUNCTION("""COMPUTED_VALUE"""),"Mejorar la explotación de los recursos pesqueros y de la acuicultura.")</f>
        <v>Mejorar la explotación de los recursos pesqueros y de la acuicultura.</v>
      </c>
      <c r="I127" s="48" t="str">
        <f>IFERROR(__xludf.DUMMYFUNCTION("""COMPUTED_VALUE"""),"Servicios de administración de los recurso pesqueros y de la acuicultura")</f>
        <v>Servicios de administración de los recurso pesqueros y de la acuicultura</v>
      </c>
      <c r="J127" s="48" t="str">
        <f>IFERROR(__xludf.DUMMYFUNCTION("""COMPUTED_VALUE"""),"Servicios de administración de los recurso pesqueros y de la acuicultura")</f>
        <v>Servicios de administración de los recurso pesqueros y de la acuicultura</v>
      </c>
      <c r="K127" s="51" t="str">
        <f>IFERROR(__xludf.DUMMYFUNCTION("""COMPUTED_VALUE"""),"Gestión del área")</f>
        <v>Gestión del área</v>
      </c>
      <c r="L127" s="51" t="str">
        <f>IFERROR(__xludf.DUMMYFUNCTION("""COMPUTED_VALUE"""),"Eficacia")</f>
        <v>Eficacia</v>
      </c>
      <c r="M127" s="51" t="str">
        <f>IFERROR(__xludf.DUMMYFUNCTION("""COMPUTED_VALUE"""),"Número")</f>
        <v>Número</v>
      </c>
      <c r="N127" s="52" t="str">
        <f>IFERROR(__xludf.DUMMYFUNCTION("""COMPUTED_VALUE"""),"Número de pescadores artesanales formalizados/Número de pescadores artesanales programados para formalizar")</f>
        <v>Número de pescadores artesanales formalizados/Número de pescadores artesanales programados para formalizar</v>
      </c>
      <c r="O127" s="53"/>
      <c r="P127" s="54">
        <f>IFERROR(__xludf.DUMMYFUNCTION("""COMPUTED_VALUE"""),2000.0)</f>
        <v>2000</v>
      </c>
      <c r="Q127" s="55" t="str">
        <f>IFERROR(__xludf.DUMMYFUNCTION("""COMPUTED_VALUE"""),"Formalizar Pescadores artesanales")</f>
        <v>Formalizar Pescadores artesanales</v>
      </c>
      <c r="R127" s="14" t="str">
        <f>IFERROR(__xludf.DUMMYFUNCTION("""COMPUTED_VALUE"""),"Trimestral")</f>
        <v>Trimestral</v>
      </c>
      <c r="S127" s="54">
        <f>IFERROR(__xludf.DUMMYFUNCTION("""COMPUTED_VALUE"""),200.0)</f>
        <v>200</v>
      </c>
      <c r="T127" s="54">
        <f>IFERROR(__xludf.DUMMYFUNCTION("""COMPUTED_VALUE"""),300.0)</f>
        <v>300</v>
      </c>
      <c r="U127" s="54">
        <f>IFERROR(__xludf.DUMMYFUNCTION("""COMPUTED_VALUE"""),750.0)</f>
        <v>750</v>
      </c>
      <c r="V127" s="54">
        <f>IFERROR(__xludf.DUMMYFUNCTION("""COMPUTED_VALUE"""),750.0)</f>
        <v>750</v>
      </c>
      <c r="W127" s="56" t="str">
        <f>IFERROR(__xludf.DUMMYFUNCTION("""COMPUTED_VALUE"""),"Regional Cali")</f>
        <v>Regional Cali</v>
      </c>
      <c r="X127" s="57" t="str">
        <f>IFERROR(__xludf.DUMMYFUNCTION("""COMPUTED_VALUE"""),"Sandra Amgulo")</f>
        <v>Sandra Amgulo</v>
      </c>
      <c r="Y127" s="47" t="str">
        <f>IFERROR(__xludf.DUMMYFUNCTION("""COMPUTED_VALUE"""),"Director Regional")</f>
        <v>Director Regional</v>
      </c>
      <c r="Z127" s="57" t="str">
        <f>IFERROR(__xludf.DUMMYFUNCTION("""COMPUTED_VALUE"""),"sandra.angulo@aunap.gov.co")</f>
        <v>sandra.angulo@aunap.gov.co</v>
      </c>
      <c r="AA127" s="47" t="str">
        <f>IFERROR(__xludf.DUMMYFUNCTION("""COMPUTED_VALUE"""),"Humanos, fisicos, financieros y tecnologicos")</f>
        <v>Humanos, fisicos, financieros y tecnologicos</v>
      </c>
      <c r="AB127" s="47" t="str">
        <f>IFERROR(__xludf.DUMMYFUNCTION("""COMPUTED_VALUE"""),"No asociado")</f>
        <v>No asociado</v>
      </c>
      <c r="AC127" s="47" t="str">
        <f>IFERROR(__xludf.DUMMYFUNCTION("""COMPUTED_VALUE"""),"Propiciar la formalización de la pesca y la acuicultura")</f>
        <v>Propiciar la formalización de la pesca y la acuicultura</v>
      </c>
      <c r="AD127" s="47" t="str">
        <f>IFERROR(__xludf.DUMMYFUNCTION("""COMPUTED_VALUE"""),"Gestión con valores para resultados")</f>
        <v>Gestión con valores para resultados</v>
      </c>
      <c r="AE127" s="47" t="str">
        <f>IFERROR(__xludf.DUMMYFUNCTION("""COMPUTED_VALUE"""),"Racionalización de Trámites")</f>
        <v>Racionalización de Trámites</v>
      </c>
      <c r="AF127" s="47" t="str">
        <f>IFERROR(__xludf.DUMMYFUNCTION("""COMPUTED_VALUE"""),"12. Producción y consumo responsable")</f>
        <v>12. Producción y consumo responsable</v>
      </c>
      <c r="AG127" s="58">
        <f>IFERROR(__xludf.DUMMYFUNCTION("""COMPUTED_VALUE"""),2523.0)</f>
        <v>2523</v>
      </c>
      <c r="AH127" s="59" t="str">
        <f>IFERROR(__xludf.DUMMYFUNCTION("""COMPUTED_VALUE"""),"Se supero esta meta  en un 841%, cabe anotar que además de que se esta incentivando a los pescadores y piangueras  para la formalización de su actividad  productiva , por pate de la regional, se esta llevando a cabo un plan de choque para la elaboración d"&amp;"e los carnet provenientes de la caracterizaxión realizada por el PNUD ")</f>
        <v>Se supero esta meta  en un 841%, cabe anotar que además de que se esta incentivando a los pescadores y piangueras  para la formalización de su actividad  productiva , por pate de la regional, se esta llevando a cabo un plan de choque para la elaboración de los carnet provenientes de la caracterizaxión realizada por el PNUD </v>
      </c>
      <c r="AI127" s="80" t="str">
        <f>IFERROR(__xludf.DUMMYFUNCTION("""COMPUTED_VALUE"""),"https://drive.google.com/file/d/1QklpuE4s0iCSqfCyYoWSlYo4Kd-9SsAR/view?usp=sharing")</f>
        <v>https://drive.google.com/file/d/1QklpuE4s0iCSqfCyYoWSlYo4Kd-9SsAR/view?usp=sharing</v>
      </c>
      <c r="AJ127" s="60">
        <f>IFERROR(__xludf.DUMMYFUNCTION("""COMPUTED_VALUE"""),44396.0)</f>
        <v>44396</v>
      </c>
      <c r="AK127" s="61" t="str">
        <f>IFERROR(IF((AL127+1)&lt;2,Alertas!$B$2&amp;TEXT(AL127,"0%")&amp;Alertas!$D$2, IF((AL127+1)=2,Alertas!$B$3,IF((AL127+1)&gt;2,Alertas!$B$4&amp;TEXT(AL127,"0%")&amp;Alertas!$D$4,AL127+1))),"Sin meta para el segundo trimestre")</f>
        <v>La ejecución de la meta registrada se encuentra por encima de la meta programada en la formulación del plan de acción para el segundo trimestre, su porcentaje de cumplimiento es 841%,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27" s="62">
        <f t="shared" si="2"/>
        <v>8.41</v>
      </c>
      <c r="AM127" s="61" t="str">
        <f t="shared" si="3"/>
        <v>La ejecución de la meta registrada se encuentra por encima de la meta programada en la formulación del plan de acción para el segundo trimestre, su porcentaje de cumplimiento es 841%,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27" s="63"/>
      <c r="AO127" s="64"/>
      <c r="AP127" s="65"/>
      <c r="AQ127" s="65"/>
      <c r="AR127" s="66"/>
      <c r="AS127" s="67"/>
      <c r="AT127" s="68"/>
      <c r="AU127" s="63"/>
      <c r="AV127" s="64"/>
      <c r="AW127" s="69"/>
      <c r="AX127" s="65"/>
      <c r="AY127" s="70"/>
      <c r="AZ127" s="71"/>
      <c r="BA127" s="72"/>
      <c r="BB127" s="73"/>
      <c r="BC127" s="64"/>
      <c r="BD127" s="69"/>
      <c r="BE127" s="65"/>
      <c r="BF127" s="66"/>
      <c r="BG127" s="71"/>
      <c r="BH127" s="72"/>
      <c r="BI127" s="74"/>
      <c r="BK127" s="5" t="str">
        <f t="shared" si="23"/>
        <v>1</v>
      </c>
      <c r="BM127" s="5"/>
    </row>
    <row r="128" ht="37.5" customHeight="1">
      <c r="A128" s="45"/>
      <c r="B128" s="46">
        <f>IFERROR(__xludf.DUMMYFUNCTION("""COMPUTED_VALUE"""),126.0)</f>
        <v>126</v>
      </c>
      <c r="C128" s="47" t="str">
        <f>IFERROR(__xludf.DUMMYFUNCTION("""COMPUTED_VALUE"""),"Gestión de la inspección y vigilancia")</f>
        <v>Gestión de la inspección y vigilancia</v>
      </c>
      <c r="D128" s="48" t="str">
        <f>IFERROR(__xludf.DUMMYFUNCTION("""COMPUTED_VALUE"""),"Regional Cali")</f>
        <v>Regional Cali</v>
      </c>
      <c r="E128"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28" s="49">
        <f>IFERROR(__xludf.DUMMYFUNCTION("""COMPUTED_VALUE"""),2.019011000276E12)</f>
        <v>2019011000276</v>
      </c>
      <c r="G128" s="50" t="str">
        <f>IFERROR(__xludf.DUMMYFUNCTION("""COMPUTED_VALUE"""),"Inspección")</f>
        <v>Inspección</v>
      </c>
      <c r="H128" s="48" t="str">
        <f>IFERROR(__xludf.DUMMYFUNCTION("""COMPUTED_VALUE"""),"Aumentar el conocimiento de la normatividad pesquera y de la acuicultura por parte de la comunidad.")</f>
        <v>Aumentar el conocimiento de la normatividad pesquera y de la acuicultura por parte de la comunidad.</v>
      </c>
      <c r="I128" s="48" t="str">
        <f>IFERROR(__xludf.DUMMYFUNCTION("""COMPUTED_VALUE"""),"Servicio de divulgación y socialización")</f>
        <v>Servicio de divulgación y socialización</v>
      </c>
      <c r="J128" s="48" t="str">
        <f>IFERROR(__xludf.DUMMYFUNCTION("""COMPUTED_VALUE"""),"Servicio de divulgación y socialización")</f>
        <v>Servicio de divulgación y socialización</v>
      </c>
      <c r="K128" s="51" t="str">
        <f>IFERROR(__xludf.DUMMYFUNCTION("""COMPUTED_VALUE"""),"Gestión del área")</f>
        <v>Gestión del área</v>
      </c>
      <c r="L128" s="51" t="str">
        <f>IFERROR(__xludf.DUMMYFUNCTION("""COMPUTED_VALUE"""),"Eficacia")</f>
        <v>Eficacia</v>
      </c>
      <c r="M128" s="51" t="str">
        <f>IFERROR(__xludf.DUMMYFUNCTION("""COMPUTED_VALUE"""),"Número")</f>
        <v>Número</v>
      </c>
      <c r="N128" s="52" t="str">
        <f>IFERROR(__xludf.DUMMYFUNCTION("""COMPUTED_VALUE"""),"Número de eventos realizados/Número de eventos programados")</f>
        <v>Número de eventos realizados/Número de eventos programados</v>
      </c>
      <c r="O128" s="53"/>
      <c r="P128" s="54">
        <f>IFERROR(__xludf.DUMMYFUNCTION("""COMPUTED_VALUE"""),50.0)</f>
        <v>50</v>
      </c>
      <c r="Q128" s="55" t="str">
        <f>IFERROR(__xludf.DUMMYFUNCTION("""COMPUTED_VALUE"""),"Eventos de divulgación y socialización apoyados a nivel nacional en pro de disminuir las malas prácticas, en el ejercicio del control y vigilancia preventiva de la actividad pesquera y acuícola.")</f>
        <v>Eventos de divulgación y socialización apoyados a nivel nacional en pro de disminuir las malas prácticas, en el ejercicio del control y vigilancia preventiva de la actividad pesquera y acuícola.</v>
      </c>
      <c r="R128" s="14" t="str">
        <f>IFERROR(__xludf.DUMMYFUNCTION("""COMPUTED_VALUE"""),"Trimestral")</f>
        <v>Trimestral</v>
      </c>
      <c r="S128" s="54">
        <f>IFERROR(__xludf.DUMMYFUNCTION("""COMPUTED_VALUE"""),10.0)</f>
        <v>10</v>
      </c>
      <c r="T128" s="54">
        <f>IFERROR(__xludf.DUMMYFUNCTION("""COMPUTED_VALUE"""),5.0)</f>
        <v>5</v>
      </c>
      <c r="U128" s="54">
        <f>IFERROR(__xludf.DUMMYFUNCTION("""COMPUTED_VALUE"""),5.0)</f>
        <v>5</v>
      </c>
      <c r="V128" s="54">
        <f>IFERROR(__xludf.DUMMYFUNCTION("""COMPUTED_VALUE"""),30.0)</f>
        <v>30</v>
      </c>
      <c r="W128" s="56" t="str">
        <f>IFERROR(__xludf.DUMMYFUNCTION("""COMPUTED_VALUE"""),"Regional Cali")</f>
        <v>Regional Cali</v>
      </c>
      <c r="X128" s="57" t="str">
        <f>IFERROR(__xludf.DUMMYFUNCTION("""COMPUTED_VALUE"""),"Sandra Amgulo")</f>
        <v>Sandra Amgulo</v>
      </c>
      <c r="Y128" s="47" t="str">
        <f>IFERROR(__xludf.DUMMYFUNCTION("""COMPUTED_VALUE"""),"Director Regional")</f>
        <v>Director Regional</v>
      </c>
      <c r="Z128" s="57" t="str">
        <f>IFERROR(__xludf.DUMMYFUNCTION("""COMPUTED_VALUE"""),"sandra.angulo@aunap.gov.co")</f>
        <v>sandra.angulo@aunap.gov.co</v>
      </c>
      <c r="AA128" s="47" t="str">
        <f>IFERROR(__xludf.DUMMYFUNCTION("""COMPUTED_VALUE"""),"Humanos, fisicos, financieros y tecnologicos")</f>
        <v>Humanos, fisicos, financieros y tecnologicos</v>
      </c>
      <c r="AB128" s="47" t="str">
        <f>IFERROR(__xludf.DUMMYFUNCTION("""COMPUTED_VALUE"""),"No asociado")</f>
        <v>No asociado</v>
      </c>
      <c r="AC12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28" s="47" t="str">
        <f>IFERROR(__xludf.DUMMYFUNCTION("""COMPUTED_VALUE"""),"Gestión con valores para resultados")</f>
        <v>Gestión con valores para resultados</v>
      </c>
      <c r="AE128" s="47" t="str">
        <f>IFERROR(__xludf.DUMMYFUNCTION("""COMPUTED_VALUE"""),"Fortalecimiento Organizacional y Simplificación de Procesos")</f>
        <v>Fortalecimiento Organizacional y Simplificación de Procesos</v>
      </c>
      <c r="AF128" s="47" t="str">
        <f>IFERROR(__xludf.DUMMYFUNCTION("""COMPUTED_VALUE"""),"12. Producción y consumo responsable")</f>
        <v>12. Producción y consumo responsable</v>
      </c>
      <c r="AG128" s="58">
        <f>IFERROR(__xludf.DUMMYFUNCTION("""COMPUTED_VALUE"""),5.0)</f>
        <v>5</v>
      </c>
      <c r="AH128" s="59" t="str">
        <f>IFERROR(__xludf.DUMMYFUNCTION("""COMPUTED_VALUE"""),"Esta actividad  se ejecutó en un 100%,cumpliendo con la con el objetivo de socializar y divulgar en prode las buenas practicas pesqueras y acuicolas en el marco del control y vigilancia")</f>
        <v>Esta actividad  se ejecutó en un 100%,cumpliendo con la con el objetivo de socializar y divulgar en prode las buenas practicas pesqueras y acuicolas en el marco del control y vigilancia</v>
      </c>
      <c r="AI128" s="80" t="str">
        <f>IFERROR(__xludf.DUMMYFUNCTION("""COMPUTED_VALUE"""),"https://drive.google.com/file/d/18laHvpQR2KrbkUiEzk4NC60jxNcnBHwO/view?usp=sharing")</f>
        <v>https://drive.google.com/file/d/18laHvpQR2KrbkUiEzk4NC60jxNcnBHwO/view?usp=sharing</v>
      </c>
      <c r="AJ128" s="60">
        <f>IFERROR(__xludf.DUMMYFUNCTION("""COMPUTED_VALUE"""),44396.0)</f>
        <v>44396</v>
      </c>
      <c r="AK128" s="61" t="str">
        <f>IFERROR(IF((AL128+1)&lt;2,Alertas!$B$2&amp;TEXT(AL128,"0%")&amp;Alertas!$D$2, IF((AL128+1)=2,Alertas!$B$3,IF((AL128+1)&gt;2,Alertas!$B$4&amp;TEXT(AL128,"0%")&amp;Alertas!$D$4,AL128+1))),"Sin meta para el segundo trimestre")</f>
        <v>La ejecución de la meta registrada se encuentra acorde a la meta programada en la formulación del plan de acción para el segundo trimestre</v>
      </c>
      <c r="AL128" s="62">
        <f t="shared" si="2"/>
        <v>1</v>
      </c>
      <c r="AM128" s="61" t="str">
        <f t="shared" si="3"/>
        <v>La ejecución de la meta registrada se encuentra acorde a la meta programada en la formulación del plan de acción para el segundo trimestre.</v>
      </c>
      <c r="AN128" s="63"/>
      <c r="AO128" s="64"/>
      <c r="AP128" s="65"/>
      <c r="AQ128" s="65"/>
      <c r="AR128" s="66"/>
      <c r="AS128" s="67"/>
      <c r="AT128" s="68"/>
      <c r="AU128" s="63"/>
      <c r="AV128" s="64"/>
      <c r="AW128" s="69"/>
      <c r="AX128" s="65"/>
      <c r="AY128" s="70"/>
      <c r="AZ128" s="71"/>
      <c r="BA128" s="72"/>
      <c r="BB128" s="73"/>
      <c r="BC128" s="64"/>
      <c r="BD128" s="69"/>
      <c r="BE128" s="65"/>
      <c r="BF128" s="66"/>
      <c r="BG128" s="71"/>
      <c r="BH128" s="72"/>
      <c r="BI128" s="74"/>
      <c r="BK128" s="5" t="str">
        <f t="shared" si="23"/>
        <v>0</v>
      </c>
      <c r="BM128" s="5"/>
    </row>
    <row r="129" ht="37.5" customHeight="1">
      <c r="A129" s="45"/>
      <c r="B129" s="46">
        <f>IFERROR(__xludf.DUMMYFUNCTION("""COMPUTED_VALUE"""),127.0)</f>
        <v>127</v>
      </c>
      <c r="C129" s="47" t="str">
        <f>IFERROR(__xludf.DUMMYFUNCTION("""COMPUTED_VALUE"""),"Gestión de la información y generación del conocimiento")</f>
        <v>Gestión de la información y generación del conocimiento</v>
      </c>
      <c r="D129" s="48" t="str">
        <f>IFERROR(__xludf.DUMMYFUNCTION("""COMPUTED_VALUE"""),"Regional Cali")</f>
        <v>Regional Cali</v>
      </c>
      <c r="E12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29" s="49">
        <f>IFERROR(__xludf.DUMMYFUNCTION("""COMPUTED_VALUE"""),2.019011000277E12)</f>
        <v>2019011000277</v>
      </c>
      <c r="G129" s="50" t="str">
        <f>IFERROR(__xludf.DUMMYFUNCTION("""COMPUTED_VALUE"""),"Investigación")</f>
        <v>Investigación</v>
      </c>
      <c r="H12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29" s="48" t="str">
        <f>IFERROR(__xludf.DUMMYFUNCTION("""COMPUTED_VALUE"""),"Documentos de investigación")</f>
        <v>Documentos de investigación</v>
      </c>
      <c r="J129" s="48" t="str">
        <f>IFERROR(__xludf.DUMMYFUNCTION("""COMPUTED_VALUE"""),"Documentos de investigación")</f>
        <v>Documentos de investigación</v>
      </c>
      <c r="K129" s="51" t="str">
        <f>IFERROR(__xludf.DUMMYFUNCTION("""COMPUTED_VALUE"""),"Gestión del área")</f>
        <v>Gestión del área</v>
      </c>
      <c r="L129" s="51" t="str">
        <f>IFERROR(__xludf.DUMMYFUNCTION("""COMPUTED_VALUE"""),"Eficacia")</f>
        <v>Eficacia</v>
      </c>
      <c r="M129" s="51" t="str">
        <f>IFERROR(__xludf.DUMMYFUNCTION("""COMPUTED_VALUE"""),"Número")</f>
        <v>Número</v>
      </c>
      <c r="N129" s="52" t="str">
        <f>IFERROR(__xludf.DUMMYFUNCTION("""COMPUTED_VALUE"""),"Reportes de monitoreo que aportan a documentos de investigación")</f>
        <v>Reportes de monitoreo que aportan a documentos de investigación</v>
      </c>
      <c r="O129" s="53"/>
      <c r="P129" s="54">
        <f>IFERROR(__xludf.DUMMYFUNCTION("""COMPUTED_VALUE"""),3.0)</f>
        <v>3</v>
      </c>
      <c r="Q129" s="55" t="str">
        <f>IFERROR(__xludf.DUMMYFUNCTION("""COMPUTED_VALUE"""),"Realizar salidas de campo realizadas para la recopilación de información biológica pesquera en la Laguna de Sonso
")</f>
        <v>Realizar salidas de campo realizadas para la recopilación de información biológica pesquera en la Laguna de Sonso
</v>
      </c>
      <c r="R129" s="14" t="str">
        <f>IFERROR(__xludf.DUMMYFUNCTION("""COMPUTED_VALUE"""),"Trimestral")</f>
        <v>Trimestral</v>
      </c>
      <c r="S129" s="54">
        <f>IFERROR(__xludf.DUMMYFUNCTION("""COMPUTED_VALUE"""),0.0)</f>
        <v>0</v>
      </c>
      <c r="T129" s="54">
        <f>IFERROR(__xludf.DUMMYFUNCTION("""COMPUTED_VALUE"""),1.0)</f>
        <v>1</v>
      </c>
      <c r="U129" s="54">
        <f>IFERROR(__xludf.DUMMYFUNCTION("""COMPUTED_VALUE"""),1.0)</f>
        <v>1</v>
      </c>
      <c r="V129" s="54">
        <f>IFERROR(__xludf.DUMMYFUNCTION("""COMPUTED_VALUE"""),1.0)</f>
        <v>1</v>
      </c>
      <c r="W129" s="56" t="str">
        <f>IFERROR(__xludf.DUMMYFUNCTION("""COMPUTED_VALUE"""),"Regional Cali")</f>
        <v>Regional Cali</v>
      </c>
      <c r="X129" s="57" t="str">
        <f>IFERROR(__xludf.DUMMYFUNCTION("""COMPUTED_VALUE"""),"Sandra Amgulo")</f>
        <v>Sandra Amgulo</v>
      </c>
      <c r="Y129" s="47" t="str">
        <f>IFERROR(__xludf.DUMMYFUNCTION("""COMPUTED_VALUE"""),"Director Regional")</f>
        <v>Director Regional</v>
      </c>
      <c r="Z129" s="57" t="str">
        <f>IFERROR(__xludf.DUMMYFUNCTION("""COMPUTED_VALUE"""),"sandra.angulo@aunap.gov.co")</f>
        <v>sandra.angulo@aunap.gov.co</v>
      </c>
      <c r="AA129" s="47" t="str">
        <f>IFERROR(__xludf.DUMMYFUNCTION("""COMPUTED_VALUE"""),"Humanos, fisicos, financieros y tecnologicos")</f>
        <v>Humanos, fisicos, financieros y tecnologicos</v>
      </c>
      <c r="AB129" s="47" t="str">
        <f>IFERROR(__xludf.DUMMYFUNCTION("""COMPUTED_VALUE"""),"No asociado")</f>
        <v>No asociado</v>
      </c>
      <c r="AC12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29" s="47" t="str">
        <f>IFERROR(__xludf.DUMMYFUNCTION("""COMPUTED_VALUE"""),"Gestión del conocimiento")</f>
        <v>Gestión del conocimiento</v>
      </c>
      <c r="AE129" s="47" t="str">
        <f>IFERROR(__xludf.DUMMYFUNCTION("""COMPUTED_VALUE"""),"Gestión del Conocimiento y la Innovación")</f>
        <v>Gestión del Conocimiento y la Innovación</v>
      </c>
      <c r="AF129" s="47" t="str">
        <f>IFERROR(__xludf.DUMMYFUNCTION("""COMPUTED_VALUE"""),"12. Producción y consumo responsable")</f>
        <v>12. Producción y consumo responsable</v>
      </c>
      <c r="AG129" s="58">
        <f>IFERROR(__xludf.DUMMYFUNCTION("""COMPUTED_VALUE"""),1.0)</f>
        <v>1</v>
      </c>
      <c r="AH129" s="59" t="str">
        <f>IFERROR(__xludf.DUMMYFUNCTION("""COMPUTED_VALUE"""),"Esta actividad  se cumplió con el 100%, en pro de lograr la ordenacion pesquera")</f>
        <v>Esta actividad  se cumplió con el 100%, en pro de lograr la ordenacion pesquera</v>
      </c>
      <c r="AI129" s="80" t="str">
        <f>IFERROR(__xludf.DUMMYFUNCTION("""COMPUTED_VALUE"""),"https://drive.google.com/file/d/1U7XWuqzfHjIE0grJyiGJC8HVGpFU7xeL/view?usp=sharing")</f>
        <v>https://drive.google.com/file/d/1U7XWuqzfHjIE0grJyiGJC8HVGpFU7xeL/view?usp=sharing</v>
      </c>
      <c r="AJ129" s="60">
        <f>IFERROR(__xludf.DUMMYFUNCTION("""COMPUTED_VALUE"""),44396.0)</f>
        <v>44396</v>
      </c>
      <c r="AK129" s="61" t="str">
        <f>IFERROR(IF((AL129+1)&lt;2,Alertas!$B$2&amp;TEXT(AL129,"0%")&amp;Alertas!$D$2, IF((AL129+1)=2,Alertas!$B$3,IF((AL129+1)&gt;2,Alertas!$B$4&amp;TEXT(AL129,"0%")&amp;Alertas!$D$4,AL129+1))),"Sin meta para el segundo trimestre")</f>
        <v>La ejecución de la meta registrada se encuentra acorde a la meta programada en la formulación del plan de acción para el segundo trimestre</v>
      </c>
      <c r="AL129" s="62">
        <f t="shared" si="2"/>
        <v>1</v>
      </c>
      <c r="AM129" s="61" t="str">
        <f t="shared" si="3"/>
        <v>La ejecución de la meta registrada se encuentra acorde a la meta programada en la formulación del plan de acción para el segundo trimestre.</v>
      </c>
      <c r="AN129" s="63"/>
      <c r="AO129" s="64"/>
      <c r="AP129" s="65"/>
      <c r="AQ129" s="65"/>
      <c r="AR129" s="66"/>
      <c r="AS129" s="67"/>
      <c r="AT129" s="68"/>
      <c r="AU129" s="63"/>
      <c r="AV129" s="64"/>
      <c r="AW129" s="69"/>
      <c r="AX129" s="65"/>
      <c r="AY129" s="70"/>
      <c r="AZ129" s="71"/>
      <c r="BA129" s="72"/>
      <c r="BB129" s="73"/>
      <c r="BC129" s="64"/>
      <c r="BD129" s="69"/>
      <c r="BE129" s="65"/>
      <c r="BF129" s="66"/>
      <c r="BG129" s="71"/>
      <c r="BH129" s="72"/>
      <c r="BI129" s="74"/>
      <c r="BK129" s="5" t="str">
        <f t="shared" si="23"/>
        <v>0</v>
      </c>
      <c r="BM129" s="5"/>
    </row>
    <row r="130" ht="37.5" customHeight="1">
      <c r="A130" s="45"/>
      <c r="B130" s="46">
        <f>IFERROR(__xludf.DUMMYFUNCTION("""COMPUTED_VALUE"""),128.0)</f>
        <v>128</v>
      </c>
      <c r="C130" s="47" t="str">
        <f>IFERROR(__xludf.DUMMYFUNCTION("""COMPUTED_VALUE"""),"Gestión de la administración y fomento")</f>
        <v>Gestión de la administración y fomento</v>
      </c>
      <c r="D130" s="48" t="str">
        <f>IFERROR(__xludf.DUMMYFUNCTION("""COMPUTED_VALUE"""),"Regional Cali")</f>
        <v>Regional Cali</v>
      </c>
      <c r="E130" s="48" t="str">
        <f>IFERROR(__xludf.DUMMYFUNCTION("""COMPUTED_VALUE"""),"Fortalecimiento de la sostenibilidad del sector pesquero y de la acuicultura en el territorio nacional")</f>
        <v>Fortalecimiento de la sostenibilidad del sector pesquero y de la acuicultura en el territorio nacional</v>
      </c>
      <c r="F130" s="49">
        <f>IFERROR(__xludf.DUMMYFUNCTION("""COMPUTED_VALUE"""),2.01901100028E12)</f>
        <v>2019011000280</v>
      </c>
      <c r="G130" s="50" t="str">
        <f>IFERROR(__xludf.DUMMYFUNCTION("""COMPUTED_VALUE"""),"Sostenibilidad")</f>
        <v>Sostenibilidad</v>
      </c>
      <c r="H130" s="48" t="str">
        <f>IFERROR(__xludf.DUMMYFUNCTION("""COMPUTED_VALUE"""),"Mejorar la explotación de los recursos pesqueros y de la acuicultura.")</f>
        <v>Mejorar la explotación de los recursos pesqueros y de la acuicultura.</v>
      </c>
      <c r="I130" s="48" t="str">
        <f>IFERROR(__xludf.DUMMYFUNCTION("""COMPUTED_VALUE"""),"2-Servicios de apoyo a las estaciones de acuicultura")</f>
        <v>2-Servicios de apoyo a las estaciones de acuicultura</v>
      </c>
      <c r="J130" s="48" t="str">
        <f>IFERROR(__xludf.DUMMYFUNCTION("""COMPUTED_VALUE"""),"Producir alevinos para el sector productivo y/o con fines de repoblamiento.")</f>
        <v>Producir alevinos para el sector productivo y/o con fines de repoblamiento.</v>
      </c>
      <c r="K130" s="51" t="str">
        <f>IFERROR(__xludf.DUMMYFUNCTION("""COMPUTED_VALUE"""),"Producto")</f>
        <v>Producto</v>
      </c>
      <c r="L130" s="51" t="str">
        <f>IFERROR(__xludf.DUMMYFUNCTION("""COMPUTED_VALUE"""),"Eficacia")</f>
        <v>Eficacia</v>
      </c>
      <c r="M130" s="51" t="str">
        <f>IFERROR(__xludf.DUMMYFUNCTION("""COMPUTED_VALUE"""),"Número")</f>
        <v>Número</v>
      </c>
      <c r="N130" s="52" t="str">
        <f>IFERROR(__xludf.DUMMYFUNCTION("""COMPUTED_VALUE"""),"Alevinos producidos")</f>
        <v>Alevinos producidos</v>
      </c>
      <c r="O130" s="53">
        <f>IFERROR(__xludf.DUMMYFUNCTION("""COMPUTED_VALUE"""),-1.0)</f>
        <v>-1</v>
      </c>
      <c r="P130" s="54">
        <f>IFERROR(__xludf.DUMMYFUNCTION("""COMPUTED_VALUE"""),10000.0)</f>
        <v>10000</v>
      </c>
      <c r="Q130" s="55" t="str">
        <f>IFERROR(__xludf.DUMMYFUNCTION("""COMPUTED_VALUE"""),"producción de alevinos")</f>
        <v>producción de alevinos</v>
      </c>
      <c r="R130" s="14" t="str">
        <f>IFERROR(__xludf.DUMMYFUNCTION("""COMPUTED_VALUE"""),"Trimestral")</f>
        <v>Trimestral</v>
      </c>
      <c r="S130" s="54">
        <f>IFERROR(__xludf.DUMMYFUNCTION("""COMPUTED_VALUE"""),0.0)</f>
        <v>0</v>
      </c>
      <c r="T130" s="54">
        <f>IFERROR(__xludf.DUMMYFUNCTION("""COMPUTED_VALUE"""),0.0)</f>
        <v>0</v>
      </c>
      <c r="U130" s="54">
        <f>IFERROR(__xludf.DUMMYFUNCTION("""COMPUTED_VALUE"""),3000.0)</f>
        <v>3000</v>
      </c>
      <c r="V130" s="54">
        <f>IFERROR(__xludf.DUMMYFUNCTION("""COMPUTED_VALUE"""),7000.0)</f>
        <v>7000</v>
      </c>
      <c r="W130" s="56" t="str">
        <f>IFERROR(__xludf.DUMMYFUNCTION("""COMPUTED_VALUE"""),"Regional Cali")</f>
        <v>Regional Cali</v>
      </c>
      <c r="X130" s="57" t="str">
        <f>IFERROR(__xludf.DUMMYFUNCTION("""COMPUTED_VALUE"""),"Sandra Amgulo")</f>
        <v>Sandra Amgulo</v>
      </c>
      <c r="Y130" s="47" t="str">
        <f>IFERROR(__xludf.DUMMYFUNCTION("""COMPUTED_VALUE"""),"Director Regional")</f>
        <v>Director Regional</v>
      </c>
      <c r="Z130" s="57" t="str">
        <f>IFERROR(__xludf.DUMMYFUNCTION("""COMPUTED_VALUE"""),"sandra.angulo@aunap.gov.co")</f>
        <v>sandra.angulo@aunap.gov.co</v>
      </c>
      <c r="AA130" s="47" t="str">
        <f>IFERROR(__xludf.DUMMYFUNCTION("""COMPUTED_VALUE"""),"Humanos, fisicos, financieros y tecnologicos")</f>
        <v>Humanos, fisicos, financieros y tecnologicos</v>
      </c>
      <c r="AB130" s="47" t="str">
        <f>IFERROR(__xludf.DUMMYFUNCTION("""COMPUTED_VALUE"""),"No asociado")</f>
        <v>No asociado</v>
      </c>
      <c r="AC130" s="47" t="str">
        <f>IFERROR(__xludf.DUMMYFUNCTION("""COMPUTED_VALUE"""),"Llegar con actividades de pesca y acuicultura a todas las regiones")</f>
        <v>Llegar con actividades de pesca y acuicultura a todas las regiones</v>
      </c>
      <c r="AD130" s="47" t="str">
        <f>IFERROR(__xludf.DUMMYFUNCTION("""COMPUTED_VALUE"""),"Gestión con valores para resultados")</f>
        <v>Gestión con valores para resultados</v>
      </c>
      <c r="AE130" s="47" t="str">
        <f>IFERROR(__xludf.DUMMYFUNCTION("""COMPUTED_VALUE"""),"Fortalecimiento Organizacional y Simplificación de Procesos")</f>
        <v>Fortalecimiento Organizacional y Simplificación de Procesos</v>
      </c>
      <c r="AF130" s="47" t="str">
        <f>IFERROR(__xludf.DUMMYFUNCTION("""COMPUTED_VALUE"""),"12. Producción y consumo responsable")</f>
        <v>12. Producción y consumo responsable</v>
      </c>
      <c r="AG130" s="58">
        <f>IFERROR(__xludf.DUMMYFUNCTION("""COMPUTED_VALUE"""),0.0)</f>
        <v>0</v>
      </c>
      <c r="AH130" s="59" t="str">
        <f>IFERROR(__xludf.DUMMYFUNCTION("""COMPUTED_VALUE"""),"No se establecieron metas para éste periodo, de acuerdo al ajuste del plan de acción por inconvenientes en la contratación en los suministro de insumos,   las actividades fueron reprogramadas para el tercer y cuarto trimestre ")</f>
        <v>No se establecieron metas para éste periodo, de acuerdo al ajuste del plan de acción por inconvenientes en la contratación en los suministro de insumos,   las actividades fueron reprogramadas para el tercer y cuarto trimestre </v>
      </c>
      <c r="AI130" s="59" t="str">
        <f>IFERROR(__xludf.DUMMYFUNCTION("""COMPUTED_VALUE"""),"NO PLICA")</f>
        <v>NO PLICA</v>
      </c>
      <c r="AJ130" s="60">
        <f>IFERROR(__xludf.DUMMYFUNCTION("""COMPUTED_VALUE"""),44396.0)</f>
        <v>44396</v>
      </c>
      <c r="AK130" s="61" t="str">
        <f>IFERROR(IF((AL130+1)&lt;2,Alertas!$B$2&amp;TEXT(AL130,"0%")&amp;Alertas!$D$2, IF((AL130+1)=2,Alertas!$B$3,IF((AL130+1)&gt;2,Alertas!$B$4&amp;TEXT(AL130,"0%")&amp;Alertas!$D$4,AL130+1))),"Sin meta para el segundo trimestre")</f>
        <v>Sin meta para el segundo trimestre</v>
      </c>
      <c r="AL130" s="62" t="str">
        <f t="shared" si="2"/>
        <v>-</v>
      </c>
      <c r="AM130" s="61" t="str">
        <f t="shared" si="3"/>
        <v>Sin meta para el segundo trimestre.</v>
      </c>
      <c r="AN130" s="63"/>
      <c r="AO130" s="64"/>
      <c r="AP130" s="65"/>
      <c r="AQ130" s="65"/>
      <c r="AR130" s="66"/>
      <c r="AS130" s="67"/>
      <c r="AT130" s="68"/>
      <c r="AU130" s="63"/>
      <c r="AV130" s="64"/>
      <c r="AW130" s="69"/>
      <c r="AX130" s="65"/>
      <c r="AY130" s="70"/>
      <c r="AZ130" s="71"/>
      <c r="BA130" s="72"/>
      <c r="BB130" s="73"/>
      <c r="BC130" s="64"/>
      <c r="BD130" s="69"/>
      <c r="BE130" s="65"/>
      <c r="BF130" s="66"/>
      <c r="BG130" s="71"/>
      <c r="BH130" s="72"/>
      <c r="BI130" s="74"/>
      <c r="BK130" s="5" t="str">
        <f t="shared" si="23"/>
        <v>-</v>
      </c>
      <c r="BM130" s="5"/>
    </row>
    <row r="131" ht="37.5" customHeight="1">
      <c r="A131" s="45"/>
      <c r="B131" s="46">
        <f>IFERROR(__xludf.DUMMYFUNCTION("""COMPUTED_VALUE"""),129.0)</f>
        <v>129</v>
      </c>
      <c r="C131" s="47" t="str">
        <f>IFERROR(__xludf.DUMMYFUNCTION("""COMPUTED_VALUE"""),"Gestión de la inspección y vigilancia")</f>
        <v>Gestión de la inspección y vigilancia</v>
      </c>
      <c r="D131" s="48" t="str">
        <f>IFERROR(__xludf.DUMMYFUNCTION("""COMPUTED_VALUE"""),"Regional Cali")</f>
        <v>Regional Cali</v>
      </c>
      <c r="E13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31" s="49">
        <f>IFERROR(__xludf.DUMMYFUNCTION("""COMPUTED_VALUE"""),2.019011000276E12)</f>
        <v>2019011000276</v>
      </c>
      <c r="G131" s="50" t="str">
        <f>IFERROR(__xludf.DUMMYFUNCTION("""COMPUTED_VALUE"""),"Inspección")</f>
        <v>Inspección</v>
      </c>
      <c r="H131" s="48" t="str">
        <f>IFERROR(__xludf.DUMMYFUNCTION("""COMPUTED_VALUE"""),"Fortalecer los mecanismos de seguimiento y control de la actividad pesquera y de la acuicultura.")</f>
        <v>Fortalecer los mecanismos de seguimiento y control de la actividad pesquera y de la acuicultura.</v>
      </c>
      <c r="I131" s="48" t="str">
        <f>IFERROR(__xludf.DUMMYFUNCTION("""COMPUTED_VALUE"""),"Servicio de inspección, vigilancia y control de la pesca y la acuicultura")</f>
        <v>Servicio de inspección, vigilancia y control de la pesca y la acuicultura</v>
      </c>
      <c r="J131" s="48" t="str">
        <f>IFERROR(__xludf.DUMMYFUNCTION("""COMPUTED_VALUE"""),"Servicio de inspección, vigilancia y control de la pesca y la acuicultura")</f>
        <v>Servicio de inspección, vigilancia y control de la pesca y la acuicultura</v>
      </c>
      <c r="K131" s="51" t="str">
        <f>IFERROR(__xludf.DUMMYFUNCTION("""COMPUTED_VALUE"""),"Producto")</f>
        <v>Producto</v>
      </c>
      <c r="L131" s="51" t="str">
        <f>IFERROR(__xludf.DUMMYFUNCTION("""COMPUTED_VALUE"""),"Eficacia")</f>
        <v>Eficacia</v>
      </c>
      <c r="M131" s="51" t="str">
        <f>IFERROR(__xludf.DUMMYFUNCTION("""COMPUTED_VALUE"""),"Número")</f>
        <v>Número</v>
      </c>
      <c r="N131" s="52" t="str">
        <f>IFERROR(__xludf.DUMMYFUNCTION("""COMPUTED_VALUE"""),"Operativos de inspección, vigilancia y control realizados")</f>
        <v>Operativos de inspección, vigilancia y control realizados</v>
      </c>
      <c r="O131" s="53">
        <f>IFERROR(__xludf.DUMMYFUNCTION("""COMPUTED_VALUE"""),157.0)</f>
        <v>157</v>
      </c>
      <c r="P131" s="54">
        <f>IFERROR(__xludf.DUMMYFUNCTION("""COMPUTED_VALUE"""),640.0)</f>
        <v>640</v>
      </c>
      <c r="Q131" s="55" t="str">
        <f>IFERROR(__xludf.DUMMYFUNCTION("""COMPUTED_VALUE"""),"Realizar operativos de control y vigilancia de la actividad pesquera y de la acuicultura y verificar el cumplimiento de  la normatividad pesquera y acuícola en:(Centros de acopio, Puntos de venta, Plazas principales, Muelles de desembarque, Aeropuertos, V"&amp;"ías terrestres y fluviales (incluidos cuerpos de agua) de la regional.")</f>
        <v>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v>
      </c>
      <c r="R131" s="14" t="str">
        <f>IFERROR(__xludf.DUMMYFUNCTION("""COMPUTED_VALUE"""),"Trimestral")</f>
        <v>Trimestral</v>
      </c>
      <c r="S131" s="54">
        <f>IFERROR(__xludf.DUMMYFUNCTION("""COMPUTED_VALUE"""),130.0)</f>
        <v>130</v>
      </c>
      <c r="T131" s="54">
        <f>IFERROR(__xludf.DUMMYFUNCTION("""COMPUTED_VALUE"""),170.0)</f>
        <v>170</v>
      </c>
      <c r="U131" s="54">
        <f>IFERROR(__xludf.DUMMYFUNCTION("""COMPUTED_VALUE"""),170.0)</f>
        <v>170</v>
      </c>
      <c r="V131" s="54">
        <f>IFERROR(__xludf.DUMMYFUNCTION("""COMPUTED_VALUE"""),170.0)</f>
        <v>170</v>
      </c>
      <c r="W131" s="56" t="str">
        <f>IFERROR(__xludf.DUMMYFUNCTION("""COMPUTED_VALUE"""),"Regional Cali")</f>
        <v>Regional Cali</v>
      </c>
      <c r="X131" s="57" t="str">
        <f>IFERROR(__xludf.DUMMYFUNCTION("""COMPUTED_VALUE"""),"Sandra Amgulo")</f>
        <v>Sandra Amgulo</v>
      </c>
      <c r="Y131" s="47" t="str">
        <f>IFERROR(__xludf.DUMMYFUNCTION("""COMPUTED_VALUE"""),"Director Regional")</f>
        <v>Director Regional</v>
      </c>
      <c r="Z131" s="57" t="str">
        <f>IFERROR(__xludf.DUMMYFUNCTION("""COMPUTED_VALUE"""),"sandra.angulo@aunap.gov.co")</f>
        <v>sandra.angulo@aunap.gov.co</v>
      </c>
      <c r="AA131" s="47" t="str">
        <f>IFERROR(__xludf.DUMMYFUNCTION("""COMPUTED_VALUE"""),"Humanos, fisicos, financieros y tecnologicos")</f>
        <v>Humanos, fisicos, financieros y tecnologicos</v>
      </c>
      <c r="AB131" s="47" t="str">
        <f>IFERROR(__xludf.DUMMYFUNCTION("""COMPUTED_VALUE"""),"No asociado")</f>
        <v>No asociado</v>
      </c>
      <c r="AC13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1" s="47" t="str">
        <f>IFERROR(__xludf.DUMMYFUNCTION("""COMPUTED_VALUE"""),"Gestión con valores para resultados")</f>
        <v>Gestión con valores para resultados</v>
      </c>
      <c r="AE131" s="47" t="str">
        <f>IFERROR(__xludf.DUMMYFUNCTION("""COMPUTED_VALUE"""),"Fortalecimiento Organizacional y Simplificación de Procesos")</f>
        <v>Fortalecimiento Organizacional y Simplificación de Procesos</v>
      </c>
      <c r="AF131" s="47" t="str">
        <f>IFERROR(__xludf.DUMMYFUNCTION("""COMPUTED_VALUE"""),"12. Producción y consumo responsable")</f>
        <v>12. Producción y consumo responsable</v>
      </c>
      <c r="AG131" s="58">
        <f>IFERROR(__xludf.DUMMYFUNCTION("""COMPUTED_VALUE"""),170.0)</f>
        <v>170</v>
      </c>
      <c r="AH131" s="59" t="str">
        <f>IFERROR(__xludf.DUMMYFUNCTION("""COMPUTED_VALUE"""),"Esta actividad  se ejecutó en un 100%,realizando operativos en los diferentes sitios directamente relacionados con la actividad acuicola pesquera de competncia de la regional ")</f>
        <v>Esta actividad  se ejecutó en un 100%,realizando operativos en los diferentes sitios directamente relacionados con la actividad acuicola pesquera de competncia de la regional </v>
      </c>
      <c r="AI131" s="81" t="str">
        <f>IFERROR(__xludf.DUMMYFUNCTION("""COMPUTED_VALUE"""),"https://drive.google.com/drive/folders/1EEhndqCTZLPDnxaJZQXj-kEcvqbzxfDl?usp=sharing")</f>
        <v>https://drive.google.com/drive/folders/1EEhndqCTZLPDnxaJZQXj-kEcvqbzxfDl?usp=sharing</v>
      </c>
      <c r="AJ131" s="60">
        <f>IFERROR(__xludf.DUMMYFUNCTION("""COMPUTED_VALUE"""),44396.0)</f>
        <v>44396</v>
      </c>
      <c r="AK131" s="61" t="str">
        <f>IFERROR(IF((AL131+1)&lt;2,Alertas!$B$2&amp;TEXT(AL131,"0%")&amp;Alertas!$D$2, IF((AL131+1)=2,Alertas!$B$3,IF((AL131+1)&gt;2,Alertas!$B$4&amp;TEXT(AL131,"0%")&amp;Alertas!$D$4,AL131+1))),"Sin meta para el segundo trimestre")</f>
        <v>La ejecución de la meta registrada se encuentra acorde a la meta programada en la formulación del plan de acción para el segundo trimestre</v>
      </c>
      <c r="AL131" s="62">
        <f t="shared" si="2"/>
        <v>1</v>
      </c>
      <c r="AM131" s="61" t="str">
        <f t="shared" si="3"/>
        <v>La ejecución de la meta registrada se encuentra acorde a la meta programada en la formulación del plan de acción para el segundo trimestre.</v>
      </c>
      <c r="AN131" s="63"/>
      <c r="AO131" s="64"/>
      <c r="AP131" s="65"/>
      <c r="AQ131" s="65"/>
      <c r="AR131" s="66"/>
      <c r="AS131" s="67"/>
      <c r="AT131" s="68"/>
      <c r="AU131" s="63"/>
      <c r="AV131" s="64"/>
      <c r="AW131" s="69"/>
      <c r="AX131" s="65"/>
      <c r="AY131" s="70"/>
      <c r="AZ131" s="71"/>
      <c r="BA131" s="72"/>
      <c r="BB131" s="73"/>
      <c r="BC131" s="64"/>
      <c r="BD131" s="69"/>
      <c r="BE131" s="65"/>
      <c r="BF131" s="66"/>
      <c r="BG131" s="71"/>
      <c r="BH131" s="72"/>
      <c r="BI131" s="74"/>
      <c r="BK131" s="5" t="str">
        <f t="shared" si="23"/>
        <v>0</v>
      </c>
      <c r="BM131" s="5"/>
    </row>
    <row r="132" ht="37.5" customHeight="1">
      <c r="A132" s="45"/>
      <c r="B132" s="46">
        <f>IFERROR(__xludf.DUMMYFUNCTION("""COMPUTED_VALUE"""),130.0)</f>
        <v>130</v>
      </c>
      <c r="C132" s="47" t="str">
        <f>IFERROR(__xludf.DUMMYFUNCTION("""COMPUTED_VALUE"""),"Gestión de la información y generación del conocimiento")</f>
        <v>Gestión de la información y generación del conocimiento</v>
      </c>
      <c r="D132" s="48" t="str">
        <f>IFERROR(__xludf.DUMMYFUNCTION("""COMPUTED_VALUE"""),"Regional Cali")</f>
        <v>Regional Cali</v>
      </c>
      <c r="E132"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2" s="49">
        <f>IFERROR(__xludf.DUMMYFUNCTION("""COMPUTED_VALUE"""),2.019011000277E12)</f>
        <v>2019011000277</v>
      </c>
      <c r="G132" s="50" t="str">
        <f>IFERROR(__xludf.DUMMYFUNCTION("""COMPUTED_VALUE"""),"Investigación")</f>
        <v>Investigación</v>
      </c>
      <c r="H132"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2" s="48" t="str">
        <f>IFERROR(__xludf.DUMMYFUNCTION("""COMPUTED_VALUE"""),"Documentos de investigación")</f>
        <v>Documentos de investigación</v>
      </c>
      <c r="J132" s="48" t="str">
        <f>IFERROR(__xludf.DUMMYFUNCTION("""COMPUTED_VALUE"""),"Documentos de investigación")</f>
        <v>Documentos de investigación</v>
      </c>
      <c r="K132" s="51" t="str">
        <f>IFERROR(__xludf.DUMMYFUNCTION("""COMPUTED_VALUE"""),"Gestión del área")</f>
        <v>Gestión del área</v>
      </c>
      <c r="L132" s="51" t="str">
        <f>IFERROR(__xludf.DUMMYFUNCTION("""COMPUTED_VALUE"""),"Eficacia")</f>
        <v>Eficacia</v>
      </c>
      <c r="M132" s="51" t="str">
        <f>IFERROR(__xludf.DUMMYFUNCTION("""COMPUTED_VALUE"""),"Número")</f>
        <v>Número</v>
      </c>
      <c r="N132" s="52" t="str">
        <f>IFERROR(__xludf.DUMMYFUNCTION("""COMPUTED_VALUE"""),"Reportes de monitoreo que aportan a documentos de investigación")</f>
        <v>Reportes de monitoreo que aportan a documentos de investigación</v>
      </c>
      <c r="O132" s="53"/>
      <c r="P132" s="54">
        <f>IFERROR(__xludf.DUMMYFUNCTION("""COMPUTED_VALUE"""),36.0)</f>
        <v>36</v>
      </c>
      <c r="Q132" s="55" t="str">
        <f>IFERROR(__xludf.DUMMYFUNCTION("""COMPUTED_VALUE"""),"Realizar Realizar salidas de campo  para la recopilación de información biológico pesquera del camarón blanco (L. penaeus spp) en caladeros de pesca
")</f>
        <v>Realizar Realizar salidas de campo  para la recopilación de información biológico pesquera del camarón blanco (L. penaeus spp) en caladeros de pesca
</v>
      </c>
      <c r="R132" s="14" t="str">
        <f>IFERROR(__xludf.DUMMYFUNCTION("""COMPUTED_VALUE"""),"Trimestral")</f>
        <v>Trimestral</v>
      </c>
      <c r="S132" s="54">
        <f>IFERROR(__xludf.DUMMYFUNCTION("""COMPUTED_VALUE"""),4.0)</f>
        <v>4</v>
      </c>
      <c r="T132" s="54">
        <f>IFERROR(__xludf.DUMMYFUNCTION("""COMPUTED_VALUE"""),8.0)</f>
        <v>8</v>
      </c>
      <c r="U132" s="54">
        <f>IFERROR(__xludf.DUMMYFUNCTION("""COMPUTED_VALUE"""),12.0)</f>
        <v>12</v>
      </c>
      <c r="V132" s="54">
        <f>IFERROR(__xludf.DUMMYFUNCTION("""COMPUTED_VALUE"""),12.0)</f>
        <v>12</v>
      </c>
      <c r="W132" s="56" t="str">
        <f>IFERROR(__xludf.DUMMYFUNCTION("""COMPUTED_VALUE"""),"Regional Cali")</f>
        <v>Regional Cali</v>
      </c>
      <c r="X132" s="57" t="str">
        <f>IFERROR(__xludf.DUMMYFUNCTION("""COMPUTED_VALUE"""),"Sandra Amgulo")</f>
        <v>Sandra Amgulo</v>
      </c>
      <c r="Y132" s="47" t="str">
        <f>IFERROR(__xludf.DUMMYFUNCTION("""COMPUTED_VALUE"""),"Director Regional")</f>
        <v>Director Regional</v>
      </c>
      <c r="Z132" s="57" t="str">
        <f>IFERROR(__xludf.DUMMYFUNCTION("""COMPUTED_VALUE"""),"sandra.angulo@aunap.gov.co")</f>
        <v>sandra.angulo@aunap.gov.co</v>
      </c>
      <c r="AA132" s="47" t="str">
        <f>IFERROR(__xludf.DUMMYFUNCTION("""COMPUTED_VALUE"""),"Humanos, fisicos, financieros y tecnologicos")</f>
        <v>Humanos, fisicos, financieros y tecnologicos</v>
      </c>
      <c r="AB132" s="47" t="str">
        <f>IFERROR(__xludf.DUMMYFUNCTION("""COMPUTED_VALUE"""),"No asociado")</f>
        <v>No asociado</v>
      </c>
      <c r="AC13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2" s="47" t="str">
        <f>IFERROR(__xludf.DUMMYFUNCTION("""COMPUTED_VALUE"""),"Gestión del conocimiento")</f>
        <v>Gestión del conocimiento</v>
      </c>
      <c r="AE132" s="47" t="str">
        <f>IFERROR(__xludf.DUMMYFUNCTION("""COMPUTED_VALUE"""),"Gestión del Conocimiento y la Innovación")</f>
        <v>Gestión del Conocimiento y la Innovación</v>
      </c>
      <c r="AF132" s="47" t="str">
        <f>IFERROR(__xludf.DUMMYFUNCTION("""COMPUTED_VALUE"""),"12. Producción y consumo responsable")</f>
        <v>12. Producción y consumo responsable</v>
      </c>
      <c r="AG132" s="58">
        <f>IFERROR(__xludf.DUMMYFUNCTION("""COMPUTED_VALUE"""),8.0)</f>
        <v>8</v>
      </c>
      <c r="AH132" s="59" t="str">
        <f>IFERROR(__xludf.DUMMYFUNCTION("""COMPUTED_VALUE"""),"Esta actividad  se ejecutó en un 100%, ")</f>
        <v>Esta actividad  se ejecutó en un 100%, </v>
      </c>
      <c r="AI132" s="80" t="str">
        <f>IFERROR(__xludf.DUMMYFUNCTION("""COMPUTED_VALUE"""),"https://drive.google.com/drive/folders/1hjyMP7Pk9pqiaxEP-lO2k6sHJgCAp_5W?usp=sharing")</f>
        <v>https://drive.google.com/drive/folders/1hjyMP7Pk9pqiaxEP-lO2k6sHJgCAp_5W?usp=sharing</v>
      </c>
      <c r="AJ132" s="60">
        <f>IFERROR(__xludf.DUMMYFUNCTION("""COMPUTED_VALUE"""),44396.0)</f>
        <v>44396</v>
      </c>
      <c r="AK132" s="61" t="str">
        <f>IFERROR(IF((AL132+1)&lt;2,Alertas!$B$2&amp;TEXT(AL132,"0%")&amp;Alertas!$D$2, IF((AL132+1)=2,Alertas!$B$3,IF((AL132+1)&gt;2,Alertas!$B$4&amp;TEXT(AL132,"0%")&amp;Alertas!$D$4,AL132+1))),"Sin meta para el segundo trimestre")</f>
        <v>La ejecución de la meta registrada se encuentra acorde a la meta programada en la formulación del plan de acción para el segundo trimestre</v>
      </c>
      <c r="AL132" s="62">
        <f t="shared" si="2"/>
        <v>1</v>
      </c>
      <c r="AM132" s="61" t="str">
        <f t="shared" si="3"/>
        <v>La ejecución de la meta registrada se encuentra acorde a la meta programada en la formulación del plan de acción para el segundo trimestre.</v>
      </c>
      <c r="AN132" s="63"/>
      <c r="AO132" s="64"/>
      <c r="AP132" s="65"/>
      <c r="AQ132" s="65"/>
      <c r="AR132" s="66"/>
      <c r="AS132" s="67"/>
      <c r="AT132" s="68"/>
      <c r="AU132" s="63"/>
      <c r="AV132" s="64"/>
      <c r="AW132" s="69"/>
      <c r="AX132" s="65"/>
      <c r="AY132" s="70"/>
      <c r="AZ132" s="71"/>
      <c r="BA132" s="72"/>
      <c r="BB132" s="73"/>
      <c r="BC132" s="64"/>
      <c r="BD132" s="69"/>
      <c r="BE132" s="65"/>
      <c r="BF132" s="66"/>
      <c r="BG132" s="71"/>
      <c r="BH132" s="72"/>
      <c r="BI132" s="74"/>
      <c r="BK132" s="5" t="str">
        <f t="shared" si="23"/>
        <v>0</v>
      </c>
      <c r="BM132" s="5"/>
    </row>
    <row r="133" ht="37.5" customHeight="1">
      <c r="A133" s="45"/>
      <c r="B133" s="46">
        <f>IFERROR(__xludf.DUMMYFUNCTION("""COMPUTED_VALUE"""),131.0)</f>
        <v>131</v>
      </c>
      <c r="C133" s="47" t="str">
        <f>IFERROR(__xludf.DUMMYFUNCTION("""COMPUTED_VALUE"""),"Gestión de la información y generación del conocimiento")</f>
        <v>Gestión de la información y generación del conocimiento</v>
      </c>
      <c r="D133" s="48" t="str">
        <f>IFERROR(__xludf.DUMMYFUNCTION("""COMPUTED_VALUE"""),"Regional Cali")</f>
        <v>Regional Cali</v>
      </c>
      <c r="E133"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3" s="49">
        <f>IFERROR(__xludf.DUMMYFUNCTION("""COMPUTED_VALUE"""),2.019011000277E12)</f>
        <v>2019011000277</v>
      </c>
      <c r="G133" s="50" t="str">
        <f>IFERROR(__xludf.DUMMYFUNCTION("""COMPUTED_VALUE"""),"Investigación")</f>
        <v>Investigación</v>
      </c>
      <c r="H133"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3" s="48" t="str">
        <f>IFERROR(__xludf.DUMMYFUNCTION("""COMPUTED_VALUE"""),"Documentos de investigación")</f>
        <v>Documentos de investigación</v>
      </c>
      <c r="J133" s="48" t="str">
        <f>IFERROR(__xludf.DUMMYFUNCTION("""COMPUTED_VALUE"""),"Documentos de investigación")</f>
        <v>Documentos de investigación</v>
      </c>
      <c r="K133" s="51" t="str">
        <f>IFERROR(__xludf.DUMMYFUNCTION("""COMPUTED_VALUE"""),"Gestión del área")</f>
        <v>Gestión del área</v>
      </c>
      <c r="L133" s="51" t="str">
        <f>IFERROR(__xludf.DUMMYFUNCTION("""COMPUTED_VALUE"""),"Eficacia")</f>
        <v>Eficacia</v>
      </c>
      <c r="M133" s="51" t="str">
        <f>IFERROR(__xludf.DUMMYFUNCTION("""COMPUTED_VALUE"""),"Número")</f>
        <v>Número</v>
      </c>
      <c r="N133" s="52" t="str">
        <f>IFERROR(__xludf.DUMMYFUNCTION("""COMPUTED_VALUE"""),"Reportes de monitoreo que aportan a documentos de investigación")</f>
        <v>Reportes de monitoreo que aportan a documentos de investigación</v>
      </c>
      <c r="O133" s="53"/>
      <c r="P133" s="54">
        <f>IFERROR(__xludf.DUMMYFUNCTION("""COMPUTED_VALUE"""),70.0)</f>
        <v>70</v>
      </c>
      <c r="Q133" s="55" t="str">
        <f>IFERROR(__xludf.DUMMYFUNCTION("""COMPUTED_VALUE"""),"Realizar visitas a plantas de proceso  para la recopilación de información  de Talla y Peso  del recurso Camarón blanco (L. penaeus spp )proveniente de  la pesca artesanal
")</f>
        <v>Realizar visitas a plantas de proceso  para la recopilación de información  de Talla y Peso  del recurso Camarón blanco (L. penaeus spp )proveniente de  la pesca artesanal
</v>
      </c>
      <c r="R133" s="14" t="str">
        <f>IFERROR(__xludf.DUMMYFUNCTION("""COMPUTED_VALUE"""),"Trimestral")</f>
        <v>Trimestral</v>
      </c>
      <c r="S133" s="54">
        <f>IFERROR(__xludf.DUMMYFUNCTION("""COMPUTED_VALUE"""),7.0)</f>
        <v>7</v>
      </c>
      <c r="T133" s="54">
        <f>IFERROR(__xludf.DUMMYFUNCTION("""COMPUTED_VALUE"""),17.0)</f>
        <v>17</v>
      </c>
      <c r="U133" s="54">
        <f>IFERROR(__xludf.DUMMYFUNCTION("""COMPUTED_VALUE"""),26.0)</f>
        <v>26</v>
      </c>
      <c r="V133" s="54">
        <f>IFERROR(__xludf.DUMMYFUNCTION("""COMPUTED_VALUE"""),20.0)</f>
        <v>20</v>
      </c>
      <c r="W133" s="56" t="str">
        <f>IFERROR(__xludf.DUMMYFUNCTION("""COMPUTED_VALUE"""),"Regional Cali")</f>
        <v>Regional Cali</v>
      </c>
      <c r="X133" s="57" t="str">
        <f>IFERROR(__xludf.DUMMYFUNCTION("""COMPUTED_VALUE"""),"Sandra Amgulo")</f>
        <v>Sandra Amgulo</v>
      </c>
      <c r="Y133" s="47" t="str">
        <f>IFERROR(__xludf.DUMMYFUNCTION("""COMPUTED_VALUE"""),"Director Regional")</f>
        <v>Director Regional</v>
      </c>
      <c r="Z133" s="57" t="str">
        <f>IFERROR(__xludf.DUMMYFUNCTION("""COMPUTED_VALUE"""),"sandra.angulo@aunap.gov.co")</f>
        <v>sandra.angulo@aunap.gov.co</v>
      </c>
      <c r="AA133" s="47" t="str">
        <f>IFERROR(__xludf.DUMMYFUNCTION("""COMPUTED_VALUE"""),"Humanos, fisicos, financieros y tecnologicos")</f>
        <v>Humanos, fisicos, financieros y tecnologicos</v>
      </c>
      <c r="AB133" s="47" t="str">
        <f>IFERROR(__xludf.DUMMYFUNCTION("""COMPUTED_VALUE"""),"No asociado")</f>
        <v>No asociado</v>
      </c>
      <c r="AC13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3" s="47" t="str">
        <f>IFERROR(__xludf.DUMMYFUNCTION("""COMPUTED_VALUE"""),"Gestión del conocimiento")</f>
        <v>Gestión del conocimiento</v>
      </c>
      <c r="AE133" s="47" t="str">
        <f>IFERROR(__xludf.DUMMYFUNCTION("""COMPUTED_VALUE"""),"Gestión del Conocimiento y la Innovación")</f>
        <v>Gestión del Conocimiento y la Innovación</v>
      </c>
      <c r="AF133" s="47" t="str">
        <f>IFERROR(__xludf.DUMMYFUNCTION("""COMPUTED_VALUE"""),"12. Producción y consumo responsable")</f>
        <v>12. Producción y consumo responsable</v>
      </c>
      <c r="AG133" s="58">
        <f>IFERROR(__xludf.DUMMYFUNCTION("""COMPUTED_VALUE"""),23.0)</f>
        <v>23</v>
      </c>
      <c r="AH133" s="59" t="str">
        <f>IFERROR(__xludf.DUMMYFUNCTION("""COMPUTED_VALUE"""),"Esta  actividad se supero e en un 123% , ya que durante este periodo se presentaron volumenes considerables  durante  los desembarcos de camarón provenientes de las faenas de pesca artesanal, aportando al seguimiento de estructura de tallas, peso  y Sexo "&amp;"de este importante recurso. ")</f>
        <v>Esta  actividad se supero e en un 123% , ya que durante este periodo se presentaron volumenes considerables  durante  los desembarcos de camarón provenientes de las faenas de pesca artesanal, aportando al seguimiento de estructura de tallas, peso  y Sexo de este importante recurso. </v>
      </c>
      <c r="AI133" s="80" t="str">
        <f>IFERROR(__xludf.DUMMYFUNCTION("""COMPUTED_VALUE"""),"https://drive.google.com/file/d/15n1x8LMBLaJ-7fPUTdeOx-cF_snk9riu/view?usp=sharing")</f>
        <v>https://drive.google.com/file/d/15n1x8LMBLaJ-7fPUTdeOx-cF_snk9riu/view?usp=sharing</v>
      </c>
      <c r="AJ133" s="60">
        <f>IFERROR(__xludf.DUMMYFUNCTION("""COMPUTED_VALUE"""),44396.0)</f>
        <v>44396</v>
      </c>
      <c r="AK133" s="61" t="str">
        <f>IFERROR(IF((AL133+1)&lt;2,Alertas!$B$2&amp;TEXT(AL133,"0%")&amp;Alertas!$D$2, IF((AL133+1)=2,Alertas!$B$3,IF((AL133+1)&gt;2,Alertas!$B$4&amp;TEXT(AL133,"0%")&amp;Alertas!$D$4,AL133+1))),"Sin meta para el segundo trimestre")</f>
        <v>La ejecución de la meta registrada se encuentra por encima de la meta programada en la formulación del plan de acción para el segundo trimestre, su porcentaje de cumplimiento es 135%,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33" s="62">
        <f t="shared" si="2"/>
        <v>1.352941176</v>
      </c>
      <c r="AM133" s="61" t="str">
        <f t="shared" si="3"/>
        <v>La ejecución de la meta registrada se encuentra por encima de la meta programada en la formulación del plan de acción para el segundo trimestre, su porcentaje de cumplimiento es 135%,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33" s="63"/>
      <c r="AO133" s="64"/>
      <c r="AP133" s="65"/>
      <c r="AQ133" s="65"/>
      <c r="AR133" s="66"/>
      <c r="AS133" s="67"/>
      <c r="AT133" s="68"/>
      <c r="AU133" s="63"/>
      <c r="AV133" s="64"/>
      <c r="AW133" s="69"/>
      <c r="AX133" s="65"/>
      <c r="AY133" s="70"/>
      <c r="AZ133" s="71"/>
      <c r="BA133" s="72"/>
      <c r="BB133" s="73"/>
      <c r="BC133" s="64"/>
      <c r="BD133" s="69"/>
      <c r="BE133" s="65"/>
      <c r="BF133" s="66"/>
      <c r="BG133" s="71"/>
      <c r="BH133" s="72"/>
      <c r="BI133" s="74"/>
      <c r="BK133" s="5" t="str">
        <f t="shared" si="23"/>
        <v>1</v>
      </c>
      <c r="BM133" s="5"/>
    </row>
    <row r="134" ht="37.5" customHeight="1">
      <c r="A134" s="45"/>
      <c r="B134" s="46">
        <f>IFERROR(__xludf.DUMMYFUNCTION("""COMPUTED_VALUE"""),132.0)</f>
        <v>132</v>
      </c>
      <c r="C134" s="47" t="str">
        <f>IFERROR(__xludf.DUMMYFUNCTION("""COMPUTED_VALUE"""),"Gestión de la información y generación del conocimiento")</f>
        <v>Gestión de la información y generación del conocimiento</v>
      </c>
      <c r="D134" s="48" t="str">
        <f>IFERROR(__xludf.DUMMYFUNCTION("""COMPUTED_VALUE"""),"Regional Cali")</f>
        <v>Regional Cali</v>
      </c>
      <c r="E134"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4" s="49">
        <f>IFERROR(__xludf.DUMMYFUNCTION("""COMPUTED_VALUE"""),2.019011000277E12)</f>
        <v>2019011000277</v>
      </c>
      <c r="G134" s="50" t="str">
        <f>IFERROR(__xludf.DUMMYFUNCTION("""COMPUTED_VALUE"""),"Investigación")</f>
        <v>Investigación</v>
      </c>
      <c r="H134"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4" s="48" t="str">
        <f>IFERROR(__xludf.DUMMYFUNCTION("""COMPUTED_VALUE"""),"Documentos de investigación")</f>
        <v>Documentos de investigación</v>
      </c>
      <c r="J134" s="48" t="str">
        <f>IFERROR(__xludf.DUMMYFUNCTION("""COMPUTED_VALUE"""),"Documentos de investigación")</f>
        <v>Documentos de investigación</v>
      </c>
      <c r="K134" s="51" t="str">
        <f>IFERROR(__xludf.DUMMYFUNCTION("""COMPUTED_VALUE"""),"Gestión del área")</f>
        <v>Gestión del área</v>
      </c>
      <c r="L134" s="51" t="str">
        <f>IFERROR(__xludf.DUMMYFUNCTION("""COMPUTED_VALUE"""),"Eficacia")</f>
        <v>Eficacia</v>
      </c>
      <c r="M134" s="51" t="str">
        <f>IFERROR(__xludf.DUMMYFUNCTION("""COMPUTED_VALUE"""),"Número")</f>
        <v>Número</v>
      </c>
      <c r="N134" s="52" t="str">
        <f>IFERROR(__xludf.DUMMYFUNCTION("""COMPUTED_VALUE"""),"Reportes de monitoreo que aportan a documentos de investigación")</f>
        <v>Reportes de monitoreo que aportan a documentos de investigación</v>
      </c>
      <c r="O134" s="53"/>
      <c r="P134" s="54">
        <f>IFERROR(__xludf.DUMMYFUNCTION("""COMPUTED_VALUE"""),19.0)</f>
        <v>19</v>
      </c>
      <c r="Q134" s="55" t="str">
        <f>IFERROR(__xludf.DUMMYFUNCTION("""COMPUTED_VALUE"""),"Realizar salidas de campo  para la recopilación de información biológica pesquera.sel recurso piangua (anadara)
")</f>
        <v>Realizar salidas de campo  para la recopilación de información biológica pesquera.sel recurso piangua (anadara)
</v>
      </c>
      <c r="R134" s="14" t="str">
        <f>IFERROR(__xludf.DUMMYFUNCTION("""COMPUTED_VALUE"""),"Trimestral")</f>
        <v>Trimestral</v>
      </c>
      <c r="S134" s="54">
        <f>IFERROR(__xludf.DUMMYFUNCTION("""COMPUTED_VALUE"""),2.0)</f>
        <v>2</v>
      </c>
      <c r="T134" s="54">
        <f>IFERROR(__xludf.DUMMYFUNCTION("""COMPUTED_VALUE"""),5.0)</f>
        <v>5</v>
      </c>
      <c r="U134" s="54">
        <f>IFERROR(__xludf.DUMMYFUNCTION("""COMPUTED_VALUE"""),6.0)</f>
        <v>6</v>
      </c>
      <c r="V134" s="54">
        <f>IFERROR(__xludf.DUMMYFUNCTION("""COMPUTED_VALUE"""),6.0)</f>
        <v>6</v>
      </c>
      <c r="W134" s="56" t="str">
        <f>IFERROR(__xludf.DUMMYFUNCTION("""COMPUTED_VALUE"""),"Regional Cali")</f>
        <v>Regional Cali</v>
      </c>
      <c r="X134" s="57" t="str">
        <f>IFERROR(__xludf.DUMMYFUNCTION("""COMPUTED_VALUE"""),"Sandra Amgulo")</f>
        <v>Sandra Amgulo</v>
      </c>
      <c r="Y134" s="47" t="str">
        <f>IFERROR(__xludf.DUMMYFUNCTION("""COMPUTED_VALUE"""),"Director Regional")</f>
        <v>Director Regional</v>
      </c>
      <c r="Z134" s="57" t="str">
        <f>IFERROR(__xludf.DUMMYFUNCTION("""COMPUTED_VALUE"""),"sandra.angulo@aunap.gov.co")</f>
        <v>sandra.angulo@aunap.gov.co</v>
      </c>
      <c r="AA134" s="47" t="str">
        <f>IFERROR(__xludf.DUMMYFUNCTION("""COMPUTED_VALUE"""),"Humanos, fisicos, financieros y tecnologicos")</f>
        <v>Humanos, fisicos, financieros y tecnologicos</v>
      </c>
      <c r="AB134" s="47" t="str">
        <f>IFERROR(__xludf.DUMMYFUNCTION("""COMPUTED_VALUE"""),"No asociado")</f>
        <v>No asociado</v>
      </c>
      <c r="AC13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4" s="47" t="str">
        <f>IFERROR(__xludf.DUMMYFUNCTION("""COMPUTED_VALUE"""),"Gestión del conocimiento")</f>
        <v>Gestión del conocimiento</v>
      </c>
      <c r="AE134" s="47" t="str">
        <f>IFERROR(__xludf.DUMMYFUNCTION("""COMPUTED_VALUE"""),"Gestión del Conocimiento y la Innovación")</f>
        <v>Gestión del Conocimiento y la Innovación</v>
      </c>
      <c r="AF134" s="47" t="str">
        <f>IFERROR(__xludf.DUMMYFUNCTION("""COMPUTED_VALUE"""),"12. Producción y consumo responsable")</f>
        <v>12. Producción y consumo responsable</v>
      </c>
      <c r="AG134" s="58">
        <f>IFERROR(__xludf.DUMMYFUNCTION("""COMPUTED_VALUE"""),5.0)</f>
        <v>5</v>
      </c>
      <c r="AH134" s="59" t="str">
        <f>IFERROR(__xludf.DUMMYFUNCTION("""COMPUTED_VALUE"""),"Esta actividad  se ejecutó en un 100%,")</f>
        <v>Esta actividad  se ejecutó en un 100%,</v>
      </c>
      <c r="AI134" s="80" t="str">
        <f>IFERROR(__xludf.DUMMYFUNCTION("""COMPUTED_VALUE"""),"https://drive.google.com/file/d/1AoUSa1d317GU9CsS8X2lWy7otre1Er0Q/view?usp=sharing")</f>
        <v>https://drive.google.com/file/d/1AoUSa1d317GU9CsS8X2lWy7otre1Er0Q/view?usp=sharing</v>
      </c>
      <c r="AJ134" s="60">
        <f>IFERROR(__xludf.DUMMYFUNCTION("""COMPUTED_VALUE"""),44396.0)</f>
        <v>44396</v>
      </c>
      <c r="AK134" s="61" t="str">
        <f>IFERROR(IF((AL134+1)&lt;2,Alertas!$B$2&amp;TEXT(AL134,"0%")&amp;Alertas!$D$2, IF((AL134+1)=2,Alertas!$B$3,IF((AL134+1)&gt;2,Alertas!$B$4&amp;TEXT(AL134,"0%")&amp;Alertas!$D$4,AL134+1))),"Sin meta para el segundo trimestre")</f>
        <v>La ejecución de la meta registrada se encuentra acorde a la meta programada en la formulación del plan de acción para el segundo trimestre</v>
      </c>
      <c r="AL134" s="62">
        <f t="shared" si="2"/>
        <v>1</v>
      </c>
      <c r="AM134" s="61" t="str">
        <f t="shared" si="3"/>
        <v>La ejecución de la meta registrada se encuentra acorde a la meta programada en la formulación del plan de acción para el segundo trimestre.</v>
      </c>
      <c r="AN134" s="63"/>
      <c r="AO134" s="64"/>
      <c r="AP134" s="65"/>
      <c r="AQ134" s="65"/>
      <c r="AR134" s="66"/>
      <c r="AS134" s="67"/>
      <c r="AT134" s="68"/>
      <c r="AU134" s="63"/>
      <c r="AV134" s="64"/>
      <c r="AW134" s="69"/>
      <c r="AX134" s="65"/>
      <c r="AY134" s="70"/>
      <c r="AZ134" s="71"/>
      <c r="BA134" s="72"/>
      <c r="BB134" s="73"/>
      <c r="BC134" s="64"/>
      <c r="BD134" s="69"/>
      <c r="BE134" s="65"/>
      <c r="BF134" s="66"/>
      <c r="BG134" s="71"/>
      <c r="BH134" s="72"/>
      <c r="BI134" s="74"/>
      <c r="BK134" s="5" t="str">
        <f t="shared" si="23"/>
        <v>0</v>
      </c>
      <c r="BM134" s="5"/>
    </row>
    <row r="135" ht="37.5" customHeight="1">
      <c r="A135" s="45"/>
      <c r="B135" s="46">
        <f>IFERROR(__xludf.DUMMYFUNCTION("""COMPUTED_VALUE"""),133.0)</f>
        <v>133</v>
      </c>
      <c r="C135" s="47" t="str">
        <f>IFERROR(__xludf.DUMMYFUNCTION("""COMPUTED_VALUE"""),"Gestión de la inspección y vigilancia")</f>
        <v>Gestión de la inspección y vigilancia</v>
      </c>
      <c r="D135" s="48" t="str">
        <f>IFERROR(__xludf.DUMMYFUNCTION("""COMPUTED_VALUE"""),"Regional Magangué")</f>
        <v>Regional Magangué</v>
      </c>
      <c r="E13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35" s="49">
        <f>IFERROR(__xludf.DUMMYFUNCTION("""COMPUTED_VALUE"""),2.019011000276E12)</f>
        <v>2019011000276</v>
      </c>
      <c r="G135" s="50" t="str">
        <f>IFERROR(__xludf.DUMMYFUNCTION("""COMPUTED_VALUE"""),"Inspección")</f>
        <v>Inspección</v>
      </c>
      <c r="H135" s="48" t="str">
        <f>IFERROR(__xludf.DUMMYFUNCTION("""COMPUTED_VALUE"""),"Fortalecer los mecanismos de seguimiento y control de la actividad pesquera y de la acuicultura.")</f>
        <v>Fortalecer los mecanismos de seguimiento y control de la actividad pesquera y de la acuicultura.</v>
      </c>
      <c r="I135" s="48" t="str">
        <f>IFERROR(__xludf.DUMMYFUNCTION("""COMPUTED_VALUE"""),"Servicio de inspección, vigilancia y control de la pesca y la acuicultura")</f>
        <v>Servicio de inspección, vigilancia y control de la pesca y la acuicultura</v>
      </c>
      <c r="J135" s="48" t="str">
        <f>IFERROR(__xludf.DUMMYFUNCTION("""COMPUTED_VALUE"""),"Realizar los operativos de inspección, vigilancia y control.")</f>
        <v>Realizar los operativos de inspección, vigilancia y control.</v>
      </c>
      <c r="K135" s="51" t="str">
        <f>IFERROR(__xludf.DUMMYFUNCTION("""COMPUTED_VALUE"""),"Producto")</f>
        <v>Producto</v>
      </c>
      <c r="L135" s="51" t="str">
        <f>IFERROR(__xludf.DUMMYFUNCTION("""COMPUTED_VALUE"""),"Eficacia")</f>
        <v>Eficacia</v>
      </c>
      <c r="M135" s="51" t="str">
        <f>IFERROR(__xludf.DUMMYFUNCTION("""COMPUTED_VALUE"""),"Número")</f>
        <v>Número</v>
      </c>
      <c r="N135" s="52" t="str">
        <f>IFERROR(__xludf.DUMMYFUNCTION("""COMPUTED_VALUE"""),"Operativos de inspección, vigilancia y control realizados")</f>
        <v>Operativos de inspección, vigilancia y control realizados</v>
      </c>
      <c r="O135" s="53">
        <f>IFERROR(__xludf.DUMMYFUNCTION("""COMPUTED_VALUE"""),157.0)</f>
        <v>157</v>
      </c>
      <c r="P135" s="54">
        <f>IFERROR(__xludf.DUMMYFUNCTION("""COMPUTED_VALUE"""),240.0)</f>
        <v>240</v>
      </c>
      <c r="Q135" s="55" t="str">
        <f>IFERROR(__xludf.DUMMYFUNCTION("""COMPUTED_VALUE"""),"Realizar operativos de control")</f>
        <v>Realizar operativos de control</v>
      </c>
      <c r="R135" s="14" t="str">
        <f>IFERROR(__xludf.DUMMYFUNCTION("""COMPUTED_VALUE"""),"Trimestral")</f>
        <v>Trimestral</v>
      </c>
      <c r="S135" s="54">
        <f>IFERROR(__xludf.DUMMYFUNCTION("""COMPUTED_VALUE"""),40.0)</f>
        <v>40</v>
      </c>
      <c r="T135" s="54">
        <f>IFERROR(__xludf.DUMMYFUNCTION("""COMPUTED_VALUE"""),70.0)</f>
        <v>70</v>
      </c>
      <c r="U135" s="54">
        <f>IFERROR(__xludf.DUMMYFUNCTION("""COMPUTED_VALUE"""),70.0)</f>
        <v>70</v>
      </c>
      <c r="V135" s="54">
        <f>IFERROR(__xludf.DUMMYFUNCTION("""COMPUTED_VALUE"""),60.0)</f>
        <v>60</v>
      </c>
      <c r="W135" s="56" t="str">
        <f>IFERROR(__xludf.DUMMYFUNCTION("""COMPUTED_VALUE"""),"Regional Magangue")</f>
        <v>Regional Magangue</v>
      </c>
      <c r="X135" s="57" t="str">
        <f>IFERROR(__xludf.DUMMYFUNCTION("""COMPUTED_VALUE"""),"Javier Ovalle")</f>
        <v>Javier Ovalle</v>
      </c>
      <c r="Y135" s="47" t="str">
        <f>IFERROR(__xludf.DUMMYFUNCTION("""COMPUTED_VALUE"""),"Director regional Magangue")</f>
        <v>Director regional Magangue</v>
      </c>
      <c r="Z135" s="57" t="str">
        <f>IFERROR(__xludf.DUMMYFUNCTION("""COMPUTED_VALUE"""),"javier.Ovalle@aunap.gov.co")</f>
        <v>javier.Ovalle@aunap.gov.co</v>
      </c>
      <c r="AA135" s="47" t="str">
        <f>IFERROR(__xludf.DUMMYFUNCTION("""COMPUTED_VALUE"""),"Humanos, Físicos, Financieros, Tecnológicos")</f>
        <v>Humanos, Físicos, Financieros, Tecnológicos</v>
      </c>
      <c r="AB135" s="47" t="str">
        <f>IFERROR(__xludf.DUMMYFUNCTION("""COMPUTED_VALUE"""),"Plan Anticorrupción y de Atención al Ciudadano - PAAC")</f>
        <v>Plan Anticorrupción y de Atención al Ciudadano - PAAC</v>
      </c>
      <c r="AC13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5" s="47" t="str">
        <f>IFERROR(__xludf.DUMMYFUNCTION("""COMPUTED_VALUE"""),"Direccionamiento Estratégico")</f>
        <v>Direccionamiento Estratégico</v>
      </c>
      <c r="AE135" s="47" t="str">
        <f>IFERROR(__xludf.DUMMYFUNCTION("""COMPUTED_VALUE"""),"Planeación Institucional")</f>
        <v>Planeación Institucional</v>
      </c>
      <c r="AF135" s="47" t="str">
        <f>IFERROR(__xludf.DUMMYFUNCTION("""COMPUTED_VALUE"""),"8. Trabajo decente y crecimiento económico")</f>
        <v>8. Trabajo decente y crecimiento económico</v>
      </c>
      <c r="AG135" s="58">
        <f>IFERROR(__xludf.DUMMYFUNCTION("""COMPUTED_VALUE"""),76.0)</f>
        <v>76</v>
      </c>
      <c r="AH135" s="59" t="str">
        <f>IFERROR(__xludf.DUMMYFUNCTION("""COMPUTED_VALUE"""),"En el segundo trimestre del 2021 se hizo un total de 76 operativos (45 operativos a Comerciantes, 15 operativos a embarcaciones, 13 operativos de decomiso y 3 operativos a Cultivo) Distribuidos asi: Mes de Abril: en total 12 operativos:, 4 a comerciantes "&amp;"Pesqueros, 1 a embarcaciones y 7 Operativos de Decomiso en los diferentes puertos de Magangue, Mompox, Achi . Mes de Mayo un total de 24 operativos: 5 Operativos de decomiso en los Puertos Magangue, 2 Operativos a embarcaciones y  17 Operativos a Comercia"&amp;"ntes. Mes de Junio un total de 40 Operativos: 3 operativos de Cultivo; 24 operativos a comerciantes y 1 operativos de Decomiso, en los diferentes puestos de control y puertos de desembarque.")</f>
        <v>En el segundo trimestre del 2021 se hizo un total de 76 operativos (45 operativos a Comerciantes, 15 operativos a embarcaciones, 13 operativos de decomiso y 3 operativos a Cultivo) Distribuidos asi: Mes de Abril: en total 12 operativos:, 4 a comerciantes Pesqueros, 1 a embarcaciones y 7 Operativos de Decomiso en los diferentes puertos de Magangue, Mompox, Achi . Mes de Mayo un total de 24 operativos: 5 Operativos de decomiso en los Puertos Magangue, 2 Operativos a embarcaciones y  17 Operativos a Comerciantes. Mes de Junio un total de 40 Operativos: 3 operativos de Cultivo; 24 operativos a comerciantes y 1 operativos de Decomiso, en los diferentes puestos de control y puertos de desembarque.</v>
      </c>
      <c r="AI135" s="80" t="str">
        <f>IFERROR(__xludf.DUMMYFUNCTION("""COMPUTED_VALUE"""),"https://drive.google.com/drive/folders/1Y_Hw3xO2847CBQTu6Wihw9l86tNrH-tW?usp=sharing")</f>
        <v>https://drive.google.com/drive/folders/1Y_Hw3xO2847CBQTu6Wihw9l86tNrH-tW?usp=sharing</v>
      </c>
      <c r="AJ135" s="60">
        <f>IFERROR(__xludf.DUMMYFUNCTION("""COMPUTED_VALUE"""),44396.0)</f>
        <v>44396</v>
      </c>
      <c r="AK135" s="61" t="str">
        <f>IFERROR(IF((AL135+1)&lt;2,Alertas!$B$2&amp;TEXT(AL135,"0%")&amp;Alertas!$D$2, IF((AL135+1)=2,Alertas!$B$3,IF((AL135+1)&gt;2,Alertas!$B$4&amp;TEXT(AL135,"0%")&amp;Alertas!$D$4,AL135+1))),"Sin meta para el segundo trimestre")</f>
        <v>La ejecución de la meta registrada se encuentra por encima de la meta programada en la formulación del plan de acción para el segundo trimestre, su porcentaje de cumplimiento es 109%,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35" s="62">
        <f t="shared" si="2"/>
        <v>1.085714286</v>
      </c>
      <c r="AM135" s="61" t="str">
        <f t="shared" si="3"/>
        <v>La ejecución de la meta registrada se encuentra por encima de la meta programada en la formulación del plan de acción para el segundo trimestre, su porcentaje de cumplimiento es 109%,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35" s="63"/>
      <c r="AO135" s="64"/>
      <c r="AP135" s="65"/>
      <c r="AQ135" s="65"/>
      <c r="AR135" s="66"/>
      <c r="AS135" s="67"/>
      <c r="AT135" s="68"/>
      <c r="AU135" s="63"/>
      <c r="AV135" s="64"/>
      <c r="AW135" s="69"/>
      <c r="AX135" s="65"/>
      <c r="AY135" s="70"/>
      <c r="AZ135" s="71"/>
      <c r="BA135" s="72"/>
      <c r="BB135" s="73"/>
      <c r="BC135" s="64"/>
      <c r="BD135" s="69"/>
      <c r="BE135" s="65"/>
      <c r="BF135" s="66"/>
      <c r="BG135" s="71"/>
      <c r="BH135" s="72"/>
      <c r="BI135" s="74"/>
      <c r="BK135" s="5" t="str">
        <f t="shared" si="23"/>
        <v>1</v>
      </c>
      <c r="BM135" s="5"/>
    </row>
    <row r="136" ht="37.5" customHeight="1">
      <c r="A136" s="45"/>
      <c r="B136" s="46">
        <f>IFERROR(__xludf.DUMMYFUNCTION("""COMPUTED_VALUE"""),134.0)</f>
        <v>134</v>
      </c>
      <c r="C136" s="47" t="str">
        <f>IFERROR(__xludf.DUMMYFUNCTION("""COMPUTED_VALUE"""),"Gestión de la administración y fomento")</f>
        <v>Gestión de la administración y fomento</v>
      </c>
      <c r="D136" s="48" t="str">
        <f>IFERROR(__xludf.DUMMYFUNCTION("""COMPUTED_VALUE"""),"Regional Magangué")</f>
        <v>Regional Magangué</v>
      </c>
      <c r="E136" s="48" t="str">
        <f>IFERROR(__xludf.DUMMYFUNCTION("""COMPUTED_VALUE"""),"Fortalecimiento de la sostenibilidad del sector pesquero y de la acuicultura en el territorio nacional")</f>
        <v>Fortalecimiento de la sostenibilidad del sector pesquero y de la acuicultura en el territorio nacional</v>
      </c>
      <c r="F136" s="49">
        <f>IFERROR(__xludf.DUMMYFUNCTION("""COMPUTED_VALUE"""),2.01901100028E12)</f>
        <v>2019011000280</v>
      </c>
      <c r="G136" s="50" t="str">
        <f>IFERROR(__xludf.DUMMYFUNCTION("""COMPUTED_VALUE"""),"Sostenibilidad")</f>
        <v>Sostenibilidad</v>
      </c>
      <c r="H136" s="48" t="str">
        <f>IFERROR(__xludf.DUMMYFUNCTION("""COMPUTED_VALUE"""),"Aumentar el conocimiento de la normatividad pesquera y de la acuicultura por parte de la comunidad.")</f>
        <v>Aumentar el conocimiento de la normatividad pesquera y de la acuicultura por parte de la comunidad.</v>
      </c>
      <c r="I136" s="48" t="str">
        <f>IFERROR(__xludf.DUMMYFUNCTION("""COMPUTED_VALUE"""),"Servicio de divulgación y socialización")</f>
        <v>Servicio de divulgación y socialización</v>
      </c>
      <c r="J136" s="48" t="str">
        <f>IFERROR(__xludf.DUMMYFUNCTION("""COMPUTED_VALUE"""),"Implementar las estrategias de socialización y Divulgación a la comunidad")</f>
        <v>Implementar las estrategias de socialización y Divulgación a la comunidad</v>
      </c>
      <c r="K136" s="51" t="str">
        <f>IFERROR(__xludf.DUMMYFUNCTION("""COMPUTED_VALUE"""),"Gestión del área")</f>
        <v>Gestión del área</v>
      </c>
      <c r="L136" s="51" t="str">
        <f>IFERROR(__xludf.DUMMYFUNCTION("""COMPUTED_VALUE"""),"Eficacia")</f>
        <v>Eficacia</v>
      </c>
      <c r="M136" s="51" t="str">
        <f>IFERROR(__xludf.DUMMYFUNCTION("""COMPUTED_VALUE"""),"Número")</f>
        <v>Número</v>
      </c>
      <c r="N136" s="52" t="str">
        <f>IFERROR(__xludf.DUMMYFUNCTION("""COMPUTED_VALUE"""),"Número de eventos realizados/Número de eventos programados")</f>
        <v>Número de eventos realizados/Número de eventos programados</v>
      </c>
      <c r="O136" s="53"/>
      <c r="P136" s="54">
        <f>IFERROR(__xludf.DUMMYFUNCTION("""COMPUTED_VALUE"""),60.0)</f>
        <v>60</v>
      </c>
      <c r="Q136" s="55" t="str">
        <f>IFERROR(__xludf.DUMMYFUNCTION("""COMPUTED_VALUE"""),"Numero de eventos de divulgacion y socializacion nivel nacional en pro de disminuir las malas practicas,en el ejercicio del control y vigilancia preventiva de la actividad pesquera y acuicula")</f>
        <v>Numero de eventos de divulgacion y socializacion nivel nacional en pro de disminuir las malas practicas,en el ejercicio del control y vigilancia preventiva de la actividad pesquera y acuicula</v>
      </c>
      <c r="R136" s="14" t="str">
        <f>IFERROR(__xludf.DUMMYFUNCTION("""COMPUTED_VALUE"""),"trimestral")</f>
        <v>trimestral</v>
      </c>
      <c r="S136" s="54">
        <f>IFERROR(__xludf.DUMMYFUNCTION("""COMPUTED_VALUE"""),10.0)</f>
        <v>10</v>
      </c>
      <c r="T136" s="54">
        <f>IFERROR(__xludf.DUMMYFUNCTION("""COMPUTED_VALUE"""),20.0)</f>
        <v>20</v>
      </c>
      <c r="U136" s="54">
        <f>IFERROR(__xludf.DUMMYFUNCTION("""COMPUTED_VALUE"""),20.0)</f>
        <v>20</v>
      </c>
      <c r="V136" s="54">
        <f>IFERROR(__xludf.DUMMYFUNCTION("""COMPUTED_VALUE"""),10.0)</f>
        <v>10</v>
      </c>
      <c r="W136" s="56" t="str">
        <f>IFERROR(__xludf.DUMMYFUNCTION("""COMPUTED_VALUE"""),"Regional Magangue")</f>
        <v>Regional Magangue</v>
      </c>
      <c r="X136" s="57" t="str">
        <f>IFERROR(__xludf.DUMMYFUNCTION("""COMPUTED_VALUE"""),"Javier Ovalle")</f>
        <v>Javier Ovalle</v>
      </c>
      <c r="Y136" s="47" t="str">
        <f>IFERROR(__xludf.DUMMYFUNCTION("""COMPUTED_VALUE"""),"Director regional Magangue")</f>
        <v>Director regional Magangue</v>
      </c>
      <c r="Z136" s="57" t="str">
        <f>IFERROR(__xludf.DUMMYFUNCTION("""COMPUTED_VALUE"""),"javier.Ovalle@aunap.gov.co")</f>
        <v>javier.Ovalle@aunap.gov.co</v>
      </c>
      <c r="AA136" s="47" t="str">
        <f>IFERROR(__xludf.DUMMYFUNCTION("""COMPUTED_VALUE"""),"Humanos, Físicos, Financieros, Tecnológicos")</f>
        <v>Humanos, Físicos, Financieros, Tecnológicos</v>
      </c>
      <c r="AB136" s="47" t="str">
        <f>IFERROR(__xludf.DUMMYFUNCTION("""COMPUTED_VALUE"""),"Plan Anticorrupción y de Atención al Ciudadano - PAAC")</f>
        <v>Plan Anticorrupción y de Atención al Ciudadano - PAAC</v>
      </c>
      <c r="AC136" s="47" t="str">
        <f>IFERROR(__xludf.DUMMYFUNCTION("""COMPUTED_VALUE"""),"Llegar con actividades de pesca y acuicultura a todas las regiones")</f>
        <v>Llegar con actividades de pesca y acuicultura a todas las regiones</v>
      </c>
      <c r="AD136" s="47" t="str">
        <f>IFERROR(__xludf.DUMMYFUNCTION("""COMPUTED_VALUE"""),"Gestión con valores para resultados")</f>
        <v>Gestión con valores para resultados</v>
      </c>
      <c r="AE136" s="47" t="str">
        <f>IFERROR(__xludf.DUMMYFUNCTION("""COMPUTED_VALUE"""),"Fortalecimiento Organizacional y Simplificación de Procesos")</f>
        <v>Fortalecimiento Organizacional y Simplificación de Procesos</v>
      </c>
      <c r="AF136" s="47" t="str">
        <f>IFERROR(__xludf.DUMMYFUNCTION("""COMPUTED_VALUE"""),"12. Producción y consumo responsable")</f>
        <v>12. Producción y consumo responsable</v>
      </c>
      <c r="AG136" s="58">
        <f>IFERROR(__xludf.DUMMYFUNCTION("""COMPUTED_VALUE"""),34.0)</f>
        <v>34</v>
      </c>
      <c r="AH136" s="59" t="str">
        <f>IFERROR(__xludf.DUMMYFUNCTION("""COMPUTED_VALUE"""),"Durante en segundo trimestre se realizo un total de 34 eventos de Divulgacion y socialización a Nivel Nacional en pro de malas Prácticas en el ejercicio del control y vigilancia a la actividad Pesquera y Acuícola distribuidos asi: Mes de Abril: se hizo un"&amp;" total de 9 charlas en divulgacion Pesquera en los municipios de Magangue 2, en Altos del Rosario 3, Pinillos 2 y en San Benito 2; . Mes de Mayo: total 25 de Eventos Divulgacion; 3 en el municipio de Magangue, 1 en Margarita , 1 en el Banco-Magdalena, 4 e"&amp;"n Cicuco, 4 en San Marcos, Guaranda 1, Achi 3, Pinillos 2, Regidor 1, Los Palmitos 1, Caimito 1, Barranco de Loba 1 Mompox 1 Cordoba Teton 1. Mes de Junio: no se realizo")</f>
        <v>Durante en segundo trimestre se realizo un total de 34 eventos de Divulgacion y socialización a Nivel Nacional en pro de malas Prácticas en el ejercicio del control y vigilancia a la actividad Pesquera y Acuícola distribuidos asi: Mes de Abril: se hizo un total de 9 charlas en divulgacion Pesquera en los municipios de Magangue 2, en Altos del Rosario 3, Pinillos 2 y en San Benito 2; . Mes de Mayo: total 25 de Eventos Divulgacion; 3 en el municipio de Magangue, 1 en Margarita , 1 en el Banco-Magdalena, 4 en Cicuco, 4 en San Marcos, Guaranda 1, Achi 3, Pinillos 2, Regidor 1, Los Palmitos 1, Caimito 1, Barranco de Loba 1 Mompox 1 Cordoba Teton 1. Mes de Junio: no se realizo</v>
      </c>
      <c r="AI136" s="80" t="str">
        <f>IFERROR(__xludf.DUMMYFUNCTION("""COMPUTED_VALUE"""),"https://drive.google.com/drive/folders/1JXn3WjkkCehEZqijNRw_8M8hZTN4Zhzw?usp=sharing")</f>
        <v>https://drive.google.com/drive/folders/1JXn3WjkkCehEZqijNRw_8M8hZTN4Zhzw?usp=sharing</v>
      </c>
      <c r="AJ136" s="60">
        <f>IFERROR(__xludf.DUMMYFUNCTION("""COMPUTED_VALUE"""),44396.0)</f>
        <v>44396</v>
      </c>
      <c r="AK136" s="61" t="str">
        <f>IFERROR(IF((AL136+1)&lt;2,Alertas!$B$2&amp;TEXT(AL136,"0%")&amp;Alertas!$D$2, IF((AL136+1)=2,Alertas!$B$3,IF((AL136+1)&gt;2,Alertas!$B$4&amp;TEXT(AL136,"0%")&amp;Alertas!$D$4,AL136+1))),"Sin meta para el segundo trimestre")</f>
        <v>La ejecución de la meta registrada se encuentra por encima de la meta programada en la formulación del plan de acción para el segundo trimestre, su porcentaje de cumplimiento es 170%,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36" s="62">
        <f t="shared" si="2"/>
        <v>1.7</v>
      </c>
      <c r="AM136" s="61" t="str">
        <f t="shared" si="3"/>
        <v>La ejecución de la meta registrada se encuentra por encima de la meta programada en la formulación del plan de acción para el segundo trimestre, su porcentaje de cumplimiento es 170%,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36" s="63"/>
      <c r="AO136" s="64"/>
      <c r="AP136" s="65"/>
      <c r="AQ136" s="65"/>
      <c r="AR136" s="66"/>
      <c r="AS136" s="67"/>
      <c r="AT136" s="68"/>
      <c r="AU136" s="63"/>
      <c r="AV136" s="64"/>
      <c r="AW136" s="69"/>
      <c r="AX136" s="65"/>
      <c r="AY136" s="70"/>
      <c r="AZ136" s="71"/>
      <c r="BA136" s="72"/>
      <c r="BB136" s="73"/>
      <c r="BC136" s="64"/>
      <c r="BD136" s="69"/>
      <c r="BE136" s="65"/>
      <c r="BF136" s="66"/>
      <c r="BG136" s="71"/>
      <c r="BH136" s="72"/>
      <c r="BI136" s="74"/>
      <c r="BK136" s="5" t="str">
        <f t="shared" si="23"/>
        <v>1</v>
      </c>
      <c r="BM136" s="5"/>
    </row>
    <row r="137" ht="37.5" customHeight="1">
      <c r="A137" s="45"/>
      <c r="B137" s="46">
        <f>IFERROR(__xludf.DUMMYFUNCTION("""COMPUTED_VALUE"""),135.0)</f>
        <v>135</v>
      </c>
      <c r="C137" s="47" t="str">
        <f>IFERROR(__xludf.DUMMYFUNCTION("""COMPUTED_VALUE"""),"Gestión de la administración y fomento")</f>
        <v>Gestión de la administración y fomento</v>
      </c>
      <c r="D137" s="48" t="str">
        <f>IFERROR(__xludf.DUMMYFUNCTION("""COMPUTED_VALUE"""),"Regional Magangué")</f>
        <v>Regional Magangué</v>
      </c>
      <c r="E137" s="48" t="str">
        <f>IFERROR(__xludf.DUMMYFUNCTION("""COMPUTED_VALUE"""),"Fortalecimiento de la sostenibilidad del sector pesquero y de la acuicultura en el territorio nacional")</f>
        <v>Fortalecimiento de la sostenibilidad del sector pesquero y de la acuicultura en el territorio nacional</v>
      </c>
      <c r="F137" s="49">
        <f>IFERROR(__xludf.DUMMYFUNCTION("""COMPUTED_VALUE"""),2.01901100028E12)</f>
        <v>2019011000280</v>
      </c>
      <c r="G137" s="50" t="str">
        <f>IFERROR(__xludf.DUMMYFUNCTION("""COMPUTED_VALUE"""),"Sostenibilidad")</f>
        <v>Sostenibilidad</v>
      </c>
      <c r="H137" s="48" t="str">
        <f>IFERROR(__xludf.DUMMYFUNCTION("""COMPUTED_VALUE"""),"Mejorar la explotación de los recursos pesqueros y de la acuicultura.")</f>
        <v>Mejorar la explotación de los recursos pesqueros y de la acuicultura.</v>
      </c>
      <c r="I137" s="48" t="str">
        <f>IFERROR(__xludf.DUMMYFUNCTION("""COMPUTED_VALUE"""),"Servicios de administración de los recurso pesqueros y de la acuicultura")</f>
        <v>Servicios de administración de los recurso pesqueros y de la acuicultura</v>
      </c>
      <c r="J137" s="48" t="str">
        <f>IFERROR(__xludf.DUMMYFUNCTION("""COMPUTED_VALUE"""),"Regular el manejo y el ejercicio de la actividad pesquera y de la acuicultura.")</f>
        <v>Regular el manejo y el ejercicio de la actividad pesquera y de la acuicultura.</v>
      </c>
      <c r="K137" s="51" t="str">
        <f>IFERROR(__xludf.DUMMYFUNCTION("""COMPUTED_VALUE"""),"Gestión del área")</f>
        <v>Gestión del área</v>
      </c>
      <c r="L137" s="51" t="str">
        <f>IFERROR(__xludf.DUMMYFUNCTION("""COMPUTED_VALUE"""),"Eficacia")</f>
        <v>Eficacia</v>
      </c>
      <c r="M137" s="51" t="str">
        <f>IFERROR(__xludf.DUMMYFUNCTION("""COMPUTED_VALUE"""),"Número")</f>
        <v>Número</v>
      </c>
      <c r="N137" s="52" t="str">
        <f>IFERROR(__xludf.DUMMYFUNCTION("""COMPUTED_VALUE"""),"Número de pescadores artesanales formalizados/Número de pescadores artesanales programados para formalizar")</f>
        <v>Número de pescadores artesanales formalizados/Número de pescadores artesanales programados para formalizar</v>
      </c>
      <c r="O137" s="53"/>
      <c r="P137" s="54">
        <f>IFERROR(__xludf.DUMMYFUNCTION("""COMPUTED_VALUE"""),3000.0)</f>
        <v>3000</v>
      </c>
      <c r="Q137" s="55" t="str">
        <f>IFERROR(__xludf.DUMMYFUNCTION("""COMPUTED_VALUE"""),"Numero de pescadores formalizados")</f>
        <v>Numero de pescadores formalizados</v>
      </c>
      <c r="R137" s="14" t="str">
        <f>IFERROR(__xludf.DUMMYFUNCTION("""COMPUTED_VALUE"""),"Trimestral")</f>
        <v>Trimestral</v>
      </c>
      <c r="S137" s="54">
        <f>IFERROR(__xludf.DUMMYFUNCTION("""COMPUTED_VALUE"""),400.0)</f>
        <v>400</v>
      </c>
      <c r="T137" s="54">
        <f>IFERROR(__xludf.DUMMYFUNCTION("""COMPUTED_VALUE"""),800.0)</f>
        <v>800</v>
      </c>
      <c r="U137" s="54">
        <f>IFERROR(__xludf.DUMMYFUNCTION("""COMPUTED_VALUE"""),1000.0)</f>
        <v>1000</v>
      </c>
      <c r="V137" s="54">
        <f>IFERROR(__xludf.DUMMYFUNCTION("""COMPUTED_VALUE"""),800.0)</f>
        <v>800</v>
      </c>
      <c r="W137" s="56" t="str">
        <f>IFERROR(__xludf.DUMMYFUNCTION("""COMPUTED_VALUE"""),"Regional Magangue")</f>
        <v>Regional Magangue</v>
      </c>
      <c r="X137" s="57" t="str">
        <f>IFERROR(__xludf.DUMMYFUNCTION("""COMPUTED_VALUE"""),"Javier Ovalle")</f>
        <v>Javier Ovalle</v>
      </c>
      <c r="Y137" s="47" t="str">
        <f>IFERROR(__xludf.DUMMYFUNCTION("""COMPUTED_VALUE"""),"Director regional Magangue")</f>
        <v>Director regional Magangue</v>
      </c>
      <c r="Z137" s="57" t="str">
        <f>IFERROR(__xludf.DUMMYFUNCTION("""COMPUTED_VALUE"""),"javier.Ovalle@aunap.gov.co")</f>
        <v>javier.Ovalle@aunap.gov.co</v>
      </c>
      <c r="AA137" s="47" t="str">
        <f>IFERROR(__xludf.DUMMYFUNCTION("""COMPUTED_VALUE"""),"Humanos, Físicos, Financieros, Tecnológicos")</f>
        <v>Humanos, Físicos, Financieros, Tecnológicos</v>
      </c>
      <c r="AB137" s="47" t="str">
        <f>IFERROR(__xludf.DUMMYFUNCTION("""COMPUTED_VALUE"""),"No asociado")</f>
        <v>No asociado</v>
      </c>
      <c r="AC137" s="47" t="str">
        <f>IFERROR(__xludf.DUMMYFUNCTION("""COMPUTED_VALUE"""),"Propiciar la formalización de la pesca y la acuicultura")</f>
        <v>Propiciar la formalización de la pesca y la acuicultura</v>
      </c>
      <c r="AD137" s="47" t="str">
        <f>IFERROR(__xludf.DUMMYFUNCTION("""COMPUTED_VALUE"""),"Gestión con valores para resultados")</f>
        <v>Gestión con valores para resultados</v>
      </c>
      <c r="AE137" s="47" t="str">
        <f>IFERROR(__xludf.DUMMYFUNCTION("""COMPUTED_VALUE"""),"Fortalecimiento Organizacional y Simplificación de Procesos")</f>
        <v>Fortalecimiento Organizacional y Simplificación de Procesos</v>
      </c>
      <c r="AF137" s="47" t="str">
        <f>IFERROR(__xludf.DUMMYFUNCTION("""COMPUTED_VALUE"""),"12. Producción y consumo responsable")</f>
        <v>12. Producción y consumo responsable</v>
      </c>
      <c r="AG137" s="58">
        <f>IFERROR(__xludf.DUMMYFUNCTION("""COMPUTED_VALUE"""),1089.0)</f>
        <v>1089</v>
      </c>
      <c r="AH137" s="59" t="str">
        <f>IFERROR(__xludf.DUMMYFUNCTION("""COMPUTED_VALUE"""),"El total de carnet en el segundo Trimestre fue de 1089 distribuidos as:. Mes de Abril: 406 Carnet; en los municipios de Montecristo 67, Cicuco 25, Magangue 120, Hatillo de Loba 1, San Jacinto 43, Mompox 63, San Martin de Loba 24, Talaigua 21, Margarita 26"&amp;" y San Fernando 16;  Mes de Mayo se hizo 517 CARNET: en los Municipios de Magangue 28, Margarita 52, San Benito 36, Cicuco 55, Montecristo 73, Altos del Rosario 56, San Marcos 22, Caimito 13, Barranco de Loba 18, Cordoba Teton 62, Pinillos 52 Talaigua Nue"&amp;"vo 37, Regidor 10, San Jacinto del Cauca 3; Mes de Junio un total de 166 Carnet en los municipios de Magangue 45, Talaigua Nuevo 40, Achi 10, Majagual 22, Guaranda 13, Santa Barbara de Pinto 35, Montecristo 1.  Durante este trimestre se aumento el numero "&amp;"de carnet, debido a la convocatoria de los Proyectos, algunos vencidos para este y solicitudes")</f>
        <v>El total de carnet en el segundo Trimestre fue de 1089 distribuidos as:. Mes de Abril: 406 Carnet; en los municipios de Montecristo 67, Cicuco 25, Magangue 120, Hatillo de Loba 1, San Jacinto 43, Mompox 63, San Martin de Loba 24, Talaigua 21, Margarita 26 y San Fernando 16;  Mes de Mayo se hizo 517 CARNET: en los Municipios de Magangue 28, Margarita 52, San Benito 36, Cicuco 55, Montecristo 73, Altos del Rosario 56, San Marcos 22, Caimito 13, Barranco de Loba 18, Cordoba Teton 62, Pinillos 52 Talaigua Nuevo 37, Regidor 10, San Jacinto del Cauca 3; Mes de Junio un total de 166 Carnet en los municipios de Magangue 45, Talaigua Nuevo 40, Achi 10, Majagual 22, Guaranda 13, Santa Barbara de Pinto 35, Montecristo 1.  Durante este trimestre se aumento el numero de carnet, debido a la convocatoria de los Proyectos, algunos vencidos para este y solicitudes</v>
      </c>
      <c r="AI137" s="80" t="str">
        <f>IFERROR(__xludf.DUMMYFUNCTION("""COMPUTED_VALUE"""),"https://drive.google.com/drive/folders/1hyTzou6SMrUgOpI6TIRPTnbW932ngynU?usp=sharing")</f>
        <v>https://drive.google.com/drive/folders/1hyTzou6SMrUgOpI6TIRPTnbW932ngynU?usp=sharing</v>
      </c>
      <c r="AJ137" s="60">
        <f>IFERROR(__xludf.DUMMYFUNCTION("""COMPUTED_VALUE"""),44396.0)</f>
        <v>44396</v>
      </c>
      <c r="AK137" s="61" t="str">
        <f>IFERROR(IF((AL137+1)&lt;2,Alertas!$B$2&amp;TEXT(AL137,"0%")&amp;Alertas!$D$2, IF((AL137+1)=2,Alertas!$B$3,IF((AL137+1)&gt;2,Alertas!$B$4&amp;TEXT(AL137,"0%")&amp;Alertas!$D$4,AL137+1))),"Sin meta para el segundo trimestre")</f>
        <v>La ejecución de la meta registrada se encuentra por encima de la meta programada en la formulación del plan de acción para el segundo trimestre, su porcentaje de cumplimiento es 136%,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37" s="62">
        <f t="shared" si="2"/>
        <v>1.36125</v>
      </c>
      <c r="AM137" s="61" t="str">
        <f t="shared" si="3"/>
        <v>La ejecución de la meta registrada se encuentra por encima de la meta programada en la formulación del plan de acción para el segundo trimestre, su porcentaje de cumplimiento es 136%,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37" s="63"/>
      <c r="AO137" s="64"/>
      <c r="AP137" s="65"/>
      <c r="AQ137" s="65"/>
      <c r="AR137" s="66"/>
      <c r="AS137" s="67"/>
      <c r="AT137" s="68"/>
      <c r="AU137" s="63"/>
      <c r="AV137" s="64"/>
      <c r="AW137" s="69"/>
      <c r="AX137" s="65"/>
      <c r="AY137" s="70"/>
      <c r="AZ137" s="71"/>
      <c r="BA137" s="72"/>
      <c r="BB137" s="73"/>
      <c r="BC137" s="64"/>
      <c r="BD137" s="69"/>
      <c r="BE137" s="65"/>
      <c r="BF137" s="66"/>
      <c r="BG137" s="71"/>
      <c r="BH137" s="72"/>
      <c r="BI137" s="74"/>
      <c r="BK137" s="5" t="str">
        <f t="shared" si="23"/>
        <v>1</v>
      </c>
      <c r="BM137" s="5"/>
    </row>
    <row r="138" ht="37.5" customHeight="1">
      <c r="A138" s="45"/>
      <c r="B138" s="46">
        <f>IFERROR(__xludf.DUMMYFUNCTION("""COMPUTED_VALUE"""),136.0)</f>
        <v>136</v>
      </c>
      <c r="C138" s="47" t="str">
        <f>IFERROR(__xludf.DUMMYFUNCTION("""COMPUTED_VALUE"""),"Gestión de la administración y fomento")</f>
        <v>Gestión de la administración y fomento</v>
      </c>
      <c r="D138" s="48" t="str">
        <f>IFERROR(__xludf.DUMMYFUNCTION("""COMPUTED_VALUE"""),"Regional Magangué")</f>
        <v>Regional Magangué</v>
      </c>
      <c r="E138" s="48" t="str">
        <f>IFERROR(__xludf.DUMMYFUNCTION("""COMPUTED_VALUE"""),"Fortalecimiento de la sostenibilidad del sector pesquero y de la acuicultura en el territorio nacional")</f>
        <v>Fortalecimiento de la sostenibilidad del sector pesquero y de la acuicultura en el territorio nacional</v>
      </c>
      <c r="F138" s="49">
        <f>IFERROR(__xludf.DUMMYFUNCTION("""COMPUTED_VALUE"""),2.01901100028E12)</f>
        <v>2019011000280</v>
      </c>
      <c r="G138" s="50" t="str">
        <f>IFERROR(__xludf.DUMMYFUNCTION("""COMPUTED_VALUE"""),"Sostenibilidad")</f>
        <v>Sostenibilidad</v>
      </c>
      <c r="H138" s="48" t="str">
        <f>IFERROR(__xludf.DUMMYFUNCTION("""COMPUTED_VALUE"""),"Mejorar las prácticas de pesca y de acuicultura.")</f>
        <v>Mejorar las prácticas de pesca y de acuicultura.</v>
      </c>
      <c r="I138" s="48" t="str">
        <f>IFERROR(__xludf.DUMMYFUNCTION("""COMPUTED_VALUE"""),"Servicios de apoyo al fomento de la pesca y la acuicultura")</f>
        <v>Servicios de apoyo al fomento de la pesca y la acuicultura</v>
      </c>
      <c r="J138" s="48" t="str">
        <f>IFERROR(__xludf.DUMMYFUNCTION("""COMPUTED_VALUE"""),"Generar acciones de fomento para la pesca, la acuicultura y sus actividades conexas.")</f>
        <v>Generar acciones de fomento para la pesca, la acuicultura y sus actividades conexas.</v>
      </c>
      <c r="K138" s="51" t="str">
        <f>IFERROR(__xludf.DUMMYFUNCTION("""COMPUTED_VALUE"""),"Gestión del área")</f>
        <v>Gestión del área</v>
      </c>
      <c r="L138" s="51" t="str">
        <f>IFERROR(__xludf.DUMMYFUNCTION("""COMPUTED_VALUE"""),"Eficacia")</f>
        <v>Eficacia</v>
      </c>
      <c r="M138" s="51" t="str">
        <f>IFERROR(__xludf.DUMMYFUNCTION("""COMPUTED_VALUE"""),"Número")</f>
        <v>Número</v>
      </c>
      <c r="N138" s="52" t="str">
        <f>IFERROR(__xludf.DUMMYFUNCTION("""COMPUTED_VALUE"""),"Organizaciones atendidas")</f>
        <v>Organizaciones atendidas</v>
      </c>
      <c r="O138" s="53"/>
      <c r="P138" s="54">
        <f>IFERROR(__xludf.DUMMYFUNCTION("""COMPUTED_VALUE"""),125.0)</f>
        <v>125</v>
      </c>
      <c r="Q138" s="55" t="str">
        <f>IFERROR(__xludf.DUMMYFUNCTION("""COMPUTED_VALUE"""),"Capacitacion a los grupos de interes en asociatividad y normatividad para el ejercicio de la acuicultura, pesca y actividades conexas")</f>
        <v>Capacitacion a los grupos de interes en asociatividad y normatividad para el ejercicio de la acuicultura, pesca y actividades conexas</v>
      </c>
      <c r="R138" s="14" t="str">
        <f>IFERROR(__xludf.DUMMYFUNCTION("""COMPUTED_VALUE"""),"Trimestral")</f>
        <v>Trimestral</v>
      </c>
      <c r="S138" s="54">
        <f>IFERROR(__xludf.DUMMYFUNCTION("""COMPUTED_VALUE"""),5.0)</f>
        <v>5</v>
      </c>
      <c r="T138" s="54">
        <f>IFERROR(__xludf.DUMMYFUNCTION("""COMPUTED_VALUE"""),40.0)</f>
        <v>40</v>
      </c>
      <c r="U138" s="54">
        <f>IFERROR(__xludf.DUMMYFUNCTION("""COMPUTED_VALUE"""),50.0)</f>
        <v>50</v>
      </c>
      <c r="V138" s="54">
        <f>IFERROR(__xludf.DUMMYFUNCTION("""COMPUTED_VALUE"""),30.0)</f>
        <v>30</v>
      </c>
      <c r="W138" s="56" t="str">
        <f>IFERROR(__xludf.DUMMYFUNCTION("""COMPUTED_VALUE"""),"Dirección Técnica de Administración y Fomento")</f>
        <v>Dirección Técnica de Administración y Fomento</v>
      </c>
      <c r="X138" s="57" t="str">
        <f>IFERROR(__xludf.DUMMYFUNCTION("""COMPUTED_VALUE"""),"John Jairo Restrepo")</f>
        <v>John Jairo Restrepo</v>
      </c>
      <c r="Y138" s="47" t="str">
        <f>IFERROR(__xludf.DUMMYFUNCTION("""COMPUTED_VALUE"""),"Director tecnico de Administracion y Fomento")</f>
        <v>Director tecnico de Administracion y Fomento</v>
      </c>
      <c r="Z138" s="57" t="str">
        <f>IFERROR(__xludf.DUMMYFUNCTION("""COMPUTED_VALUE"""),"jhon.restrepo@aunap.gov.co")</f>
        <v>jhon.restrepo@aunap.gov.co</v>
      </c>
      <c r="AA138" s="47" t="str">
        <f>IFERROR(__xludf.DUMMYFUNCTION("""COMPUTED_VALUE"""),"Humanos, Físicos, Financieros, Tecnológicos")</f>
        <v>Humanos, Físicos, Financieros, Tecnológicos</v>
      </c>
      <c r="AB138" s="47" t="str">
        <f>IFERROR(__xludf.DUMMYFUNCTION("""COMPUTED_VALUE"""),"No asociado")</f>
        <v>No asociado</v>
      </c>
      <c r="AC138" s="47" t="str">
        <f>IFERROR(__xludf.DUMMYFUNCTION("""COMPUTED_VALUE"""),"Propiciar la formalización de la pesca y la acuicultura")</f>
        <v>Propiciar la formalización de la pesca y la acuicultura</v>
      </c>
      <c r="AD138" s="47" t="str">
        <f>IFERROR(__xludf.DUMMYFUNCTION("""COMPUTED_VALUE"""),"Direccionamiento Estratégico")</f>
        <v>Direccionamiento Estratégico</v>
      </c>
      <c r="AE138" s="47" t="str">
        <f>IFERROR(__xludf.DUMMYFUNCTION("""COMPUTED_VALUE"""),"Fortalecimiento Organizacional y Simplificación de Procesos")</f>
        <v>Fortalecimiento Organizacional y Simplificación de Procesos</v>
      </c>
      <c r="AF138" s="47" t="str">
        <f>IFERROR(__xludf.DUMMYFUNCTION("""COMPUTED_VALUE"""),"8. Trabajo decente y crecimiento económico")</f>
        <v>8. Trabajo decente y crecimiento económico</v>
      </c>
      <c r="AG138" s="58">
        <f>IFERROR(__xludf.DUMMYFUNCTION("""COMPUTED_VALUE"""),41.0)</f>
        <v>41</v>
      </c>
      <c r="AH138" s="59" t="str">
        <f>IFERROR(__xludf.DUMMYFUNCTION("""COMPUTED_VALUE"""),"En total se realizaron 41 charlas a grupos de interes en Asociatividad y Normatividad para el ejercio de la Acuícultura, Pesca Artesanal y Actividades Conexas. Mes de Abril 9 distribuidos asi: 1 charla en el municipio de Magangue-ASAPESSBU, 1 en Mompox-AS"&amp;"OAGROCIGAVIPT; San Marcos 1 -CABILDO MONTEGRANDE,, Cicuco 1- ASOAPESCIBOL, Altos del Rosario 2-Asociación Productora Agropecuaria y Piscola Puerto Rosario-ASOPESPACHA, San Benito 1-ASOJEGUA, Pinillos 2-Asociacion Campesina en Acción-ASOCIACION DE AGRICULT"&amp;"ORES, GANADEROS Y PESCADORES DE LAS FLORES . Mes de MAYO: 10, en el municipio de  Cicuco 1-ASOMFRALO, San Marcos 1-ASOPECAM, Caimito- APASMA 1, Pinillos 5-ASOCAPESARBOL- ASOPESCARBOL-ASOPEPRO-Asociacion Campesinos en Acción-ASOPEARPA, Magangue1-AJOBEL, Co"&amp;"rdoba Teton 1-ASPAGRISCOR  Mes de Junio: total 22 en los municipios de Pinillos 3-ASOCIACION DE PESCADORES ARTESANALES DE PALOMINO-ASOPROVIC-CAMPESINOS EN ACCION, Mompox 1-ASOCIACION ISLA KIMBAY Y PALESTRA, Magangue 7-ASOCIACIÓN 14 DE FEBRERO DE PIÑALITO "&amp;"BOLIVAR-ASOPESLAD-ASOPESCO-ASOAGROPESBRIS-ASOPAGABRI-AGROPESTABO-JUNTA COMUNAL, San Marcos 1-ASOCIACION AGROPECUARIA Y ACUICOLA DE LA COSTA, Talaigua 1-ASOFAUE, Montecristo 3-AVINEZ-ASOPROVIESCON-ASOCUADERNO, San Fernando 1-ASOAPEDECHI, Cicuco 1-ASOPESIGR"&amp;"A, Santa Ana 1-FERPAM y el Banco 3 -ASOCIACION 12 DE OCTUBRE -AGROPESTABO-ASPABE")</f>
        <v>En total se realizaron 41 charlas a grupos de interes en Asociatividad y Normatividad para el ejercio de la Acuícultura, Pesca Artesanal y Actividades Conexas. Mes de Abril 9 distribuidos asi: 1 charla en el municipio de Magangue-ASAPESSBU, 1 en Mompox-ASOAGROCIGAVIPT; San Marcos 1 -CABILDO MONTEGRANDE,, Cicuco 1- ASOAPESCIBOL, Altos del Rosario 2-Asociación Productora Agropecuaria y Piscola Puerto Rosario-ASOPESPACHA, San Benito 1-ASOJEGUA, Pinillos 2-Asociacion Campesina en Acción-ASOCIACION DE AGRICULTORES, GANADEROS Y PESCADORES DE LAS FLORES . Mes de MAYO: 10, en el municipio de  Cicuco 1-ASOMFRALO, San Marcos 1-ASOPECAM, Caimito- APASMA 1, Pinillos 5-ASOCAPESARBOL- ASOPESCARBOL-ASOPEPRO-Asociacion Campesinos en Acción-ASOPEARPA, Magangue1-AJOBEL, Cordoba Teton 1-ASPAGRISCOR  Mes de Junio: total 22 en los municipios de Pinillos 3-ASOCIACION DE PESCADORES ARTESANALES DE PALOMINO-ASOPROVIC-CAMPESINOS EN ACCION, Mompox 1-ASOCIACION ISLA KIMBAY Y PALESTRA, Magangue 7-ASOCIACIÓN 14 DE FEBRERO DE PIÑALITO BOLIVAR-ASOPESLAD-ASOPESCO-ASOAGROPESBRIS-ASOPAGABRI-AGROPESTABO-JUNTA COMUNAL, San Marcos 1-ASOCIACION AGROPECUARIA Y ACUICOLA DE LA COSTA, Talaigua 1-ASOFAUE, Montecristo 3-AVINEZ-ASOPROVIESCON-ASOCUADERNO, San Fernando 1-ASOAPEDECHI, Cicuco 1-ASOPESIGRA, Santa Ana 1-FERPAM y el Banco 3 -ASOCIACION 12 DE OCTUBRE -AGROPESTABO-ASPABE</v>
      </c>
      <c r="AI138" s="80" t="str">
        <f>IFERROR(__xludf.DUMMYFUNCTION("""COMPUTED_VALUE"""),"https://drive.google.com/drive/folders/1Gcf9nkhGu8av3oO9f4gPItydJ75vV1pN?usp=sharing")</f>
        <v>https://drive.google.com/drive/folders/1Gcf9nkhGu8av3oO9f4gPItydJ75vV1pN?usp=sharing</v>
      </c>
      <c r="AJ138" s="60">
        <f>IFERROR(__xludf.DUMMYFUNCTION("""COMPUTED_VALUE"""),44396.0)</f>
        <v>44396</v>
      </c>
      <c r="AK138" s="61" t="str">
        <f>IFERROR(IF((AL138+1)&lt;2,Alertas!$B$2&amp;TEXT(AL138,"0%")&amp;Alertas!$D$2, IF((AL138+1)=2,Alertas!$B$3,IF((AL138+1)&gt;2,Alertas!$B$4&amp;TEXT(AL138,"0%")&amp;Alertas!$D$4,AL138+1))),"Sin meta para el segundo trimestre")</f>
        <v>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38" s="62">
        <f t="shared" si="2"/>
        <v>1.025</v>
      </c>
      <c r="AM138" s="61" t="str">
        <f t="shared" si="3"/>
        <v>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38" s="63"/>
      <c r="AO138" s="64"/>
      <c r="AP138" s="65"/>
      <c r="AQ138" s="65"/>
      <c r="AR138" s="66"/>
      <c r="AS138" s="67"/>
      <c r="AT138" s="68"/>
      <c r="AU138" s="63"/>
      <c r="AV138" s="64"/>
      <c r="AW138" s="69"/>
      <c r="AX138" s="65"/>
      <c r="AY138" s="70"/>
      <c r="AZ138" s="71"/>
      <c r="BA138" s="72"/>
      <c r="BB138" s="73"/>
      <c r="BC138" s="64"/>
      <c r="BD138" s="69"/>
      <c r="BE138" s="65"/>
      <c r="BF138" s="66"/>
      <c r="BG138" s="71"/>
      <c r="BH138" s="72"/>
      <c r="BI138" s="74"/>
      <c r="BK138" s="5" t="str">
        <f t="shared" si="23"/>
        <v>1</v>
      </c>
      <c r="BM138" s="5"/>
    </row>
    <row r="139" ht="37.5" customHeight="1">
      <c r="A139" s="45"/>
      <c r="B139" s="46">
        <f>IFERROR(__xludf.DUMMYFUNCTION("""COMPUTED_VALUE"""),137.0)</f>
        <v>137</v>
      </c>
      <c r="C139" s="47" t="str">
        <f>IFERROR(__xludf.DUMMYFUNCTION("""COMPUTED_VALUE"""),"Gestión de la administración y fomento")</f>
        <v>Gestión de la administración y fomento</v>
      </c>
      <c r="D139" s="48" t="str">
        <f>IFERROR(__xludf.DUMMYFUNCTION("""COMPUTED_VALUE"""),"Regional Magangué")</f>
        <v>Regional Magangué</v>
      </c>
      <c r="E139" s="48" t="str">
        <f>IFERROR(__xludf.DUMMYFUNCTION("""COMPUTED_VALUE"""),"Fortalecimiento de la sostenibilidad del sector pesquero y de la acuicultura en el territorio nacional")</f>
        <v>Fortalecimiento de la sostenibilidad del sector pesquero y de la acuicultura en el territorio nacional</v>
      </c>
      <c r="F139" s="49">
        <f>IFERROR(__xludf.DUMMYFUNCTION("""COMPUTED_VALUE"""),2.01901100028E12)</f>
        <v>2019011000280</v>
      </c>
      <c r="G139" s="50" t="str">
        <f>IFERROR(__xludf.DUMMYFUNCTION("""COMPUTED_VALUE"""),"Sostenibilidad")</f>
        <v>Sostenibilidad</v>
      </c>
      <c r="H139" s="48" t="str">
        <f>IFERROR(__xludf.DUMMYFUNCTION("""COMPUTED_VALUE"""),"Mejorar la explotación de los recursos pesqueros y de la acuicultura.")</f>
        <v>Mejorar la explotación de los recursos pesqueros y de la acuicultura.</v>
      </c>
      <c r="I139" s="48" t="str">
        <f>IFERROR(__xludf.DUMMYFUNCTION("""COMPUTED_VALUE"""),"Servicios de administración de los recurso pesqueros y de la acuicultura")</f>
        <v>Servicios de administración de los recurso pesqueros y de la acuicultura</v>
      </c>
      <c r="J139" s="48" t="str">
        <f>IFERROR(__xludf.DUMMYFUNCTION("""COMPUTED_VALUE"""),"Regular el manejo y el ejercicio de la actividad pesquera y de la acuicultura.")</f>
        <v>Regular el manejo y el ejercicio de la actividad pesquera y de la acuicultura.</v>
      </c>
      <c r="K139" s="51" t="str">
        <f>IFERROR(__xludf.DUMMYFUNCTION("""COMPUTED_VALUE"""),"Gestión del área")</f>
        <v>Gestión del área</v>
      </c>
      <c r="L139" s="51" t="str">
        <f>IFERROR(__xludf.DUMMYFUNCTION("""COMPUTED_VALUE"""),"Eficacia")</f>
        <v>Eficacia</v>
      </c>
      <c r="M139" s="51" t="str">
        <f>IFERROR(__xludf.DUMMYFUNCTION("""COMPUTED_VALUE"""),"Número")</f>
        <v>Número</v>
      </c>
      <c r="N139" s="52" t="str">
        <f>IFERROR(__xludf.DUMMYFUNCTION("""COMPUTED_VALUE"""),"Tramites Atendidos")</f>
        <v>Tramites Atendidos</v>
      </c>
      <c r="O139" s="53"/>
      <c r="P139" s="54">
        <f>IFERROR(__xludf.DUMMYFUNCTION("""COMPUTED_VALUE"""),30.0)</f>
        <v>30</v>
      </c>
      <c r="Q139" s="55" t="str">
        <f>IFERROR(__xludf.DUMMYFUNCTION("""COMPUTED_VALUE"""),"Regular el manejo y el ejercicio de la actividad pesquera y de la acuicultura")</f>
        <v>Regular el manejo y el ejercicio de la actividad pesquera y de la acuicultura</v>
      </c>
      <c r="R139" s="14" t="str">
        <f>IFERROR(__xludf.DUMMYFUNCTION("""COMPUTED_VALUE"""),"Trimestral")</f>
        <v>Trimestral</v>
      </c>
      <c r="S139" s="54">
        <f>IFERROR(__xludf.DUMMYFUNCTION("""COMPUTED_VALUE"""),5.0)</f>
        <v>5</v>
      </c>
      <c r="T139" s="54">
        <f>IFERROR(__xludf.DUMMYFUNCTION("""COMPUTED_VALUE"""),10.0)</f>
        <v>10</v>
      </c>
      <c r="U139" s="54">
        <f>IFERROR(__xludf.DUMMYFUNCTION("""COMPUTED_VALUE"""),10.0)</f>
        <v>10</v>
      </c>
      <c r="V139" s="54">
        <f>IFERROR(__xludf.DUMMYFUNCTION("""COMPUTED_VALUE"""),5.0)</f>
        <v>5</v>
      </c>
      <c r="W139" s="56" t="str">
        <f>IFERROR(__xludf.DUMMYFUNCTION("""COMPUTED_VALUE"""),"Regional Magangue")</f>
        <v>Regional Magangue</v>
      </c>
      <c r="X139" s="57" t="str">
        <f>IFERROR(__xludf.DUMMYFUNCTION("""COMPUTED_VALUE"""),"Javier Ovalle")</f>
        <v>Javier Ovalle</v>
      </c>
      <c r="Y139" s="47" t="str">
        <f>IFERROR(__xludf.DUMMYFUNCTION("""COMPUTED_VALUE"""),"Director regional Magangue")</f>
        <v>Director regional Magangue</v>
      </c>
      <c r="Z139" s="57" t="str">
        <f>IFERROR(__xludf.DUMMYFUNCTION("""COMPUTED_VALUE"""),"javier.Ovalle@aunap.gov.co")</f>
        <v>javier.Ovalle@aunap.gov.co</v>
      </c>
      <c r="AA139" s="47" t="str">
        <f>IFERROR(__xludf.DUMMYFUNCTION("""COMPUTED_VALUE"""),"Humanos, Físicos, Financieros, Tecnológicos")</f>
        <v>Humanos, Físicos, Financieros, Tecnológicos</v>
      </c>
      <c r="AB139" s="47" t="str">
        <f>IFERROR(__xludf.DUMMYFUNCTION("""COMPUTED_VALUE"""),"No asociado")</f>
        <v>No asociado</v>
      </c>
      <c r="AC13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9" s="47" t="str">
        <f>IFERROR(__xludf.DUMMYFUNCTION("""COMPUTED_VALUE"""),"Gestión con valores para resultados")</f>
        <v>Gestión con valores para resultados</v>
      </c>
      <c r="AE139" s="47" t="str">
        <f>IFERROR(__xludf.DUMMYFUNCTION("""COMPUTED_VALUE"""),"Fortalecimiento Organizacional y Simplificación de Procesos")</f>
        <v>Fortalecimiento Organizacional y Simplificación de Procesos</v>
      </c>
      <c r="AF139" s="47" t="str">
        <f>IFERROR(__xludf.DUMMYFUNCTION("""COMPUTED_VALUE"""),"12. Producción y consumo responsable")</f>
        <v>12. Producción y consumo responsable</v>
      </c>
      <c r="AG139" s="58">
        <f>IFERROR(__xludf.DUMMYFUNCTION("""COMPUTED_VALUE"""),9.0)</f>
        <v>9</v>
      </c>
      <c r="AH139" s="59" t="str">
        <f>IFERROR(__xludf.DUMMYFUNCTION("""COMPUTED_VALUE"""),"Durante el segundo trimestre la Regional Recepcionó 9 solicitudes de permisos distribuidos asi:
 Mes de Abril: 2 solicitudes de trámite de permisos, 1 de Pesca Artesanal con radicado No E2021DRM0000129 del 13/4/2021 a la ASOCIACION FAMJIFUR DE SAN FRANCIS"&amp;"CO DE LOBA-CICUCO y Resolucion No 1165 26/5/2021, 1 prorroga de Comercializacion a la Pesquera las Gemelas con Radicado No E2021DRM0000144 del 23/4/2021 y Resolucion No 891 de 4/5/2021; Mes de Mayo se recepciono 3 solicitudes de permisos de Pesca Comercia"&amp;"l Artesanal A las asociaciones( Asoagropesbris) con radicado No E2021DRM0000151 de 5/5/2021 y resolucion No 1060 19/5/2021; (Pesaguazo) con radicado No E2021DRM0000152 del 7/5/2021 y resolución No 1149 de 24/5/2021 y (Asomfralo) con radicado No E2021DRM00"&amp;"00153 del 7/5/2021 y Resolución No 1021 de 13/572021 y Mes de Junio: Se recepciono 4 solicitudes de permisos, 2 de solicitudes de Cultivo (Asofaque con radicado No E2021DRM0000182 de 11/6/2021 se envio concepto tecnico a Oficinas Central, pendiente por Re"&amp;"solucion, radicado No E2021DRM0000183 del 17/6/2021 Asaupat pendiente el pago de Tasas y derecho; y 2 de Pesca artesanal a la Asociacion Campesina del Corregimiento la Unión Pinillos con radicado No E2021DRM0000197 de 28/6/2021 en trámite y La asociacion "&amp;"Asopagabri con Radicado No E2021DRM0000198 del 30/6/2021 en trámite. Es de anotar que esta meta depende de la demanda de solicitudes ante la Regional")</f>
        <v>Durante el segundo trimestre la Regional Recepcionó 9 solicitudes de permisos distribuidos asi:
 Mes de Abril: 2 solicitudes de trámite de permisos, 1 de Pesca Artesanal con radicado No E2021DRM0000129 del 13/4/2021 a la ASOCIACION FAMJIFUR DE SAN FRANCISCO DE LOBA-CICUCO y Resolucion No 1165 26/5/2021, 1 prorroga de Comercializacion a la Pesquera las Gemelas con Radicado No E2021DRM0000144 del 23/4/2021 y Resolucion No 891 de 4/5/2021; Mes de Mayo se recepciono 3 solicitudes de permisos de Pesca Comercial Artesanal A las asociaciones( Asoagropesbris) con radicado No E2021DRM0000151 de 5/5/2021 y resolucion No 1060 19/5/2021; (Pesaguazo) con radicado No E2021DRM0000152 del 7/5/2021 y resolución No 1149 de 24/5/2021 y (Asomfralo) con radicado No E2021DRM0000153 del 7/5/2021 y Resolución No 1021 de 13/572021 y Mes de Junio: Se recepciono 4 solicitudes de permisos, 2 de solicitudes de Cultivo (Asofaque con radicado No E2021DRM0000182 de 11/6/2021 se envio concepto tecnico a Oficinas Central, pendiente por Resolucion, radicado No E2021DRM0000183 del 17/6/2021 Asaupat pendiente el pago de Tasas y derecho; y 2 de Pesca artesanal a la Asociacion Campesina del Corregimiento la Unión Pinillos con radicado No E2021DRM0000197 de 28/6/2021 en trámite y La asociacion Asopagabri con Radicado No E2021DRM0000198 del 30/6/2021 en trámite. Es de anotar que esta meta depende de la demanda de solicitudes ante la Regional</v>
      </c>
      <c r="AI139" s="80" t="str">
        <f>IFERROR(__xludf.DUMMYFUNCTION("""COMPUTED_VALUE"""),"https://drive.google.com/drive/folders/11ODZ9eXVCXpI4lWrMqS_hFI20r6uxYHc?usp=sharing")</f>
        <v>https://drive.google.com/drive/folders/11ODZ9eXVCXpI4lWrMqS_hFI20r6uxYHc?usp=sharing</v>
      </c>
      <c r="AJ139" s="60">
        <f>IFERROR(__xludf.DUMMYFUNCTION("""COMPUTED_VALUE"""),44396.0)</f>
        <v>44396</v>
      </c>
      <c r="AK139" s="61" t="str">
        <f>IFERROR(IF((AL139+1)&lt;2,Alertas!$B$2&amp;TEXT(AL139,"0%")&amp;Alertas!$D$2, IF((AL139+1)=2,Alertas!$B$3,IF((AL139+1)&gt;2,Alertas!$B$4&amp;TEXT(AL139,"0%")&amp;Alertas!$D$4,AL139+1))),"Sin meta para el segundo trimestre")</f>
        <v>La ejecución de la meta registrada se encuentra por debajo de la meta programada en la formulación del plan de acción para el segundo trimestre, su porcentaje de cumplimiento es 90%, lo cual indica un incumplimiento que puede ser entendido por los entes de control como falencias en el proceso de planeación y gestión de la dependencia. se recomienda realizar acciones para garantizar el cumplimiento de la meta durante lo que resta de vigencia</v>
      </c>
      <c r="AL139" s="62">
        <f t="shared" si="2"/>
        <v>0.9</v>
      </c>
      <c r="AM139" s="61" t="str">
        <f t="shared" si="3"/>
        <v>La ejecución de la meta registrada se encuentra por debajo de la meta programada en la formulación del plan de acción para el segundo trimestre, su porcentaje de cumplimiento es 90%, lo cual indica un incumplimiento que puede ser entendido por los entes de control como falencias en el proceso de planeación y gestión de la dependencia. se recomienda realizar acciones para garantizar el cumplimiento de la meta durante lo que resta de vigencia.</v>
      </c>
      <c r="AN139" s="63"/>
      <c r="AO139" s="64"/>
      <c r="AP139" s="65"/>
      <c r="AQ139" s="65"/>
      <c r="AR139" s="66"/>
      <c r="AS139" s="67"/>
      <c r="AT139" s="68"/>
      <c r="AU139" s="63"/>
      <c r="AV139" s="64"/>
      <c r="AW139" s="69"/>
      <c r="AX139" s="65"/>
      <c r="AY139" s="70"/>
      <c r="AZ139" s="71"/>
      <c r="BA139" s="72"/>
      <c r="BB139" s="73"/>
      <c r="BC139" s="64"/>
      <c r="BD139" s="69"/>
      <c r="BE139" s="65"/>
      <c r="BF139" s="66"/>
      <c r="BG139" s="71"/>
      <c r="BH139" s="72"/>
      <c r="BI139" s="74"/>
      <c r="BK139" s="5" t="str">
        <f t="shared" si="23"/>
        <v>-1</v>
      </c>
      <c r="BM139" s="5"/>
    </row>
    <row r="140" ht="37.5" customHeight="1">
      <c r="A140" s="45"/>
      <c r="B140" s="46">
        <f>IFERROR(__xludf.DUMMYFUNCTION("""COMPUTED_VALUE"""),138.0)</f>
        <v>138</v>
      </c>
      <c r="C140" s="47" t="str">
        <f>IFERROR(__xludf.DUMMYFUNCTION("""COMPUTED_VALUE"""),"Gestión de la administración y fomento")</f>
        <v>Gestión de la administración y fomento</v>
      </c>
      <c r="D140" s="48" t="str">
        <f>IFERROR(__xludf.DUMMYFUNCTION("""COMPUTED_VALUE"""),"Regional Magangué")</f>
        <v>Regional Magangué</v>
      </c>
      <c r="E140" s="48" t="str">
        <f>IFERROR(__xludf.DUMMYFUNCTION("""COMPUTED_VALUE"""),"Fortalecimiento de la sostenibilidad del sector pesquero y de la acuicultura en el territorio nacional")</f>
        <v>Fortalecimiento de la sostenibilidad del sector pesquero y de la acuicultura en el territorio nacional</v>
      </c>
      <c r="F140" s="49">
        <f>IFERROR(__xludf.DUMMYFUNCTION("""COMPUTED_VALUE"""),2.01901100028E12)</f>
        <v>2019011000280</v>
      </c>
      <c r="G140" s="50" t="str">
        <f>IFERROR(__xludf.DUMMYFUNCTION("""COMPUTED_VALUE"""),"Sostenibilidad")</f>
        <v>Sostenibilidad</v>
      </c>
      <c r="H140" s="48" t="str">
        <f>IFERROR(__xludf.DUMMYFUNCTION("""COMPUTED_VALUE"""),"Mejorar la explotación de los recursos pesqueros y de la acuicultura.")</f>
        <v>Mejorar la explotación de los recursos pesqueros y de la acuicultura.</v>
      </c>
      <c r="I140" s="48" t="str">
        <f>IFERROR(__xludf.DUMMYFUNCTION("""COMPUTED_VALUE"""),"Servicios de administración de los recurso pesqueros y de la acuicultura")</f>
        <v>Servicios de administración de los recurso pesqueros y de la acuicultura</v>
      </c>
      <c r="J140" s="48" t="str">
        <f>IFERROR(__xludf.DUMMYFUNCTION("""COMPUTED_VALUE"""),"Realizar acciones de divulgación y formalización de la actividad pesquera y de la acuicultura.")</f>
        <v>Realizar acciones de divulgación y formalización de la actividad pesquera y de la acuicultura.</v>
      </c>
      <c r="K140" s="51" t="str">
        <f>IFERROR(__xludf.DUMMYFUNCTION("""COMPUTED_VALUE"""),"Gestión")</f>
        <v>Gestión</v>
      </c>
      <c r="L140" s="51" t="str">
        <f>IFERROR(__xludf.DUMMYFUNCTION("""COMPUTED_VALUE"""),"Efectividad")</f>
        <v>Efectividad</v>
      </c>
      <c r="M140" s="51" t="str">
        <f>IFERROR(__xludf.DUMMYFUNCTION("""COMPUTED_VALUE"""),"Número")</f>
        <v>Número</v>
      </c>
      <c r="N140" s="52" t="str">
        <f>IFERROR(__xludf.DUMMYFUNCTION("""COMPUTED_VALUE"""),"Número de personas capacitadas / número de personas programadas")</f>
        <v>Número de personas capacitadas / número de personas programadas</v>
      </c>
      <c r="O140" s="53">
        <f>IFERROR(__xludf.DUMMYFUNCTION("""COMPUTED_VALUE"""),15.0)</f>
        <v>15</v>
      </c>
      <c r="P140" s="54">
        <f>IFERROR(__xludf.DUMMYFUNCTION("""COMPUTED_VALUE"""),3000.0)</f>
        <v>3000</v>
      </c>
      <c r="Q140" s="55" t="str">
        <f>IFERROR(__xludf.DUMMYFUNCTION("""COMPUTED_VALUE"""),"Numero de personas Capacitadas en Pesca y Acuícultura")</f>
        <v>Numero de personas Capacitadas en Pesca y Acuícultura</v>
      </c>
      <c r="R140" s="14" t="str">
        <f>IFERROR(__xludf.DUMMYFUNCTION("""COMPUTED_VALUE"""),"Trimestral")</f>
        <v>Trimestral</v>
      </c>
      <c r="S140" s="54">
        <f>IFERROR(__xludf.DUMMYFUNCTION("""COMPUTED_VALUE"""),350.0)</f>
        <v>350</v>
      </c>
      <c r="T140" s="54">
        <f>IFERROR(__xludf.DUMMYFUNCTION("""COMPUTED_VALUE"""),1000.0)</f>
        <v>1000</v>
      </c>
      <c r="U140" s="54">
        <f>IFERROR(__xludf.DUMMYFUNCTION("""COMPUTED_VALUE"""),1000.0)</f>
        <v>1000</v>
      </c>
      <c r="V140" s="54">
        <f>IFERROR(__xludf.DUMMYFUNCTION("""COMPUTED_VALUE"""),650.0)</f>
        <v>650</v>
      </c>
      <c r="W140" s="56" t="str">
        <f>IFERROR(__xludf.DUMMYFUNCTION("""COMPUTED_VALUE"""),"Dirección Técnica de Administración y Fomento")</f>
        <v>Dirección Técnica de Administración y Fomento</v>
      </c>
      <c r="X140" s="57" t="str">
        <f>IFERROR(__xludf.DUMMYFUNCTION("""COMPUTED_VALUE"""),"John Jairo Restrepo")</f>
        <v>John Jairo Restrepo</v>
      </c>
      <c r="Y140" s="47" t="str">
        <f>IFERROR(__xludf.DUMMYFUNCTION("""COMPUTED_VALUE"""),"Director tecnico de Administracion y Fomento")</f>
        <v>Director tecnico de Administracion y Fomento</v>
      </c>
      <c r="Z140" s="57" t="str">
        <f>IFERROR(__xludf.DUMMYFUNCTION("""COMPUTED_VALUE"""),"jhon.restrepo@aunap.gov.co")</f>
        <v>jhon.restrepo@aunap.gov.co</v>
      </c>
      <c r="AA140" s="47" t="str">
        <f>IFERROR(__xludf.DUMMYFUNCTION("""COMPUTED_VALUE"""),"Humanos, Físicos, Financieros, Tecnológicos")</f>
        <v>Humanos, Físicos, Financieros, Tecnológicos</v>
      </c>
      <c r="AB140" s="47" t="str">
        <f>IFERROR(__xludf.DUMMYFUNCTION("""COMPUTED_VALUE"""),"No asociado")</f>
        <v>No asociado</v>
      </c>
      <c r="AC140" s="47" t="str">
        <f>IFERROR(__xludf.DUMMYFUNCTION("""COMPUTED_VALUE"""),"Llegar con actividades de pesca y acuicultura a todas las regiones")</f>
        <v>Llegar con actividades de pesca y acuicultura a todas las regiones</v>
      </c>
      <c r="AD140" s="47" t="str">
        <f>IFERROR(__xludf.DUMMYFUNCTION("""COMPUTED_VALUE"""),"Gestión con valores para resultados")</f>
        <v>Gestión con valores para resultados</v>
      </c>
      <c r="AE140" s="47" t="str">
        <f>IFERROR(__xludf.DUMMYFUNCTION("""COMPUTED_VALUE"""),"Fortalecimiento Organizacional y Simplificación de Procesos")</f>
        <v>Fortalecimiento Organizacional y Simplificación de Procesos</v>
      </c>
      <c r="AF140" s="47" t="str">
        <f>IFERROR(__xludf.DUMMYFUNCTION("""COMPUTED_VALUE"""),"12. Producción y consumo responsable")</f>
        <v>12. Producción y consumo responsable</v>
      </c>
      <c r="AG140" s="58">
        <f>IFERROR(__xludf.DUMMYFUNCTION("""COMPUTED_VALUE"""),1010.0)</f>
        <v>1010</v>
      </c>
      <c r="AH140" s="59" t="str">
        <f>IFERROR(__xludf.DUMMYFUNCTION("""COMPUTED_VALUE"""),"En este trimestre se capacito a  1010 personas  en Pesca y Acuicultura; lo cual supero la meta programada, debido a los diferentes convenios que ha tenido la entidad como es convenio San Silvestre entre otros y la demanda de solicitudes pidiendo capacitac"&amp;"iones de parte de las asociaciones a la entidad en los diferentes  programas de Pesca y Acuicultura y actividades conexas .
")</f>
        <v>En este trimestre se capacito a  1010 personas  en Pesca y Acuicultura; lo cual supero la meta programada, debido a los diferentes convenios que ha tenido la entidad como es convenio San Silvestre entre otros y la demanda de solicitudes pidiendo capacitaciones de parte de las asociaciones a la entidad en los diferentes  programas de Pesca y Acuicultura y actividades conexas .
</v>
      </c>
      <c r="AI140" s="80" t="str">
        <f>IFERROR(__xludf.DUMMYFUNCTION("""COMPUTED_VALUE"""),"https://drive.google.com/file/d/1UmrE2QKe9RVKoEAXa64A-9rXRnDYmcU_/view?usp=sharing")</f>
        <v>https://drive.google.com/file/d/1UmrE2QKe9RVKoEAXa64A-9rXRnDYmcU_/view?usp=sharing</v>
      </c>
      <c r="AJ140" s="60">
        <f>IFERROR(__xludf.DUMMYFUNCTION("""COMPUTED_VALUE"""),44396.0)</f>
        <v>44396</v>
      </c>
      <c r="AK140" s="61" t="str">
        <f>IFERROR(IF((AL140+1)&lt;2,Alertas!$B$2&amp;TEXT(AL140,"0%")&amp;Alertas!$D$2, IF((AL140+1)=2,Alertas!$B$3,IF((AL140+1)&gt;2,Alertas!$B$4&amp;TEXT(AL140,"0%")&amp;Alertas!$D$4,AL140+1))),"Sin meta para el segundo trimestre")</f>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0" s="62">
        <f t="shared" si="2"/>
        <v>1.01</v>
      </c>
      <c r="AM140" s="61" t="str">
        <f t="shared" si="3"/>
        <v>La ejecución de la meta registrada se encuentra por encima de la meta programada en la formulación del plan de acción para el segundo trimestre, su porcentaje de cumplimiento es 101%,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0" s="63"/>
      <c r="AO140" s="64"/>
      <c r="AP140" s="65"/>
      <c r="AQ140" s="65"/>
      <c r="AR140" s="66"/>
      <c r="AS140" s="67"/>
      <c r="AT140" s="68"/>
      <c r="AU140" s="63"/>
      <c r="AV140" s="64"/>
      <c r="AW140" s="69"/>
      <c r="AX140" s="65"/>
      <c r="AY140" s="70"/>
      <c r="AZ140" s="71"/>
      <c r="BA140" s="72"/>
      <c r="BB140" s="73"/>
      <c r="BC140" s="64"/>
      <c r="BD140" s="69"/>
      <c r="BE140" s="65"/>
      <c r="BF140" s="66"/>
      <c r="BG140" s="71"/>
      <c r="BH140" s="72"/>
      <c r="BI140" s="74"/>
      <c r="BK140" s="5" t="str">
        <f t="shared" si="23"/>
        <v>1</v>
      </c>
      <c r="BM140" s="5"/>
    </row>
    <row r="141" ht="37.5" customHeight="1">
      <c r="A141" s="45"/>
      <c r="B141" s="46">
        <f>IFERROR(__xludf.DUMMYFUNCTION("""COMPUTED_VALUE"""),139.0)</f>
        <v>139</v>
      </c>
      <c r="C141" s="47" t="str">
        <f>IFERROR(__xludf.DUMMYFUNCTION("""COMPUTED_VALUE"""),"Gestión de la inspección y vigilancia")</f>
        <v>Gestión de la inspección y vigilancia</v>
      </c>
      <c r="D141" s="48" t="str">
        <f>IFERROR(__xludf.DUMMYFUNCTION("""COMPUTED_VALUE"""),"Regional Medellín")</f>
        <v>Regional Medellín</v>
      </c>
      <c r="E14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1" s="49">
        <f>IFERROR(__xludf.DUMMYFUNCTION("""COMPUTED_VALUE"""),2.019011000276E12)</f>
        <v>2019011000276</v>
      </c>
      <c r="G141" s="50" t="str">
        <f>IFERROR(__xludf.DUMMYFUNCTION("""COMPUTED_VALUE"""),"Inspección")</f>
        <v>Inspección</v>
      </c>
      <c r="H141" s="48" t="str">
        <f>IFERROR(__xludf.DUMMYFUNCTION("""COMPUTED_VALUE"""),"Aumentar el conocimiento de la normatividad pesquera y de la acuicultura por parte de la comunidad.")</f>
        <v>Aumentar el conocimiento de la normatividad pesquera y de la acuicultura por parte de la comunidad.</v>
      </c>
      <c r="I141" s="48" t="str">
        <f>IFERROR(__xludf.DUMMYFUNCTION("""COMPUTED_VALUE"""),"Servicio de divulgación y socialización")</f>
        <v>Servicio de divulgación y socialización</v>
      </c>
      <c r="J141" s="48" t="str">
        <f>IFERROR(__xludf.DUMMYFUNCTION("""COMPUTED_VALUE"""),"Implementar las estrategias de socialización y Divulgación a la comunidad")</f>
        <v>Implementar las estrategias de socialización y Divulgación a la comunidad</v>
      </c>
      <c r="K141" s="51" t="str">
        <f>IFERROR(__xludf.DUMMYFUNCTION("""COMPUTED_VALUE"""),"Gestión")</f>
        <v>Gestión</v>
      </c>
      <c r="L141" s="51" t="str">
        <f>IFERROR(__xludf.DUMMYFUNCTION("""COMPUTED_VALUE"""),"Efectividad")</f>
        <v>Efectividad</v>
      </c>
      <c r="M141" s="51" t="str">
        <f>IFERROR(__xludf.DUMMYFUNCTION("""COMPUTED_VALUE"""),"Número")</f>
        <v>Número</v>
      </c>
      <c r="N141" s="52" t="str">
        <f>IFERROR(__xludf.DUMMYFUNCTION("""COMPUTED_VALUE"""),"Operativos de control a la actividad pesquera realizados")</f>
        <v>Operativos de control a la actividad pesquera realizados</v>
      </c>
      <c r="O141" s="53">
        <f>IFERROR(__xludf.DUMMYFUNCTION("""COMPUTED_VALUE"""),3582.0)</f>
        <v>3582</v>
      </c>
      <c r="P141" s="54">
        <f>IFERROR(__xludf.DUMMYFUNCTION("""COMPUTED_VALUE"""),30.0)</f>
        <v>30</v>
      </c>
      <c r="Q141" s="55" t="str">
        <f>IFERROR(__xludf.DUMMYFUNCTION("""COMPUTED_VALUE"""),"Realizar eventos de divulgación y socialización apoyados en pro de disminuir las malas prácticas , en el ejercicio del control y vigilancia preventiva de la actividad pesquera y acuícola.")</f>
        <v>Realizar eventos de divulgación y socialización apoyados en pro de disminuir las malas prácticas , en el ejercicio del control y vigilancia preventiva de la actividad pesquera y acuícola.</v>
      </c>
      <c r="R141" s="14" t="str">
        <f>IFERROR(__xludf.DUMMYFUNCTION("""COMPUTED_VALUE"""),"Trimestral")</f>
        <v>Trimestral</v>
      </c>
      <c r="S141" s="54">
        <f>IFERROR(__xludf.DUMMYFUNCTION("""COMPUTED_VALUE"""),6.0)</f>
        <v>6</v>
      </c>
      <c r="T141" s="54">
        <f>IFERROR(__xludf.DUMMYFUNCTION("""COMPUTED_VALUE"""),2.0)</f>
        <v>2</v>
      </c>
      <c r="U141" s="54">
        <f>IFERROR(__xludf.DUMMYFUNCTION("""COMPUTED_VALUE"""),11.0)</f>
        <v>11</v>
      </c>
      <c r="V141" s="54">
        <f>IFERROR(__xludf.DUMMYFUNCTION("""COMPUTED_VALUE"""),11.0)</f>
        <v>11</v>
      </c>
      <c r="W141" s="56" t="str">
        <f>IFERROR(__xludf.DUMMYFUNCTION("""COMPUTED_VALUE"""),"Regional Medellin")</f>
        <v>Regional Medellin</v>
      </c>
      <c r="X141" s="57" t="str">
        <f>IFERROR(__xludf.DUMMYFUNCTION("""COMPUTED_VALUE"""),"CARLOS MARIO ZAPATA MORALES")</f>
        <v>CARLOS MARIO ZAPATA MORALES</v>
      </c>
      <c r="Y141" s="47" t="str">
        <f>IFERROR(__xludf.DUMMYFUNCTION("""COMPUTED_VALUE"""),"DIRECTOR REGIONAL MEDILLIN")</f>
        <v>DIRECTOR REGIONAL MEDILLIN</v>
      </c>
      <c r="Z141" s="57" t="str">
        <f>IFERROR(__xludf.DUMMYFUNCTION("""COMPUTED_VALUE"""),"CARLOS.ZAPATA@AUNAP.GOV.CO")</f>
        <v>CARLOS.ZAPATA@AUNAP.GOV.CO</v>
      </c>
      <c r="AA141" s="47" t="str">
        <f>IFERROR(__xludf.DUMMYFUNCTION("""COMPUTED_VALUE"""),"Humano, físico, financiero, tecnológico")</f>
        <v>Humano, físico, financiero, tecnológico</v>
      </c>
      <c r="AB141" s="47" t="str">
        <f>IFERROR(__xludf.DUMMYFUNCTION("""COMPUTED_VALUE"""),"No asociado")</f>
        <v>No asociado</v>
      </c>
      <c r="AC14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1" s="47" t="str">
        <f>IFERROR(__xludf.DUMMYFUNCTION("""COMPUTED_VALUE"""),"Gestión con valores para resultados")</f>
        <v>Gestión con valores para resultados</v>
      </c>
      <c r="AE141" s="47" t="str">
        <f>IFERROR(__xludf.DUMMYFUNCTION("""COMPUTED_VALUE"""),"Fortalecimiento Organizacional y Simplificación de Procesos")</f>
        <v>Fortalecimiento Organizacional y Simplificación de Procesos</v>
      </c>
      <c r="AF141" s="47" t="str">
        <f>IFERROR(__xludf.DUMMYFUNCTION("""COMPUTED_VALUE"""),"12. Producción y consumo responsable")</f>
        <v>12. Producción y consumo responsable</v>
      </c>
      <c r="AG141" s="58">
        <f>IFERROR(__xludf.DUMMYFUNCTION("""COMPUTED_VALUE"""),3.0)</f>
        <v>3</v>
      </c>
      <c r="AH141" s="59" t="str">
        <f>IFERROR(__xludf.DUMMYFUNCTION("""COMPUTED_VALUE"""),"Devbido a la dificultad de las reuniones y convocatorias, se realizaron actividades de campo.")</f>
        <v>Devbido a la dificultad de las reuniones y convocatorias, se realizaron actividades de campo.</v>
      </c>
      <c r="AI141" s="80" t="str">
        <f>IFERROR(__xludf.DUMMYFUNCTION("""COMPUTED_VALUE"""),"DIVULGACION EN PRO DE BP TRIMESTRE II")</f>
        <v>DIVULGACION EN PRO DE BP TRIMESTRE II</v>
      </c>
      <c r="AJ141" s="60">
        <f>IFERROR(__xludf.DUMMYFUNCTION("""COMPUTED_VALUE"""),44396.0)</f>
        <v>44396</v>
      </c>
      <c r="AK141" s="61" t="str">
        <f>IFERROR(IF((AL141+1)&lt;2,Alertas!$B$2&amp;TEXT(AL141,"0%")&amp;Alertas!$D$2, IF((AL141+1)=2,Alertas!$B$3,IF((AL141+1)&gt;2,Alertas!$B$4&amp;TEXT(AL141,"0%")&amp;Alertas!$D$4,AL141+1))),"Sin meta para el segundo trimestre")</f>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1" s="62">
        <f t="shared" si="2"/>
        <v>1.5</v>
      </c>
      <c r="AM141" s="61" t="str">
        <f t="shared" si="3"/>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1" s="63"/>
      <c r="AO141" s="64"/>
      <c r="AP141" s="65"/>
      <c r="AQ141" s="65"/>
      <c r="AR141" s="66"/>
      <c r="AS141" s="67"/>
      <c r="AT141" s="68"/>
      <c r="AU141" s="63"/>
      <c r="AV141" s="64"/>
      <c r="AW141" s="69"/>
      <c r="AX141" s="65"/>
      <c r="AY141" s="70"/>
      <c r="AZ141" s="71"/>
      <c r="BA141" s="72"/>
      <c r="BB141" s="73"/>
      <c r="BC141" s="64"/>
      <c r="BD141" s="69"/>
      <c r="BE141" s="65"/>
      <c r="BF141" s="66"/>
      <c r="BG141" s="71"/>
      <c r="BH141" s="72"/>
      <c r="BI141" s="74"/>
      <c r="BK141" s="5" t="str">
        <f t="shared" si="23"/>
        <v>1</v>
      </c>
      <c r="BM141" s="5"/>
    </row>
    <row r="142" ht="37.5" customHeight="1">
      <c r="A142" s="45"/>
      <c r="B142" s="46">
        <f>IFERROR(__xludf.DUMMYFUNCTION("""COMPUTED_VALUE"""),140.0)</f>
        <v>140</v>
      </c>
      <c r="C142" s="47" t="str">
        <f>IFERROR(__xludf.DUMMYFUNCTION("""COMPUTED_VALUE"""),"Gestión de la administración y fomento")</f>
        <v>Gestión de la administración y fomento</v>
      </c>
      <c r="D142" s="48" t="str">
        <f>IFERROR(__xludf.DUMMYFUNCTION("""COMPUTED_VALUE"""),"Regional Medellín")</f>
        <v>Regional Medellín</v>
      </c>
      <c r="E142" s="48" t="str">
        <f>IFERROR(__xludf.DUMMYFUNCTION("""COMPUTED_VALUE"""),"Fortalecimiento de la sostenibilidad del sector pesquero y de la acuicultura en el territorio nacional")</f>
        <v>Fortalecimiento de la sostenibilidad del sector pesquero y de la acuicultura en el territorio nacional</v>
      </c>
      <c r="F142" s="49">
        <f>IFERROR(__xludf.DUMMYFUNCTION("""COMPUTED_VALUE"""),2.01901100028E12)</f>
        <v>2019011000280</v>
      </c>
      <c r="G142" s="50" t="str">
        <f>IFERROR(__xludf.DUMMYFUNCTION("""COMPUTED_VALUE"""),"Sostenibilidad")</f>
        <v>Sostenibilidad</v>
      </c>
      <c r="H142" s="48" t="str">
        <f>IFERROR(__xludf.DUMMYFUNCTION("""COMPUTED_VALUE"""),"Mejorar la explotación de los recursos pesqueros y de la acuicultura.")</f>
        <v>Mejorar la explotación de los recursos pesqueros y de la acuicultura.</v>
      </c>
      <c r="I142" s="48" t="str">
        <f>IFERROR(__xludf.DUMMYFUNCTION("""COMPUTED_VALUE"""),"Servicios de administración de los recurso pesqueros y de la acuicultura")</f>
        <v>Servicios de administración de los recurso pesqueros y de la acuicultura</v>
      </c>
      <c r="J142" s="48" t="str">
        <f>IFERROR(__xludf.DUMMYFUNCTION("""COMPUTED_VALUE"""),"Regular el manejo y el ejercicio de la actividad pesquera y de la acuicultura.")</f>
        <v>Regular el manejo y el ejercicio de la actividad pesquera y de la acuicultura.</v>
      </c>
      <c r="K142" s="51" t="str">
        <f>IFERROR(__xludf.DUMMYFUNCTION("""COMPUTED_VALUE"""),"Producto")</f>
        <v>Producto</v>
      </c>
      <c r="L142" s="51" t="str">
        <f>IFERROR(__xludf.DUMMYFUNCTION("""COMPUTED_VALUE"""),"Eficacia")</f>
        <v>Eficacia</v>
      </c>
      <c r="M142" s="51" t="str">
        <f>IFERROR(__xludf.DUMMYFUNCTION("""COMPUTED_VALUE"""),"Número")</f>
        <v>Número</v>
      </c>
      <c r="N142" s="52" t="str">
        <f>IFERROR(__xludf.DUMMYFUNCTION("""COMPUTED_VALUE"""),"Trámites atendidos")</f>
        <v>Trámites atendidos</v>
      </c>
      <c r="O142" s="53">
        <f>IFERROR(__xludf.DUMMYFUNCTION("""COMPUTED_VALUE"""),-7140.0)</f>
        <v>-7140</v>
      </c>
      <c r="P142" s="54">
        <f>IFERROR(__xludf.DUMMYFUNCTION("""COMPUTED_VALUE"""),300.0)</f>
        <v>300</v>
      </c>
      <c r="Q142" s="55" t="str">
        <f>IFERROR(__xludf.DUMMYFUNCTION("""COMPUTED_VALUE"""),"Atender trámites")</f>
        <v>Atender trámites</v>
      </c>
      <c r="R142" s="14" t="str">
        <f>IFERROR(__xludf.DUMMYFUNCTION("""COMPUTED_VALUE"""),"Trimestral")</f>
        <v>Trimestral</v>
      </c>
      <c r="S142" s="54">
        <f>IFERROR(__xludf.DUMMYFUNCTION("""COMPUTED_VALUE"""),50.0)</f>
        <v>50</v>
      </c>
      <c r="T142" s="54">
        <f>IFERROR(__xludf.DUMMYFUNCTION("""COMPUTED_VALUE"""),60.0)</f>
        <v>60</v>
      </c>
      <c r="U142" s="54">
        <f>IFERROR(__xludf.DUMMYFUNCTION("""COMPUTED_VALUE"""),90.0)</f>
        <v>90</v>
      </c>
      <c r="V142" s="54">
        <f>IFERROR(__xludf.DUMMYFUNCTION("""COMPUTED_VALUE"""),100.0)</f>
        <v>100</v>
      </c>
      <c r="W142" s="56" t="str">
        <f>IFERROR(__xludf.DUMMYFUNCTION("""COMPUTED_VALUE"""),"Regional Medellin")</f>
        <v>Regional Medellin</v>
      </c>
      <c r="X142" s="57" t="str">
        <f>IFERROR(__xludf.DUMMYFUNCTION("""COMPUTED_VALUE"""),"CARLOS MARIO ZAPATA MORALES")</f>
        <v>CARLOS MARIO ZAPATA MORALES</v>
      </c>
      <c r="Y142" s="47" t="str">
        <f>IFERROR(__xludf.DUMMYFUNCTION("""COMPUTED_VALUE"""),"DIRECTOR REGIONAL MEDILLIN")</f>
        <v>DIRECTOR REGIONAL MEDILLIN</v>
      </c>
      <c r="Z142" s="57" t="str">
        <f>IFERROR(__xludf.DUMMYFUNCTION("""COMPUTED_VALUE"""),"CARLOS.ZAPATA@AUNAP.GOV.CO")</f>
        <v>CARLOS.ZAPATA@AUNAP.GOV.CO</v>
      </c>
      <c r="AA142" s="47" t="str">
        <f>IFERROR(__xludf.DUMMYFUNCTION("""COMPUTED_VALUE"""),"Humano, físico, financiero, tecnológico")</f>
        <v>Humano, físico, financiero, tecnológico</v>
      </c>
      <c r="AB142" s="47" t="str">
        <f>IFERROR(__xludf.DUMMYFUNCTION("""COMPUTED_VALUE"""),"No asociado")</f>
        <v>No asociado</v>
      </c>
      <c r="AC14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2" s="47" t="str">
        <f>IFERROR(__xludf.DUMMYFUNCTION("""COMPUTED_VALUE"""),"Gestión con valores para resultados")</f>
        <v>Gestión con valores para resultados</v>
      </c>
      <c r="AE142" s="47" t="str">
        <f>IFERROR(__xludf.DUMMYFUNCTION("""COMPUTED_VALUE"""),"Fortalecimiento Organizacional y Simplificación de Procesos")</f>
        <v>Fortalecimiento Organizacional y Simplificación de Procesos</v>
      </c>
      <c r="AF142" s="47" t="str">
        <f>IFERROR(__xludf.DUMMYFUNCTION("""COMPUTED_VALUE"""),"12. Producción y consumo responsable")</f>
        <v>12. Producción y consumo responsable</v>
      </c>
      <c r="AG142" s="58">
        <f>IFERROR(__xludf.DUMMYFUNCTION("""COMPUTED_VALUE"""),79.0)</f>
        <v>79</v>
      </c>
      <c r="AH142" s="59" t="str">
        <f>IFERROR(__xludf.DUMMYFUNCTION("""COMPUTED_VALUE"""),"El cumplimiento depende de la demanda del servicio por parte de los usuarios")</f>
        <v>El cumplimiento depende de la demanda del servicio por parte de los usuarios</v>
      </c>
      <c r="AI142" s="80" t="str">
        <f>IFERROR(__xludf.DUMMYFUNCTION("""COMPUTED_VALUE"""),"TRAMITES PERMISOS TRIMESTRE II")</f>
        <v>TRAMITES PERMISOS TRIMESTRE II</v>
      </c>
      <c r="AJ142" s="60">
        <f>IFERROR(__xludf.DUMMYFUNCTION("""COMPUTED_VALUE"""),44396.0)</f>
        <v>44396</v>
      </c>
      <c r="AK142" s="61" t="str">
        <f>IFERROR(IF((AL142+1)&lt;2,Alertas!$B$2&amp;TEXT(AL142,"0%")&amp;Alertas!$D$2, IF((AL142+1)=2,Alertas!$B$3,IF((AL142+1)&gt;2,Alertas!$B$4&amp;TEXT(AL142,"0%")&amp;Alertas!$D$4,AL142+1))),"Sin meta para el segundo trimestre")</f>
        <v>La ejecución de la meta registrada se encuentra por encima de la meta programada en la formulación del plan de acción para el segundo trimestre, su porcentaje de cumplimiento es 132%,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2" s="62">
        <f t="shared" si="2"/>
        <v>1.316666667</v>
      </c>
      <c r="AM142" s="61" t="str">
        <f t="shared" si="3"/>
        <v>La ejecución de la meta registrada se encuentra por encima de la meta programada en la formulación del plan de acción para el segundo trimestre, su porcentaje de cumplimiento es 132%,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2" s="63"/>
      <c r="AO142" s="64"/>
      <c r="AP142" s="65"/>
      <c r="AQ142" s="65"/>
      <c r="AR142" s="66"/>
      <c r="AS142" s="67"/>
      <c r="AT142" s="68"/>
      <c r="AU142" s="63"/>
      <c r="AV142" s="64"/>
      <c r="AW142" s="69"/>
      <c r="AX142" s="65"/>
      <c r="AY142" s="70"/>
      <c r="AZ142" s="71"/>
      <c r="BA142" s="72"/>
      <c r="BB142" s="73"/>
      <c r="BC142" s="64"/>
      <c r="BD142" s="69"/>
      <c r="BE142" s="65"/>
      <c r="BF142" s="66"/>
      <c r="BG142" s="71"/>
      <c r="BH142" s="72"/>
      <c r="BI142" s="74"/>
      <c r="BK142" s="5" t="str">
        <f t="shared" si="23"/>
        <v>1</v>
      </c>
      <c r="BM142" s="5"/>
    </row>
    <row r="143" ht="37.5" customHeight="1">
      <c r="A143" s="45"/>
      <c r="B143" s="46">
        <f>IFERROR(__xludf.DUMMYFUNCTION("""COMPUTED_VALUE"""),141.0)</f>
        <v>141</v>
      </c>
      <c r="C143" s="47" t="str">
        <f>IFERROR(__xludf.DUMMYFUNCTION("""COMPUTED_VALUE"""),"Gestión de la administración y fomento")</f>
        <v>Gestión de la administración y fomento</v>
      </c>
      <c r="D143" s="48" t="str">
        <f>IFERROR(__xludf.DUMMYFUNCTION("""COMPUTED_VALUE"""),"Regional Medellín")</f>
        <v>Regional Medellín</v>
      </c>
      <c r="E143" s="48" t="str">
        <f>IFERROR(__xludf.DUMMYFUNCTION("""COMPUTED_VALUE"""),"Fortalecimiento de la sostenibilidad del sector pesquero y de la acuicultura en el territorio nacional")</f>
        <v>Fortalecimiento de la sostenibilidad del sector pesquero y de la acuicultura en el territorio nacional</v>
      </c>
      <c r="F143" s="49">
        <f>IFERROR(__xludf.DUMMYFUNCTION("""COMPUTED_VALUE"""),2.01901100028E12)</f>
        <v>2019011000280</v>
      </c>
      <c r="G143" s="50" t="str">
        <f>IFERROR(__xludf.DUMMYFUNCTION("""COMPUTED_VALUE"""),"Sostenibilidad")</f>
        <v>Sostenibilidad</v>
      </c>
      <c r="H143" s="48" t="str">
        <f>IFERROR(__xludf.DUMMYFUNCTION("""COMPUTED_VALUE"""),"Mejorar las prácticas de pesca y de acuicultura.")</f>
        <v>Mejorar las prácticas de pesca y de acuicultura.</v>
      </c>
      <c r="I143" s="48" t="str">
        <f>IFERROR(__xludf.DUMMYFUNCTION("""COMPUTED_VALUE"""),"Servicios de apoyo al fomento de la pesca y la acuicultura")</f>
        <v>Servicios de apoyo al fomento de la pesca y la acuicultura</v>
      </c>
      <c r="J143" s="48" t="str">
        <f>IFERROR(__xludf.DUMMYFUNCTION("""COMPUTED_VALUE"""),"Generar acciones de fomento para la pesca, la acuicultura y sus actividades conexas.")</f>
        <v>Generar acciones de fomento para la pesca, la acuicultura y sus actividades conexas.</v>
      </c>
      <c r="K143" s="51" t="str">
        <f>IFERROR(__xludf.DUMMYFUNCTION("""COMPUTED_VALUE"""),"Gestión del área")</f>
        <v>Gestión del área</v>
      </c>
      <c r="L143" s="51" t="str">
        <f>IFERROR(__xludf.DUMMYFUNCTION("""COMPUTED_VALUE"""),"Eficacia")</f>
        <v>Eficacia</v>
      </c>
      <c r="M143" s="51" t="str">
        <f>IFERROR(__xludf.DUMMYFUNCTION("""COMPUTED_VALUE"""),"Número")</f>
        <v>Número</v>
      </c>
      <c r="N143" s="52" t="str">
        <f>IFERROR(__xludf.DUMMYFUNCTION("""COMPUTED_VALUE"""),"Número de asociaciones capacitadas/número de capacitacio a asociaciones programadas.")</f>
        <v>Número de asociaciones capacitadas/número de capacitacio a asociaciones programadas.</v>
      </c>
      <c r="O143" s="53"/>
      <c r="P143" s="54">
        <f>IFERROR(__xludf.DUMMYFUNCTION("""COMPUTED_VALUE"""),20.0)</f>
        <v>20</v>
      </c>
      <c r="Q143" s="55" t="str">
        <f>IFERROR(__xludf.DUMMYFUNCTION("""COMPUTED_VALUE"""),"Capacitadar asociaciones en temas de pesca y acuicultura")</f>
        <v>Capacitadar asociaciones en temas de pesca y acuicultura</v>
      </c>
      <c r="R143" s="14" t="str">
        <f>IFERROR(__xludf.DUMMYFUNCTION("""COMPUTED_VALUE"""),"Trimestral")</f>
        <v>Trimestral</v>
      </c>
      <c r="S143" s="54">
        <f>IFERROR(__xludf.DUMMYFUNCTION("""COMPUTED_VALUE"""),3.0)</f>
        <v>3</v>
      </c>
      <c r="T143" s="54">
        <f>IFERROR(__xludf.DUMMYFUNCTION("""COMPUTED_VALUE"""),2.0)</f>
        <v>2</v>
      </c>
      <c r="U143" s="54">
        <f>IFERROR(__xludf.DUMMYFUNCTION("""COMPUTED_VALUE"""),7.0)</f>
        <v>7</v>
      </c>
      <c r="V143" s="54">
        <f>IFERROR(__xludf.DUMMYFUNCTION("""COMPUTED_VALUE"""),8.0)</f>
        <v>8</v>
      </c>
      <c r="W143" s="56" t="str">
        <f>IFERROR(__xludf.DUMMYFUNCTION("""COMPUTED_VALUE"""),"Regional Medellin")</f>
        <v>Regional Medellin</v>
      </c>
      <c r="X143" s="57" t="str">
        <f>IFERROR(__xludf.DUMMYFUNCTION("""COMPUTED_VALUE"""),"CARLOS MARIO ZAPATA MORALES")</f>
        <v>CARLOS MARIO ZAPATA MORALES</v>
      </c>
      <c r="Y143" s="47" t="str">
        <f>IFERROR(__xludf.DUMMYFUNCTION("""COMPUTED_VALUE"""),"DIRECTOR REGIONAL MEDILLIN")</f>
        <v>DIRECTOR REGIONAL MEDILLIN</v>
      </c>
      <c r="Z143" s="57" t="str">
        <f>IFERROR(__xludf.DUMMYFUNCTION("""COMPUTED_VALUE"""),"CARLOS.ZAPATA@AUNAP.GOV.CO")</f>
        <v>CARLOS.ZAPATA@AUNAP.GOV.CO</v>
      </c>
      <c r="AA143" s="47" t="str">
        <f>IFERROR(__xludf.DUMMYFUNCTION("""COMPUTED_VALUE"""),"Humano, físico, financiero, tecnológico")</f>
        <v>Humano, físico, financiero, tecnológico</v>
      </c>
      <c r="AB143" s="47" t="str">
        <f>IFERROR(__xludf.DUMMYFUNCTION("""COMPUTED_VALUE"""),"No asociado")</f>
        <v>No asociado</v>
      </c>
      <c r="AC14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3" s="47" t="str">
        <f>IFERROR(__xludf.DUMMYFUNCTION("""COMPUTED_VALUE"""),"Gestión con valores para resultados")</f>
        <v>Gestión con valores para resultados</v>
      </c>
      <c r="AE143" s="47" t="str">
        <f>IFERROR(__xludf.DUMMYFUNCTION("""COMPUTED_VALUE"""),"Fortalecimiento Organizacional y Simplificación de Procesos")</f>
        <v>Fortalecimiento Organizacional y Simplificación de Procesos</v>
      </c>
      <c r="AF143" s="47" t="str">
        <f>IFERROR(__xludf.DUMMYFUNCTION("""COMPUTED_VALUE"""),"12. Producción y consumo responsable")</f>
        <v>12. Producción y consumo responsable</v>
      </c>
      <c r="AG143" s="58">
        <f>IFERROR(__xludf.DUMMYFUNCTION("""COMPUTED_VALUE"""),2.0)</f>
        <v>2</v>
      </c>
      <c r="AH143" s="59" t="str">
        <f>IFERROR(__xludf.DUMMYFUNCTION("""COMPUTED_VALUE"""),"Asociaciones capacitadas de  acuerdo a la programacion para incorporar a proyectos productivos")</f>
        <v>Asociaciones capacitadas de  acuerdo a la programacion para incorporar a proyectos productivos</v>
      </c>
      <c r="AI143" s="80" t="str">
        <f>IFERROR(__xludf.DUMMYFUNCTION("""COMPUTED_VALUE"""),"CAPACITACION ASOCIACIONES ACUIULTURA")</f>
        <v>CAPACITACION ASOCIACIONES ACUIULTURA</v>
      </c>
      <c r="AJ143" s="60">
        <f>IFERROR(__xludf.DUMMYFUNCTION("""COMPUTED_VALUE"""),44396.0)</f>
        <v>44396</v>
      </c>
      <c r="AK143" s="61" t="str">
        <f>IFERROR(IF((AL143+1)&lt;2,Alertas!$B$2&amp;TEXT(AL143,"0%")&amp;Alertas!$D$2, IF((AL143+1)=2,Alertas!$B$3,IF((AL143+1)&gt;2,Alertas!$B$4&amp;TEXT(AL143,"0%")&amp;Alertas!$D$4,AL143+1))),"Sin meta para el segundo trimestre")</f>
        <v>La ejecución de la meta registrada se encuentra acorde a la meta programada en la formulación del plan de acción para el segundo trimestre</v>
      </c>
      <c r="AL143" s="62">
        <f t="shared" si="2"/>
        <v>1</v>
      </c>
      <c r="AM143" s="61" t="str">
        <f t="shared" si="3"/>
        <v>La ejecución de la meta registrada se encuentra acorde a la meta programada en la formulación del plan de acción para el segundo trimestre.</v>
      </c>
      <c r="AN143" s="63"/>
      <c r="AO143" s="64"/>
      <c r="AP143" s="65"/>
      <c r="AQ143" s="65"/>
      <c r="AR143" s="66"/>
      <c r="AS143" s="67"/>
      <c r="AT143" s="68"/>
      <c r="AU143" s="63"/>
      <c r="AV143" s="64"/>
      <c r="AW143" s="69"/>
      <c r="AX143" s="65"/>
      <c r="AY143" s="70"/>
      <c r="AZ143" s="71"/>
      <c r="BA143" s="72"/>
      <c r="BB143" s="73"/>
      <c r="BC143" s="64"/>
      <c r="BD143" s="69"/>
      <c r="BE143" s="65"/>
      <c r="BF143" s="66"/>
      <c r="BG143" s="71"/>
      <c r="BH143" s="72"/>
      <c r="BI143" s="74"/>
      <c r="BK143" s="5" t="str">
        <f t="shared" si="23"/>
        <v>0</v>
      </c>
      <c r="BM143" s="5"/>
    </row>
    <row r="144" ht="37.5" customHeight="1">
      <c r="A144" s="45"/>
      <c r="B144" s="46">
        <f>IFERROR(__xludf.DUMMYFUNCTION("""COMPUTED_VALUE"""),142.0)</f>
        <v>142</v>
      </c>
      <c r="C144" s="47" t="str">
        <f>IFERROR(__xludf.DUMMYFUNCTION("""COMPUTED_VALUE"""),"Gestión de la administración y fomento")</f>
        <v>Gestión de la administración y fomento</v>
      </c>
      <c r="D144" s="48" t="str">
        <f>IFERROR(__xludf.DUMMYFUNCTION("""COMPUTED_VALUE"""),"Regional Medellín")</f>
        <v>Regional Medellín</v>
      </c>
      <c r="E144" s="48" t="str">
        <f>IFERROR(__xludf.DUMMYFUNCTION("""COMPUTED_VALUE"""),"Fortalecimiento de la sostenibilidad del sector pesquero y de la acuicultura en el territorio nacional")</f>
        <v>Fortalecimiento de la sostenibilidad del sector pesquero y de la acuicultura en el territorio nacional</v>
      </c>
      <c r="F144" s="49">
        <f>IFERROR(__xludf.DUMMYFUNCTION("""COMPUTED_VALUE"""),2.01901100028E12)</f>
        <v>2019011000280</v>
      </c>
      <c r="G144" s="50" t="str">
        <f>IFERROR(__xludf.DUMMYFUNCTION("""COMPUTED_VALUE"""),"Sostenibilidad")</f>
        <v>Sostenibilidad</v>
      </c>
      <c r="H144" s="48" t="str">
        <f>IFERROR(__xludf.DUMMYFUNCTION("""COMPUTED_VALUE"""),"Mejorar la explotación de los recursos pesqueros y de la acuicultura.")</f>
        <v>Mejorar la explotación de los recursos pesqueros y de la acuicultura.</v>
      </c>
      <c r="I144" s="48" t="str">
        <f>IFERROR(__xludf.DUMMYFUNCTION("""COMPUTED_VALUE"""),"Servicios de administración de los recurso pesqueros y de la acuicultura")</f>
        <v>Servicios de administración de los recurso pesqueros y de la acuicultura</v>
      </c>
      <c r="J144" s="48" t="str">
        <f>IFERROR(__xludf.DUMMYFUNCTION("""COMPUTED_VALUE"""),"Realizar acciones de divulgación y formalización de la actividad pesquera y de la acuicultura.")</f>
        <v>Realizar acciones de divulgación y formalización de la actividad pesquera y de la acuicultura.</v>
      </c>
      <c r="K144" s="51" t="str">
        <f>IFERROR(__xludf.DUMMYFUNCTION("""COMPUTED_VALUE"""),"Gestión del área")</f>
        <v>Gestión del área</v>
      </c>
      <c r="L144" s="51" t="str">
        <f>IFERROR(__xludf.DUMMYFUNCTION("""COMPUTED_VALUE"""),"Eficacia")</f>
        <v>Eficacia</v>
      </c>
      <c r="M144" s="51" t="str">
        <f>IFERROR(__xludf.DUMMYFUNCTION("""COMPUTED_VALUE"""),"Número")</f>
        <v>Número</v>
      </c>
      <c r="N144" s="52" t="str">
        <f>IFERROR(__xludf.DUMMYFUNCTION("""COMPUTED_VALUE"""),"Número de capacitaciones realizadas/número de capacitaciones programadas.")</f>
        <v>Número de capacitaciones realizadas/número de capacitaciones programadas.</v>
      </c>
      <c r="O144" s="53"/>
      <c r="P144" s="54">
        <f>IFERROR(__xludf.DUMMYFUNCTION("""COMPUTED_VALUE"""),66.0)</f>
        <v>66</v>
      </c>
      <c r="Q144" s="55" t="str">
        <f>IFERROR(__xludf.DUMMYFUNCTION("""COMPUTED_VALUE"""),"Capacitar a los grupos de interés en asociatividad y normatividad para el ejercicio de la acuicultura y pesca y actividades conexas")</f>
        <v>Capacitar a los grupos de interés en asociatividad y normatividad para el ejercicio de la acuicultura y pesca y actividades conexas</v>
      </c>
      <c r="R144" s="14" t="str">
        <f>IFERROR(__xludf.DUMMYFUNCTION("""COMPUTED_VALUE"""),"Trimestral")</f>
        <v>Trimestral</v>
      </c>
      <c r="S144" s="54">
        <f>IFERROR(__xludf.DUMMYFUNCTION("""COMPUTED_VALUE"""),12.0)</f>
        <v>12</v>
      </c>
      <c r="T144" s="54">
        <f>IFERROR(__xludf.DUMMYFUNCTION("""COMPUTED_VALUE"""),8.0)</f>
        <v>8</v>
      </c>
      <c r="U144" s="54">
        <f>IFERROR(__xludf.DUMMYFUNCTION("""COMPUTED_VALUE"""),23.0)</f>
        <v>23</v>
      </c>
      <c r="V144" s="54">
        <f>IFERROR(__xludf.DUMMYFUNCTION("""COMPUTED_VALUE"""),23.0)</f>
        <v>23</v>
      </c>
      <c r="W144" s="56" t="str">
        <f>IFERROR(__xludf.DUMMYFUNCTION("""COMPUTED_VALUE"""),"Regional Medellin")</f>
        <v>Regional Medellin</v>
      </c>
      <c r="X144" s="57" t="str">
        <f>IFERROR(__xludf.DUMMYFUNCTION("""COMPUTED_VALUE"""),"CARLOS MARIO ZAPATA MORALES")</f>
        <v>CARLOS MARIO ZAPATA MORALES</v>
      </c>
      <c r="Y144" s="47" t="str">
        <f>IFERROR(__xludf.DUMMYFUNCTION("""COMPUTED_VALUE"""),"DIRECTOR REGIONAL MEDILLIN")</f>
        <v>DIRECTOR REGIONAL MEDILLIN</v>
      </c>
      <c r="Z144" s="57" t="str">
        <f>IFERROR(__xludf.DUMMYFUNCTION("""COMPUTED_VALUE"""),"CARLOS.ZAPATA@AUNAP.GOV.CO")</f>
        <v>CARLOS.ZAPATA@AUNAP.GOV.CO</v>
      </c>
      <c r="AA144" s="47" t="str">
        <f>IFERROR(__xludf.DUMMYFUNCTION("""COMPUTED_VALUE"""),"Humano, físico, financiero, tecnológico")</f>
        <v>Humano, físico, financiero, tecnológico</v>
      </c>
      <c r="AB144" s="47" t="str">
        <f>IFERROR(__xludf.DUMMYFUNCTION("""COMPUTED_VALUE"""),"No asociado")</f>
        <v>No asociado</v>
      </c>
      <c r="AC14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4" s="47" t="str">
        <f>IFERROR(__xludf.DUMMYFUNCTION("""COMPUTED_VALUE"""),"Gestión con valores para resultados")</f>
        <v>Gestión con valores para resultados</v>
      </c>
      <c r="AE144" s="47" t="str">
        <f>IFERROR(__xludf.DUMMYFUNCTION("""COMPUTED_VALUE"""),"Fortalecimiento Organizacional y Simplificación de Procesos")</f>
        <v>Fortalecimiento Organizacional y Simplificación de Procesos</v>
      </c>
      <c r="AF144" s="47" t="str">
        <f>IFERROR(__xludf.DUMMYFUNCTION("""COMPUTED_VALUE"""),"12. Producción y consumo responsable")</f>
        <v>12. Producción y consumo responsable</v>
      </c>
      <c r="AG144" s="58">
        <f>IFERROR(__xludf.DUMMYFUNCTION("""COMPUTED_VALUE"""),8.0)</f>
        <v>8</v>
      </c>
      <c r="AH144" s="59" t="str">
        <f>IFERROR(__xludf.DUMMYFUNCTION("""COMPUTED_VALUE"""),"Asociaciones capacitadas de  acuerdo a la programacion para incorporar a proyectos productivos")</f>
        <v>Asociaciones capacitadas de  acuerdo a la programacion para incorporar a proyectos productivos</v>
      </c>
      <c r="AI144" s="80" t="str">
        <f>IFERROR(__xludf.DUMMYFUNCTION("""COMPUTED_VALUE"""),"CAPACITAR GRUPOS DE INTERES")</f>
        <v>CAPACITAR GRUPOS DE INTERES</v>
      </c>
      <c r="AJ144" s="60">
        <f>IFERROR(__xludf.DUMMYFUNCTION("""COMPUTED_VALUE"""),44396.0)</f>
        <v>44396</v>
      </c>
      <c r="AK144" s="61" t="str">
        <f>IFERROR(IF((AL144+1)&lt;2,Alertas!$B$2&amp;TEXT(AL144,"0%")&amp;Alertas!$D$2, IF((AL144+1)=2,Alertas!$B$3,IF((AL144+1)&gt;2,Alertas!$B$4&amp;TEXT(AL144,"0%")&amp;Alertas!$D$4,AL144+1))),"Sin meta para el segundo trimestre")</f>
        <v>La ejecución de la meta registrada se encuentra acorde a la meta programada en la formulación del plan de acción para el segundo trimestre</v>
      </c>
      <c r="AL144" s="62">
        <f t="shared" si="2"/>
        <v>1</v>
      </c>
      <c r="AM144" s="61" t="str">
        <f t="shared" si="3"/>
        <v>La ejecución de la meta registrada se encuentra acorde a la meta programada en la formulación del plan de acción para el segundo trimestre.</v>
      </c>
      <c r="AN144" s="63"/>
      <c r="AO144" s="64"/>
      <c r="AP144" s="65"/>
      <c r="AQ144" s="65"/>
      <c r="AR144" s="66"/>
      <c r="AS144" s="67"/>
      <c r="AT144" s="68"/>
      <c r="AU144" s="63"/>
      <c r="AV144" s="64"/>
      <c r="AW144" s="69"/>
      <c r="AX144" s="65"/>
      <c r="AY144" s="70"/>
      <c r="AZ144" s="71"/>
      <c r="BA144" s="72"/>
      <c r="BB144" s="73"/>
      <c r="BC144" s="64"/>
      <c r="BD144" s="69"/>
      <c r="BE144" s="65"/>
      <c r="BF144" s="66"/>
      <c r="BG144" s="71"/>
      <c r="BH144" s="72"/>
      <c r="BI144" s="74"/>
      <c r="BK144" s="5" t="str">
        <f t="shared" si="23"/>
        <v>0</v>
      </c>
      <c r="BM144" s="5"/>
    </row>
    <row r="145" ht="37.5" customHeight="1">
      <c r="A145" s="45"/>
      <c r="B145" s="46">
        <f>IFERROR(__xludf.DUMMYFUNCTION("""COMPUTED_VALUE"""),143.0)</f>
        <v>143</v>
      </c>
      <c r="C145" s="47" t="str">
        <f>IFERROR(__xludf.DUMMYFUNCTION("""COMPUTED_VALUE"""),"Gestión de la administración y fomento")</f>
        <v>Gestión de la administración y fomento</v>
      </c>
      <c r="D145" s="48" t="str">
        <f>IFERROR(__xludf.DUMMYFUNCTION("""COMPUTED_VALUE"""),"Regional Medellín")</f>
        <v>Regional Medellín</v>
      </c>
      <c r="E145" s="48" t="str">
        <f>IFERROR(__xludf.DUMMYFUNCTION("""COMPUTED_VALUE"""),"Fortalecimiento de la sostenibilidad del sector pesquero y de la acuicultura en el territorio nacional")</f>
        <v>Fortalecimiento de la sostenibilidad del sector pesquero y de la acuicultura en el territorio nacional</v>
      </c>
      <c r="F145" s="49">
        <f>IFERROR(__xludf.DUMMYFUNCTION("""COMPUTED_VALUE"""),2.01901100028E12)</f>
        <v>2019011000280</v>
      </c>
      <c r="G145" s="50" t="str">
        <f>IFERROR(__xludf.DUMMYFUNCTION("""COMPUTED_VALUE"""),"Sostenibilidad")</f>
        <v>Sostenibilidad</v>
      </c>
      <c r="H145" s="48" t="str">
        <f>IFERROR(__xludf.DUMMYFUNCTION("""COMPUTED_VALUE"""),"Mejorar la explotación de los recursos pesqueros y de la acuicultura.")</f>
        <v>Mejorar la explotación de los recursos pesqueros y de la acuicultura.</v>
      </c>
      <c r="I145" s="48" t="str">
        <f>IFERROR(__xludf.DUMMYFUNCTION("""COMPUTED_VALUE"""),"Servicios de administración de los recurso pesqueros y de la acuicultura")</f>
        <v>Servicios de administración de los recurso pesqueros y de la acuicultura</v>
      </c>
      <c r="J145" s="48" t="str">
        <f>IFERROR(__xludf.DUMMYFUNCTION("""COMPUTED_VALUE"""),"Realizar acciones de divulgación y formalización de la actividad pesquera y de la acuicultura.")</f>
        <v>Realizar acciones de divulgación y formalización de la actividad pesquera y de la acuicultura.</v>
      </c>
      <c r="K145" s="51" t="str">
        <f>IFERROR(__xludf.DUMMYFUNCTION("""COMPUTED_VALUE"""),"Gestión del área")</f>
        <v>Gestión del área</v>
      </c>
      <c r="L145" s="51" t="str">
        <f>IFERROR(__xludf.DUMMYFUNCTION("""COMPUTED_VALUE"""),"Eficacia")</f>
        <v>Eficacia</v>
      </c>
      <c r="M145" s="51" t="str">
        <f>IFERROR(__xludf.DUMMYFUNCTION("""COMPUTED_VALUE"""),"Número")</f>
        <v>Número</v>
      </c>
      <c r="N145" s="52" t="str">
        <f>IFERROR(__xludf.DUMMYFUNCTION("""COMPUTED_VALUE"""),"Número de personas capacitadas/número de personas programadas")</f>
        <v>Número de personas capacitadas/número de personas programadas</v>
      </c>
      <c r="O145" s="53"/>
      <c r="P145" s="54">
        <f>IFERROR(__xludf.DUMMYFUNCTION("""COMPUTED_VALUE"""),500.0)</f>
        <v>500</v>
      </c>
      <c r="Q145" s="55" t="str">
        <f>IFERROR(__xludf.DUMMYFUNCTION("""COMPUTED_VALUE"""),"Capacitar a Personas en normatividad y procedimientos para el ejercicio de la acuicultura")</f>
        <v>Capacitar a Personas en normatividad y procedimientos para el ejercicio de la acuicultura</v>
      </c>
      <c r="R145" s="14" t="str">
        <f>IFERROR(__xludf.DUMMYFUNCTION("""COMPUTED_VALUE"""),"Trimestral")</f>
        <v>Trimestral</v>
      </c>
      <c r="S145" s="54">
        <f>IFERROR(__xludf.DUMMYFUNCTION("""COMPUTED_VALUE"""),100.0)</f>
        <v>100</v>
      </c>
      <c r="T145" s="54">
        <f>IFERROR(__xludf.DUMMYFUNCTION("""COMPUTED_VALUE"""),60.0)</f>
        <v>60</v>
      </c>
      <c r="U145" s="54">
        <f>IFERROR(__xludf.DUMMYFUNCTION("""COMPUTED_VALUE"""),170.0)</f>
        <v>170</v>
      </c>
      <c r="V145" s="54">
        <f>IFERROR(__xludf.DUMMYFUNCTION("""COMPUTED_VALUE"""),170.0)</f>
        <v>170</v>
      </c>
      <c r="W145" s="56" t="str">
        <f>IFERROR(__xludf.DUMMYFUNCTION("""COMPUTED_VALUE"""),"Regional Medellin")</f>
        <v>Regional Medellin</v>
      </c>
      <c r="X145" s="57" t="str">
        <f>IFERROR(__xludf.DUMMYFUNCTION("""COMPUTED_VALUE"""),"CARLOS MARIO ZAPATA MORALES")</f>
        <v>CARLOS MARIO ZAPATA MORALES</v>
      </c>
      <c r="Y145" s="47" t="str">
        <f>IFERROR(__xludf.DUMMYFUNCTION("""COMPUTED_VALUE"""),"DIRECTOR REGIONAL MEDILLIN")</f>
        <v>DIRECTOR REGIONAL MEDILLIN</v>
      </c>
      <c r="Z145" s="57" t="str">
        <f>IFERROR(__xludf.DUMMYFUNCTION("""COMPUTED_VALUE"""),"CARLOS.ZAPATA@AUNAP.GOV.CO")</f>
        <v>CARLOS.ZAPATA@AUNAP.GOV.CO</v>
      </c>
      <c r="AA145" s="47" t="str">
        <f>IFERROR(__xludf.DUMMYFUNCTION("""COMPUTED_VALUE"""),"Humano, físico, financiero, tecnológico")</f>
        <v>Humano, físico, financiero, tecnológico</v>
      </c>
      <c r="AB145" s="47" t="str">
        <f>IFERROR(__xludf.DUMMYFUNCTION("""COMPUTED_VALUE"""),"No asociado")</f>
        <v>No asociado</v>
      </c>
      <c r="AC14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5" s="47" t="str">
        <f>IFERROR(__xludf.DUMMYFUNCTION("""COMPUTED_VALUE"""),"Gestión con valores para resultados")</f>
        <v>Gestión con valores para resultados</v>
      </c>
      <c r="AE145" s="47" t="str">
        <f>IFERROR(__xludf.DUMMYFUNCTION("""COMPUTED_VALUE"""),"Fortalecimiento Organizacional y Simplificación de Procesos")</f>
        <v>Fortalecimiento Organizacional y Simplificación de Procesos</v>
      </c>
      <c r="AF145" s="47" t="str">
        <f>IFERROR(__xludf.DUMMYFUNCTION("""COMPUTED_VALUE"""),"12. Producción y consumo responsable")</f>
        <v>12. Producción y consumo responsable</v>
      </c>
      <c r="AG145" s="58">
        <f>IFERROR(__xludf.DUMMYFUNCTION("""COMPUTED_VALUE"""),64.0)</f>
        <v>64</v>
      </c>
      <c r="AH145" s="59" t="str">
        <f>IFERROR(__xludf.DUMMYFUNCTION("""COMPUTED_VALUE"""),"Asocaciones capacitadas en el marco de las acciones de ordenamiento y proyectos productivos para las regiones")</f>
        <v>Asocaciones capacitadas en el marco de las acciones de ordenamiento y proyectos productivos para las regiones</v>
      </c>
      <c r="AI145" s="80" t="str">
        <f>IFERROR(__xludf.DUMMYFUNCTION("""COMPUTED_VALUE"""),"CAPACITAR A PERSONAS EN NORMATIVIDAD")</f>
        <v>CAPACITAR A PERSONAS EN NORMATIVIDAD</v>
      </c>
      <c r="AJ145" s="60">
        <f>IFERROR(__xludf.DUMMYFUNCTION("""COMPUTED_VALUE"""),44396.0)</f>
        <v>44396</v>
      </c>
      <c r="AK145" s="61" t="str">
        <f>IFERROR(IF((AL145+1)&lt;2,Alertas!$B$2&amp;TEXT(AL145,"0%")&amp;Alertas!$D$2, IF((AL145+1)=2,Alertas!$B$3,IF((AL145+1)&gt;2,Alertas!$B$4&amp;TEXT(AL145,"0%")&amp;Alertas!$D$4,AL145+1))),"Sin meta para el segundo trimestre")</f>
        <v>La ejecución de la meta registrada se encuentra por encima de la meta programada en la formulación del plan de acción para el segundo trimestre, su porcentaje de cumplimiento es 107%,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5" s="62">
        <f t="shared" si="2"/>
        <v>1.066666667</v>
      </c>
      <c r="AM145" s="61" t="str">
        <f t="shared" si="3"/>
        <v>La ejecución de la meta registrada se encuentra por encima de la meta programada en la formulación del plan de acción para el segundo trimestre, su porcentaje de cumplimiento es 107%,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5" s="63"/>
      <c r="AO145" s="64"/>
      <c r="AP145" s="65"/>
      <c r="AQ145" s="65"/>
      <c r="AR145" s="66"/>
      <c r="AS145" s="67"/>
      <c r="AT145" s="68"/>
      <c r="AU145" s="63"/>
      <c r="AV145" s="64"/>
      <c r="AW145" s="69"/>
      <c r="AX145" s="65"/>
      <c r="AY145" s="70"/>
      <c r="AZ145" s="71"/>
      <c r="BA145" s="72"/>
      <c r="BB145" s="73"/>
      <c r="BC145" s="64"/>
      <c r="BD145" s="69"/>
      <c r="BE145" s="65"/>
      <c r="BF145" s="66"/>
      <c r="BG145" s="71"/>
      <c r="BH145" s="72"/>
      <c r="BI145" s="74"/>
      <c r="BK145" s="5" t="str">
        <f t="shared" si="23"/>
        <v>1</v>
      </c>
      <c r="BM145" s="5"/>
    </row>
    <row r="146" ht="37.5" customHeight="1">
      <c r="A146" s="45"/>
      <c r="B146" s="46">
        <f>IFERROR(__xludf.DUMMYFUNCTION("""COMPUTED_VALUE"""),144.0)</f>
        <v>144</v>
      </c>
      <c r="C146" s="47" t="str">
        <f>IFERROR(__xludf.DUMMYFUNCTION("""COMPUTED_VALUE"""),"Gestión de la inspección y vigilancia")</f>
        <v>Gestión de la inspección y vigilancia</v>
      </c>
      <c r="D146" s="48" t="str">
        <f>IFERROR(__xludf.DUMMYFUNCTION("""COMPUTED_VALUE"""),"Regional Medellín")</f>
        <v>Regional Medellín</v>
      </c>
      <c r="E146"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6" s="49">
        <f>IFERROR(__xludf.DUMMYFUNCTION("""COMPUTED_VALUE"""),2.019011000276E12)</f>
        <v>2019011000276</v>
      </c>
      <c r="G146" s="50" t="str">
        <f>IFERROR(__xludf.DUMMYFUNCTION("""COMPUTED_VALUE"""),"Inspección")</f>
        <v>Inspección</v>
      </c>
      <c r="H146" s="48" t="str">
        <f>IFERROR(__xludf.DUMMYFUNCTION("""COMPUTED_VALUE"""),"Aumentar el conocimiento de la normatividad pesquera y de la acuicultura por parte de la comunidad.")</f>
        <v>Aumentar el conocimiento de la normatividad pesquera y de la acuicultura por parte de la comunidad.</v>
      </c>
      <c r="I146" s="48" t="str">
        <f>IFERROR(__xludf.DUMMYFUNCTION("""COMPUTED_VALUE"""),"Servicio de divulgación y socialización")</f>
        <v>Servicio de divulgación y socialización</v>
      </c>
      <c r="J146" s="48" t="str">
        <f>IFERROR(__xludf.DUMMYFUNCTION("""COMPUTED_VALUE"""),"Implementar las estrategias de socialización y Divulgación a la comunidad")</f>
        <v>Implementar las estrategias de socialización y Divulgación a la comunidad</v>
      </c>
      <c r="K146" s="51" t="str">
        <f>IFERROR(__xludf.DUMMYFUNCTION("""COMPUTED_VALUE"""),"Gestión del área")</f>
        <v>Gestión del área</v>
      </c>
      <c r="L146" s="51" t="str">
        <f>IFERROR(__xludf.DUMMYFUNCTION("""COMPUTED_VALUE"""),"Eficacia")</f>
        <v>Eficacia</v>
      </c>
      <c r="M146" s="51" t="str">
        <f>IFERROR(__xludf.DUMMYFUNCTION("""COMPUTED_VALUE"""),"Número")</f>
        <v>Número</v>
      </c>
      <c r="N146" s="52" t="str">
        <f>IFERROR(__xludf.DUMMYFUNCTION("""COMPUTED_VALUE"""),"Número de personas capacitadas en BPM/Número de personas programadas.")</f>
        <v>Número de personas capacitadas en BPM/Número de personas programadas.</v>
      </c>
      <c r="O146" s="53"/>
      <c r="P146" s="54">
        <f>IFERROR(__xludf.DUMMYFUNCTION("""COMPUTED_VALUE"""),500.0)</f>
        <v>500</v>
      </c>
      <c r="Q146" s="55" t="str">
        <f>IFERROR(__xludf.DUMMYFUNCTION("""COMPUTED_VALUE"""),"Capacitar a Personas en buenas practicas pesqueras (BPP) y buenas practicas de manufactura (BPM)")</f>
        <v>Capacitar a Personas en buenas practicas pesqueras (BPP) y buenas practicas de manufactura (BPM)</v>
      </c>
      <c r="R146" s="14" t="str">
        <f>IFERROR(__xludf.DUMMYFUNCTION("""COMPUTED_VALUE"""),"Trimestral")</f>
        <v>Trimestral</v>
      </c>
      <c r="S146" s="54">
        <f>IFERROR(__xludf.DUMMYFUNCTION("""COMPUTED_VALUE"""),100.0)</f>
        <v>100</v>
      </c>
      <c r="T146" s="54">
        <f>IFERROR(__xludf.DUMMYFUNCTION("""COMPUTED_VALUE"""),60.0)</f>
        <v>60</v>
      </c>
      <c r="U146" s="54">
        <f>IFERROR(__xludf.DUMMYFUNCTION("""COMPUTED_VALUE"""),170.0)</f>
        <v>170</v>
      </c>
      <c r="V146" s="54">
        <f>IFERROR(__xludf.DUMMYFUNCTION("""COMPUTED_VALUE"""),170.0)</f>
        <v>170</v>
      </c>
      <c r="W146" s="56" t="str">
        <f>IFERROR(__xludf.DUMMYFUNCTION("""COMPUTED_VALUE"""),"Regional Medellin")</f>
        <v>Regional Medellin</v>
      </c>
      <c r="X146" s="57" t="str">
        <f>IFERROR(__xludf.DUMMYFUNCTION("""COMPUTED_VALUE"""),"CARLOS MARIO ZAPATA MORALES")</f>
        <v>CARLOS MARIO ZAPATA MORALES</v>
      </c>
      <c r="Y146" s="47" t="str">
        <f>IFERROR(__xludf.DUMMYFUNCTION("""COMPUTED_VALUE"""),"DIRECTOR REGIONAL MEDILLIN")</f>
        <v>DIRECTOR REGIONAL MEDILLIN</v>
      </c>
      <c r="Z146" s="57" t="str">
        <f>IFERROR(__xludf.DUMMYFUNCTION("""COMPUTED_VALUE"""),"CARLOS.ZAPATA@AUNAP.GOV.CO")</f>
        <v>CARLOS.ZAPATA@AUNAP.GOV.CO</v>
      </c>
      <c r="AA146" s="47" t="str">
        <f>IFERROR(__xludf.DUMMYFUNCTION("""COMPUTED_VALUE"""),"Humano, físico, financiero, tecnológico")</f>
        <v>Humano, físico, financiero, tecnológico</v>
      </c>
      <c r="AB146" s="47" t="str">
        <f>IFERROR(__xludf.DUMMYFUNCTION("""COMPUTED_VALUE"""),"No asociado")</f>
        <v>No asociado</v>
      </c>
      <c r="AC14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6" s="47" t="str">
        <f>IFERROR(__xludf.DUMMYFUNCTION("""COMPUTED_VALUE"""),"Gestión con valores para resultados")</f>
        <v>Gestión con valores para resultados</v>
      </c>
      <c r="AE146" s="47" t="str">
        <f>IFERROR(__xludf.DUMMYFUNCTION("""COMPUTED_VALUE"""),"Fortalecimiento Organizacional y Simplificación de Procesos")</f>
        <v>Fortalecimiento Organizacional y Simplificación de Procesos</v>
      </c>
      <c r="AF146" s="47" t="str">
        <f>IFERROR(__xludf.DUMMYFUNCTION("""COMPUTED_VALUE"""),"12. Producción y consumo responsable")</f>
        <v>12. Producción y consumo responsable</v>
      </c>
      <c r="AG146" s="58">
        <f>IFERROR(__xludf.DUMMYFUNCTION("""COMPUTED_VALUE"""),61.0)</f>
        <v>61</v>
      </c>
      <c r="AH146" s="59" t="str">
        <f>IFERROR(__xludf.DUMMYFUNCTION("""COMPUTED_VALUE"""),"Asocaciones capacitadas en el marco de las acciones de ordenamiento y proyectos productivos para las regiones")</f>
        <v>Asocaciones capacitadas en el marco de las acciones de ordenamiento y proyectos productivos para las regiones</v>
      </c>
      <c r="AI146" s="80" t="str">
        <f>IFERROR(__xludf.DUMMYFUNCTION("""COMPUTED_VALUE"""),"CAPACITAR EN BPP Y BPM")</f>
        <v>CAPACITAR EN BPP Y BPM</v>
      </c>
      <c r="AJ146" s="60">
        <f>IFERROR(__xludf.DUMMYFUNCTION("""COMPUTED_VALUE"""),44396.0)</f>
        <v>44396</v>
      </c>
      <c r="AK146" s="61" t="str">
        <f>IFERROR(IF((AL146+1)&lt;2,Alertas!$B$2&amp;TEXT(AL146,"0%")&amp;Alertas!$D$2, IF((AL146+1)=2,Alertas!$B$3,IF((AL146+1)&gt;2,Alertas!$B$4&amp;TEXT(AL146,"0%")&amp;Alertas!$D$4,AL146+1))),"Sin meta para el segundo trimestre")</f>
        <v>La ejecución de la meta registrada se encuentra por encima de la meta programada en la formulación del plan de acción para el segundo trimestre, su porcentaje de cumplimiento es 102%,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6" s="62">
        <f t="shared" si="2"/>
        <v>1.016666667</v>
      </c>
      <c r="AM146" s="61" t="str">
        <f t="shared" si="3"/>
        <v>La ejecución de la meta registrada se encuentra por encima de la meta programada en la formulación del plan de acción para el segundo trimestre, su porcentaje de cumplimiento es 102%,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6" s="63"/>
      <c r="AO146" s="64"/>
      <c r="AP146" s="65"/>
      <c r="AQ146" s="65"/>
      <c r="AR146" s="66"/>
      <c r="AS146" s="67"/>
      <c r="AT146" s="68"/>
      <c r="AU146" s="63"/>
      <c r="AV146" s="64"/>
      <c r="AW146" s="69"/>
      <c r="AX146" s="65"/>
      <c r="AY146" s="70"/>
      <c r="AZ146" s="71"/>
      <c r="BA146" s="72"/>
      <c r="BB146" s="73"/>
      <c r="BC146" s="64"/>
      <c r="BD146" s="69"/>
      <c r="BE146" s="65"/>
      <c r="BF146" s="66"/>
      <c r="BG146" s="71"/>
      <c r="BH146" s="72"/>
      <c r="BI146" s="74"/>
      <c r="BK146" s="5" t="str">
        <f t="shared" si="23"/>
        <v>1</v>
      </c>
      <c r="BM146" s="5"/>
    </row>
    <row r="147" ht="37.5" customHeight="1">
      <c r="A147" s="45"/>
      <c r="B147" s="46">
        <f>IFERROR(__xludf.DUMMYFUNCTION("""COMPUTED_VALUE"""),145.0)</f>
        <v>145</v>
      </c>
      <c r="C147" s="47" t="str">
        <f>IFERROR(__xludf.DUMMYFUNCTION("""COMPUTED_VALUE"""),"Gestión de la inspección y vigilancia")</f>
        <v>Gestión de la inspección y vigilancia</v>
      </c>
      <c r="D147" s="48" t="str">
        <f>IFERROR(__xludf.DUMMYFUNCTION("""COMPUTED_VALUE"""),"Regional Medellín")</f>
        <v>Regional Medellín</v>
      </c>
      <c r="E147"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7" s="49">
        <f>IFERROR(__xludf.DUMMYFUNCTION("""COMPUTED_VALUE"""),2.019011000276E12)</f>
        <v>2019011000276</v>
      </c>
      <c r="G147" s="50" t="str">
        <f>IFERROR(__xludf.DUMMYFUNCTION("""COMPUTED_VALUE"""),"Inspección")</f>
        <v>Inspección</v>
      </c>
      <c r="H147" s="48" t="str">
        <f>IFERROR(__xludf.DUMMYFUNCTION("""COMPUTED_VALUE"""),"Aumentar el conocimiento de la normatividad pesquera y de la acuicultura por parte de la comunidad.")</f>
        <v>Aumentar el conocimiento de la normatividad pesquera y de la acuicultura por parte de la comunidad.</v>
      </c>
      <c r="I147" s="48" t="str">
        <f>IFERROR(__xludf.DUMMYFUNCTION("""COMPUTED_VALUE"""),"Servicio de divulgación y socialización")</f>
        <v>Servicio de divulgación y socialización</v>
      </c>
      <c r="J147" s="48" t="str">
        <f>IFERROR(__xludf.DUMMYFUNCTION("""COMPUTED_VALUE"""),"Implementar las estrategias de socialización y Divulgación a la comunidad")</f>
        <v>Implementar las estrategias de socialización y Divulgación a la comunidad</v>
      </c>
      <c r="K147" s="51" t="str">
        <f>IFERROR(__xludf.DUMMYFUNCTION("""COMPUTED_VALUE"""),"Gestión del área")</f>
        <v>Gestión del área</v>
      </c>
      <c r="L147" s="51" t="str">
        <f>IFERROR(__xludf.DUMMYFUNCTION("""COMPUTED_VALUE"""),"Eficacia")</f>
        <v>Eficacia</v>
      </c>
      <c r="M147" s="51" t="str">
        <f>IFERROR(__xludf.DUMMYFUNCTION("""COMPUTED_VALUE"""),"Número")</f>
        <v>Número</v>
      </c>
      <c r="N147" s="52" t="str">
        <f>IFERROR(__xludf.DUMMYFUNCTION("""COMPUTED_VALUE"""),"Número de capacitaciones realizadas/Número de capacitaciones programadas.")</f>
        <v>Número de capacitaciones realizadas/Número de capacitaciones programadas.</v>
      </c>
      <c r="O147" s="53"/>
      <c r="P147" s="54">
        <f>IFERROR(__xludf.DUMMYFUNCTION("""COMPUTED_VALUE"""),25.0)</f>
        <v>25</v>
      </c>
      <c r="Q147" s="55" t="str">
        <f>IFERROR(__xludf.DUMMYFUNCTION("""COMPUTED_VALUE"""),"Realizar capacitaciones en normatividad y medidas de inspección y vigilancia de la actividad pesquera y acuícola")</f>
        <v>Realizar capacitaciones en normatividad y medidas de inspección y vigilancia de la actividad pesquera y acuícola</v>
      </c>
      <c r="R147" s="14" t="str">
        <f>IFERROR(__xludf.DUMMYFUNCTION("""COMPUTED_VALUE"""),"Trimestral")</f>
        <v>Trimestral</v>
      </c>
      <c r="S147" s="54">
        <f>IFERROR(__xludf.DUMMYFUNCTION("""COMPUTED_VALUE"""),6.0)</f>
        <v>6</v>
      </c>
      <c r="T147" s="54">
        <f>IFERROR(__xludf.DUMMYFUNCTION("""COMPUTED_VALUE"""),5.0)</f>
        <v>5</v>
      </c>
      <c r="U147" s="54">
        <f>IFERROR(__xludf.DUMMYFUNCTION("""COMPUTED_VALUE"""),7.0)</f>
        <v>7</v>
      </c>
      <c r="V147" s="54">
        <f>IFERROR(__xludf.DUMMYFUNCTION("""COMPUTED_VALUE"""),7.0)</f>
        <v>7</v>
      </c>
      <c r="W147" s="56" t="str">
        <f>IFERROR(__xludf.DUMMYFUNCTION("""COMPUTED_VALUE"""),"Regional Medellin")</f>
        <v>Regional Medellin</v>
      </c>
      <c r="X147" s="57" t="str">
        <f>IFERROR(__xludf.DUMMYFUNCTION("""COMPUTED_VALUE"""),"CARLOS MARIO ZAPATA MORALES")</f>
        <v>CARLOS MARIO ZAPATA MORALES</v>
      </c>
      <c r="Y147" s="47" t="str">
        <f>IFERROR(__xludf.DUMMYFUNCTION("""COMPUTED_VALUE"""),"DIRECTOR REGIONAL MEDILLIN")</f>
        <v>DIRECTOR REGIONAL MEDILLIN</v>
      </c>
      <c r="Z147" s="57" t="str">
        <f>IFERROR(__xludf.DUMMYFUNCTION("""COMPUTED_VALUE"""),"CARLOS.ZAPATA@AUNAP.GOV.CO")</f>
        <v>CARLOS.ZAPATA@AUNAP.GOV.CO</v>
      </c>
      <c r="AA147" s="47" t="str">
        <f>IFERROR(__xludf.DUMMYFUNCTION("""COMPUTED_VALUE"""),"Humano, físico, financiero, tecnológico")</f>
        <v>Humano, físico, financiero, tecnológico</v>
      </c>
      <c r="AB147" s="47" t="str">
        <f>IFERROR(__xludf.DUMMYFUNCTION("""COMPUTED_VALUE"""),"No asociado")</f>
        <v>No asociado</v>
      </c>
      <c r="AC14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7" s="47" t="str">
        <f>IFERROR(__xludf.DUMMYFUNCTION("""COMPUTED_VALUE"""),"Gestión con valores para resultados")</f>
        <v>Gestión con valores para resultados</v>
      </c>
      <c r="AE147" s="47" t="str">
        <f>IFERROR(__xludf.DUMMYFUNCTION("""COMPUTED_VALUE"""),"Fortalecimiento Organizacional y Simplificación de Procesos")</f>
        <v>Fortalecimiento Organizacional y Simplificación de Procesos</v>
      </c>
      <c r="AF147" s="47" t="str">
        <f>IFERROR(__xludf.DUMMYFUNCTION("""COMPUTED_VALUE"""),"12. Producción y consumo responsable")</f>
        <v>12. Producción y consumo responsable</v>
      </c>
      <c r="AG147" s="58">
        <f>IFERROR(__xludf.DUMMYFUNCTION("""COMPUTED_VALUE"""),5.0)</f>
        <v>5</v>
      </c>
      <c r="AH147" s="59" t="str">
        <f>IFERROR(__xludf.DUMMYFUNCTION("""COMPUTED_VALUE"""),"Cumplimiento de la meta con enfasisi en la capacitacion a Entiddadesd e control para resguardar y administrar recurso pesquero y acuicola")</f>
        <v>Cumplimiento de la meta con enfasisi en la capacitacion a Entiddadesd e control para resguardar y administrar recurso pesquero y acuicola</v>
      </c>
      <c r="AI147" s="80" t="str">
        <f>IFERROR(__xludf.DUMMYFUNCTION("""COMPUTED_VALUE"""),"CAPACITACION NORMATIVA ENTIDADES TRIMESTRE II")</f>
        <v>CAPACITACION NORMATIVA ENTIDADES TRIMESTRE II</v>
      </c>
      <c r="AJ147" s="60">
        <f>IFERROR(__xludf.DUMMYFUNCTION("""COMPUTED_VALUE"""),44396.0)</f>
        <v>44396</v>
      </c>
      <c r="AK147" s="61" t="str">
        <f>IFERROR(IF((AL147+1)&lt;2,Alertas!$B$2&amp;TEXT(AL147,"0%")&amp;Alertas!$D$2, IF((AL147+1)=2,Alertas!$B$3,IF((AL147+1)&gt;2,Alertas!$B$4&amp;TEXT(AL147,"0%")&amp;Alertas!$D$4,AL147+1))),"Sin meta para el segundo trimestre")</f>
        <v>La ejecución de la meta registrada se encuentra acorde a la meta programada en la formulación del plan de acción para el segundo trimestre</v>
      </c>
      <c r="AL147" s="62">
        <f t="shared" si="2"/>
        <v>1</v>
      </c>
      <c r="AM147" s="61" t="str">
        <f t="shared" si="3"/>
        <v>La ejecución de la meta registrada se encuentra acorde a la meta programada en la formulación del plan de acción para el segundo trimestre.</v>
      </c>
      <c r="AN147" s="63"/>
      <c r="AO147" s="64"/>
      <c r="AP147" s="65"/>
      <c r="AQ147" s="65"/>
      <c r="AR147" s="66"/>
      <c r="AS147" s="67"/>
      <c r="AT147" s="68"/>
      <c r="AU147" s="63"/>
      <c r="AV147" s="64"/>
      <c r="AW147" s="69"/>
      <c r="AX147" s="65"/>
      <c r="AY147" s="70"/>
      <c r="AZ147" s="71"/>
      <c r="BA147" s="72"/>
      <c r="BB147" s="73"/>
      <c r="BC147" s="64"/>
      <c r="BD147" s="69"/>
      <c r="BE147" s="65"/>
      <c r="BF147" s="66"/>
      <c r="BG147" s="71"/>
      <c r="BH147" s="72"/>
      <c r="BI147" s="74"/>
      <c r="BK147" s="5" t="str">
        <f t="shared" si="23"/>
        <v>0</v>
      </c>
      <c r="BM147" s="5"/>
    </row>
    <row r="148" ht="37.5" customHeight="1">
      <c r="A148" s="45"/>
      <c r="B148" s="46">
        <f>IFERROR(__xludf.DUMMYFUNCTION("""COMPUTED_VALUE"""),146.0)</f>
        <v>146</v>
      </c>
      <c r="C148" s="47" t="str">
        <f>IFERROR(__xludf.DUMMYFUNCTION("""COMPUTED_VALUE"""),"Gestión de la administración y fomento")</f>
        <v>Gestión de la administración y fomento</v>
      </c>
      <c r="D148" s="48" t="str">
        <f>IFERROR(__xludf.DUMMYFUNCTION("""COMPUTED_VALUE"""),"Regional Medellín")</f>
        <v>Regional Medellín</v>
      </c>
      <c r="E148" s="48" t="str">
        <f>IFERROR(__xludf.DUMMYFUNCTION("""COMPUTED_VALUE"""),"Fortalecimiento de la sostenibilidad del sector pesquero y de la acuicultura en el territorio nacional")</f>
        <v>Fortalecimiento de la sostenibilidad del sector pesquero y de la acuicultura en el territorio nacional</v>
      </c>
      <c r="F148" s="49">
        <f>IFERROR(__xludf.DUMMYFUNCTION("""COMPUTED_VALUE"""),2.01901100028E12)</f>
        <v>2019011000280</v>
      </c>
      <c r="G148" s="50" t="str">
        <f>IFERROR(__xludf.DUMMYFUNCTION("""COMPUTED_VALUE"""),"Sostenibilidad")</f>
        <v>Sostenibilidad</v>
      </c>
      <c r="H148" s="48" t="str">
        <f>IFERROR(__xludf.DUMMYFUNCTION("""COMPUTED_VALUE"""),"Mejorar las prácticas de pesca y de acuicultura.")</f>
        <v>Mejorar las prácticas de pesca y de acuicultura.</v>
      </c>
      <c r="I148" s="48" t="str">
        <f>IFERROR(__xludf.DUMMYFUNCTION("""COMPUTED_VALUE"""),"Servicios de apoyo al fomento de la pesca y la acuicultura")</f>
        <v>Servicios de apoyo al fomento de la pesca y la acuicultura</v>
      </c>
      <c r="J148" s="48" t="str">
        <f>IFERROR(__xludf.DUMMYFUNCTION("""COMPUTED_VALUE"""),"Generar acciones de fomento para la pesca, la acuicultura y sus actividades conexas.")</f>
        <v>Generar acciones de fomento para la pesca, la acuicultura y sus actividades conexas.</v>
      </c>
      <c r="K148" s="51" t="str">
        <f>IFERROR(__xludf.DUMMYFUNCTION("""COMPUTED_VALUE"""),"Gestión del área")</f>
        <v>Gestión del área</v>
      </c>
      <c r="L148" s="51" t="str">
        <f>IFERROR(__xludf.DUMMYFUNCTION("""COMPUTED_VALUE"""),"Eficacia")</f>
        <v>Eficacia</v>
      </c>
      <c r="M148" s="51" t="str">
        <f>IFERROR(__xludf.DUMMYFUNCTION("""COMPUTED_VALUE"""),"Número")</f>
        <v>Número</v>
      </c>
      <c r="N148" s="52" t="str">
        <f>IFERROR(__xludf.DUMMYFUNCTION("""COMPUTED_VALUE"""),"Número de campañas de divulgaciones y promoción realizadas/Número de campañas de divulgación y promoción programadas")</f>
        <v>Número de campañas de divulgaciones y promoción realizadas/Número de campañas de divulgación y promoción programadas</v>
      </c>
      <c r="O148" s="53"/>
      <c r="P148" s="54">
        <f>IFERROR(__xludf.DUMMYFUNCTION("""COMPUTED_VALUE"""),30.0)</f>
        <v>30</v>
      </c>
      <c r="Q148" s="55" t="str">
        <f>IFERROR(__xludf.DUMMYFUNCTION("""COMPUTED_VALUE"""),"Realizar campañas de divulgación y promoción a nivel nacional, sobre normatividad de pesca y acuicultura")</f>
        <v>Realizar campañas de divulgación y promoción a nivel nacional, sobre normatividad de pesca y acuicultura</v>
      </c>
      <c r="R148" s="14" t="str">
        <f>IFERROR(__xludf.DUMMYFUNCTION("""COMPUTED_VALUE"""),"Trimestral")</f>
        <v>Trimestral</v>
      </c>
      <c r="S148" s="54">
        <f>IFERROR(__xludf.DUMMYFUNCTION("""COMPUTED_VALUE"""),6.0)</f>
        <v>6</v>
      </c>
      <c r="T148" s="54">
        <f>IFERROR(__xludf.DUMMYFUNCTION("""COMPUTED_VALUE"""),4.0)</f>
        <v>4</v>
      </c>
      <c r="U148" s="54">
        <f>IFERROR(__xludf.DUMMYFUNCTION("""COMPUTED_VALUE"""),10.0)</f>
        <v>10</v>
      </c>
      <c r="V148" s="54">
        <f>IFERROR(__xludf.DUMMYFUNCTION("""COMPUTED_VALUE"""),10.0)</f>
        <v>10</v>
      </c>
      <c r="W148" s="56" t="str">
        <f>IFERROR(__xludf.DUMMYFUNCTION("""COMPUTED_VALUE"""),"Regional Medellin")</f>
        <v>Regional Medellin</v>
      </c>
      <c r="X148" s="57" t="str">
        <f>IFERROR(__xludf.DUMMYFUNCTION("""COMPUTED_VALUE"""),"CARLOS MARIO ZAPATA MORALES")</f>
        <v>CARLOS MARIO ZAPATA MORALES</v>
      </c>
      <c r="Y148" s="47" t="str">
        <f>IFERROR(__xludf.DUMMYFUNCTION("""COMPUTED_VALUE"""),"DIRECTOR REGIONAL MEDILLIN")</f>
        <v>DIRECTOR REGIONAL MEDILLIN</v>
      </c>
      <c r="Z148" s="57" t="str">
        <f>IFERROR(__xludf.DUMMYFUNCTION("""COMPUTED_VALUE"""),"CARLOS.ZAPATA@AUNAP.GOV.CO")</f>
        <v>CARLOS.ZAPATA@AUNAP.GOV.CO</v>
      </c>
      <c r="AA148" s="47" t="str">
        <f>IFERROR(__xludf.DUMMYFUNCTION("""COMPUTED_VALUE"""),"Humano, físico, financiero, tecnológico")</f>
        <v>Humano, físico, financiero, tecnológico</v>
      </c>
      <c r="AB148" s="47" t="str">
        <f>IFERROR(__xludf.DUMMYFUNCTION("""COMPUTED_VALUE"""),"No asociado")</f>
        <v>No asociado</v>
      </c>
      <c r="AC14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8" s="47" t="str">
        <f>IFERROR(__xludf.DUMMYFUNCTION("""COMPUTED_VALUE"""),"Gestión con valores para resultados")</f>
        <v>Gestión con valores para resultados</v>
      </c>
      <c r="AE148" s="47" t="str">
        <f>IFERROR(__xludf.DUMMYFUNCTION("""COMPUTED_VALUE"""),"Fortalecimiento Organizacional y Simplificación de Procesos")</f>
        <v>Fortalecimiento Organizacional y Simplificación de Procesos</v>
      </c>
      <c r="AF148" s="47" t="str">
        <f>IFERROR(__xludf.DUMMYFUNCTION("""COMPUTED_VALUE"""),"12. Producción y consumo responsable")</f>
        <v>12. Producción y consumo responsable</v>
      </c>
      <c r="AG148" s="58">
        <f>IFERROR(__xludf.DUMMYFUNCTION("""COMPUTED_VALUE"""),8.0)</f>
        <v>8</v>
      </c>
      <c r="AH148" s="59" t="str">
        <f>IFERROR(__xludf.DUMMYFUNCTION("""COMPUTED_VALUE"""),"Se realzaron campañas divulgativas en emisoras, en su mayoria por temas relacionados a la Veda del bagre rayado y normatividad ")</f>
        <v>Se realzaron campañas divulgativas en emisoras, en su mayoria por temas relacionados a la Veda del bagre rayado y normatividad </v>
      </c>
      <c r="AI148" s="80" t="str">
        <f>IFERROR(__xludf.DUMMYFUNCTION("""COMPUTED_VALUE"""),"DIVULGACION TRIMESTRE II")</f>
        <v>DIVULGACION TRIMESTRE II</v>
      </c>
      <c r="AJ148" s="60">
        <f>IFERROR(__xludf.DUMMYFUNCTION("""COMPUTED_VALUE"""),44396.0)</f>
        <v>44396</v>
      </c>
      <c r="AK148" s="61" t="str">
        <f>IFERROR(IF((AL148+1)&lt;2,Alertas!$B$2&amp;TEXT(AL148,"0%")&amp;Alertas!$D$2, IF((AL148+1)=2,Alertas!$B$3,IF((AL148+1)&gt;2,Alertas!$B$4&amp;TEXT(AL148,"0%")&amp;Alertas!$D$4,AL148+1))),"Sin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8" s="62">
        <f t="shared" si="2"/>
        <v>2</v>
      </c>
      <c r="AM148"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8" s="63"/>
      <c r="AO148" s="64"/>
      <c r="AP148" s="65"/>
      <c r="AQ148" s="65"/>
      <c r="AR148" s="66"/>
      <c r="AS148" s="67"/>
      <c r="AT148" s="68"/>
      <c r="AU148" s="63"/>
      <c r="AV148" s="64"/>
      <c r="AW148" s="69"/>
      <c r="AX148" s="65"/>
      <c r="AY148" s="70"/>
      <c r="AZ148" s="71"/>
      <c r="BA148" s="72"/>
      <c r="BB148" s="73"/>
      <c r="BC148" s="64"/>
      <c r="BD148" s="69"/>
      <c r="BE148" s="65"/>
      <c r="BF148" s="66"/>
      <c r="BG148" s="71"/>
      <c r="BH148" s="72"/>
      <c r="BI148" s="74"/>
      <c r="BK148" s="5" t="str">
        <f t="shared" si="23"/>
        <v>1</v>
      </c>
      <c r="BM148" s="5"/>
    </row>
    <row r="149" ht="37.5" customHeight="1">
      <c r="A149" s="45"/>
      <c r="B149" s="46">
        <f>IFERROR(__xludf.DUMMYFUNCTION("""COMPUTED_VALUE"""),147.0)</f>
        <v>147</v>
      </c>
      <c r="C149" s="47" t="str">
        <f>IFERROR(__xludf.DUMMYFUNCTION("""COMPUTED_VALUE"""),"Gestión de la administración y fomento")</f>
        <v>Gestión de la administración y fomento</v>
      </c>
      <c r="D149" s="48" t="str">
        <f>IFERROR(__xludf.DUMMYFUNCTION("""COMPUTED_VALUE"""),"Regional Medellín")</f>
        <v>Regional Medellín</v>
      </c>
      <c r="E149" s="48" t="str">
        <f>IFERROR(__xludf.DUMMYFUNCTION("""COMPUTED_VALUE"""),"Fortalecimiento de la sostenibilidad del sector pesquero y de la acuicultura en el territorio nacional")</f>
        <v>Fortalecimiento de la sostenibilidad del sector pesquero y de la acuicultura en el territorio nacional</v>
      </c>
      <c r="F149" s="49">
        <f>IFERROR(__xludf.DUMMYFUNCTION("""COMPUTED_VALUE"""),2.01901100028E12)</f>
        <v>2019011000280</v>
      </c>
      <c r="G149" s="50" t="str">
        <f>IFERROR(__xludf.DUMMYFUNCTION("""COMPUTED_VALUE"""),"Sostenibilidad")</f>
        <v>Sostenibilidad</v>
      </c>
      <c r="H149" s="48" t="str">
        <f>IFERROR(__xludf.DUMMYFUNCTION("""COMPUTED_VALUE"""),"Mejorar la explotación de los recursos pesqueros y de la acuicultura.")</f>
        <v>Mejorar la explotación de los recursos pesqueros y de la acuicultura.</v>
      </c>
      <c r="I149" s="48" t="str">
        <f>IFERROR(__xludf.DUMMYFUNCTION("""COMPUTED_VALUE"""),"Servicios de administración de los recurso pesqueros y de la acuicultura")</f>
        <v>Servicios de administración de los recurso pesqueros y de la acuicultura</v>
      </c>
      <c r="J149" s="48" t="str">
        <f>IFERROR(__xludf.DUMMYFUNCTION("""COMPUTED_VALUE"""),"Regular el manejo y el ejercicio de la actividad pesquera y de la acuicultura.")</f>
        <v>Regular el manejo y el ejercicio de la actividad pesquera y de la acuicultura.</v>
      </c>
      <c r="K149" s="51" t="str">
        <f>IFERROR(__xludf.DUMMYFUNCTION("""COMPUTED_VALUE"""),"Gestión del área")</f>
        <v>Gestión del área</v>
      </c>
      <c r="L149" s="51" t="str">
        <f>IFERROR(__xludf.DUMMYFUNCTION("""COMPUTED_VALUE"""),"Eficacia")</f>
        <v>Eficacia</v>
      </c>
      <c r="M149" s="51" t="str">
        <f>IFERROR(__xludf.DUMMYFUNCTION("""COMPUTED_VALUE"""),"Número")</f>
        <v>Número</v>
      </c>
      <c r="N149" s="52" t="str">
        <f>IFERROR(__xludf.DUMMYFUNCTION("""COMPUTED_VALUE"""),"Número de pescadores artesanales formalizados/Número de pescadores artesanales programados")</f>
        <v>Número de pescadores artesanales formalizados/Número de pescadores artesanales programados</v>
      </c>
      <c r="O149" s="53"/>
      <c r="P149" s="54">
        <f>IFERROR(__xludf.DUMMYFUNCTION("""COMPUTED_VALUE"""),2200.0)</f>
        <v>2200</v>
      </c>
      <c r="Q149" s="55" t="str">
        <f>IFERROR(__xludf.DUMMYFUNCTION("""COMPUTED_VALUE"""),"Formalizar Pescadores artesanales")</f>
        <v>Formalizar Pescadores artesanales</v>
      </c>
      <c r="R149" s="14" t="str">
        <f>IFERROR(__xludf.DUMMYFUNCTION("""COMPUTED_VALUE"""),"Trimestral")</f>
        <v>Trimestral</v>
      </c>
      <c r="S149" s="54">
        <f>IFERROR(__xludf.DUMMYFUNCTION("""COMPUTED_VALUE"""),0.0)</f>
        <v>0</v>
      </c>
      <c r="T149" s="54">
        <f>IFERROR(__xludf.DUMMYFUNCTION("""COMPUTED_VALUE"""),650.0)</f>
        <v>650</v>
      </c>
      <c r="U149" s="54">
        <f>IFERROR(__xludf.DUMMYFUNCTION("""COMPUTED_VALUE"""),750.0)</f>
        <v>750</v>
      </c>
      <c r="V149" s="54">
        <f>IFERROR(__xludf.DUMMYFUNCTION("""COMPUTED_VALUE"""),800.0)</f>
        <v>800</v>
      </c>
      <c r="W149" s="56" t="str">
        <f>IFERROR(__xludf.DUMMYFUNCTION("""COMPUTED_VALUE"""),"Regional Medellin")</f>
        <v>Regional Medellin</v>
      </c>
      <c r="X149" s="57" t="str">
        <f>IFERROR(__xludf.DUMMYFUNCTION("""COMPUTED_VALUE"""),"CARLOS MARIO ZAPATA MORALES")</f>
        <v>CARLOS MARIO ZAPATA MORALES</v>
      </c>
      <c r="Y149" s="47" t="str">
        <f>IFERROR(__xludf.DUMMYFUNCTION("""COMPUTED_VALUE"""),"DIRECTOR REGIONAL MEDILLIN")</f>
        <v>DIRECTOR REGIONAL MEDILLIN</v>
      </c>
      <c r="Z149" s="57" t="str">
        <f>IFERROR(__xludf.DUMMYFUNCTION("""COMPUTED_VALUE"""),"CARLOS.ZAPATA@AUNAP.GOV.CO")</f>
        <v>CARLOS.ZAPATA@AUNAP.GOV.CO</v>
      </c>
      <c r="AA149" s="47" t="str">
        <f>IFERROR(__xludf.DUMMYFUNCTION("""COMPUTED_VALUE"""),"Humano, físico, financiero, tecnológico")</f>
        <v>Humano, físico, financiero, tecnológico</v>
      </c>
      <c r="AB149" s="47" t="str">
        <f>IFERROR(__xludf.DUMMYFUNCTION("""COMPUTED_VALUE"""),"No asociado")</f>
        <v>No asociado</v>
      </c>
      <c r="AC14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9" s="47" t="str">
        <f>IFERROR(__xludf.DUMMYFUNCTION("""COMPUTED_VALUE"""),"Gestión con valores para resultados")</f>
        <v>Gestión con valores para resultados</v>
      </c>
      <c r="AE149" s="47" t="str">
        <f>IFERROR(__xludf.DUMMYFUNCTION("""COMPUTED_VALUE"""),"Fortalecimiento Organizacional y Simplificación de Procesos")</f>
        <v>Fortalecimiento Organizacional y Simplificación de Procesos</v>
      </c>
      <c r="AF149" s="47" t="str">
        <f>IFERROR(__xludf.DUMMYFUNCTION("""COMPUTED_VALUE"""),"12. Producción y consumo responsable")</f>
        <v>12. Producción y consumo responsable</v>
      </c>
      <c r="AG149" s="58">
        <f>IFERROR(__xludf.DUMMYFUNCTION("""COMPUTED_VALUE"""),821.0)</f>
        <v>821</v>
      </c>
      <c r="AH149" s="59" t="str">
        <f>IFERROR(__xludf.DUMMYFUNCTION("""COMPUTED_VALUE"""),"La expedidicon de Carnet artesanal se realiza por demanda y a solicitud de los usuarios.")</f>
        <v>La expedidicon de Carnet artesanal se realiza por demanda y a solicitud de los usuarios.</v>
      </c>
      <c r="AI149" s="80" t="str">
        <f>IFERROR(__xludf.DUMMYFUNCTION("""COMPUTED_VALUE"""),"CARNET ARTESANAL EXPEDIDOS  TRIMESTRE II")</f>
        <v>CARNET ARTESANAL EXPEDIDOS  TRIMESTRE II</v>
      </c>
      <c r="AJ149" s="60">
        <f>IFERROR(__xludf.DUMMYFUNCTION("""COMPUTED_VALUE"""),44396.0)</f>
        <v>44396</v>
      </c>
      <c r="AK149" s="61" t="str">
        <f>IFERROR(IF((AL149+1)&lt;2,Alertas!$B$2&amp;TEXT(AL149,"0%")&amp;Alertas!$D$2, IF((AL149+1)=2,Alertas!$B$3,IF((AL149+1)&gt;2,Alertas!$B$4&amp;TEXT(AL149,"0%")&amp;Alertas!$D$4,AL149+1))),"Sin meta para el segundo trimestre")</f>
        <v>La ejecución de la meta registrada se encuentra por encima de la meta programada en la formulación del plan de acción para el segundo trimestre, su porcentaje de cumplimiento es 126%,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49" s="62">
        <f t="shared" si="2"/>
        <v>1.263076923</v>
      </c>
      <c r="AM149" s="61" t="str">
        <f t="shared" si="3"/>
        <v>La ejecución de la meta registrada se encuentra por encima de la meta programada en la formulación del plan de acción para el segundo trimestre, su porcentaje de cumplimiento es 126%,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49" s="63"/>
      <c r="AO149" s="64"/>
      <c r="AP149" s="65"/>
      <c r="AQ149" s="65"/>
      <c r="AR149" s="66"/>
      <c r="AS149" s="67"/>
      <c r="AT149" s="68"/>
      <c r="AU149" s="63"/>
      <c r="AV149" s="64"/>
      <c r="AW149" s="69"/>
      <c r="AX149" s="65"/>
      <c r="AY149" s="70"/>
      <c r="AZ149" s="71"/>
      <c r="BA149" s="72"/>
      <c r="BB149" s="73"/>
      <c r="BC149" s="64"/>
      <c r="BD149" s="69"/>
      <c r="BE149" s="65"/>
      <c r="BF149" s="66"/>
      <c r="BG149" s="71"/>
      <c r="BH149" s="72"/>
      <c r="BI149" s="74"/>
      <c r="BK149" s="5" t="str">
        <f t="shared" si="23"/>
        <v>1</v>
      </c>
      <c r="BM149" s="5"/>
    </row>
    <row r="150" ht="37.5" customHeight="1">
      <c r="A150" s="45"/>
      <c r="B150" s="46">
        <f>IFERROR(__xludf.DUMMYFUNCTION("""COMPUTED_VALUE"""),148.0)</f>
        <v>148</v>
      </c>
      <c r="C150" s="47" t="str">
        <f>IFERROR(__xludf.DUMMYFUNCTION("""COMPUTED_VALUE"""),"Gestión de la inspección y vigilancia")</f>
        <v>Gestión de la inspección y vigilancia</v>
      </c>
      <c r="D150" s="48" t="str">
        <f>IFERROR(__xludf.DUMMYFUNCTION("""COMPUTED_VALUE"""),"Regional Medellín")</f>
        <v>Regional Medellín</v>
      </c>
      <c r="E15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0" s="49">
        <f>IFERROR(__xludf.DUMMYFUNCTION("""COMPUTED_VALUE"""),2.019011000276E12)</f>
        <v>2019011000276</v>
      </c>
      <c r="G150" s="50" t="str">
        <f>IFERROR(__xludf.DUMMYFUNCTION("""COMPUTED_VALUE"""),"Inspección")</f>
        <v>Inspección</v>
      </c>
      <c r="H150" s="48" t="str">
        <f>IFERROR(__xludf.DUMMYFUNCTION("""COMPUTED_VALUE"""),"Fortalecer los mecanismos de seguimiento y control de la actividad pesquera y de la acuicultura.")</f>
        <v>Fortalecer los mecanismos de seguimiento y control de la actividad pesquera y de la acuicultura.</v>
      </c>
      <c r="I150" s="48" t="str">
        <f>IFERROR(__xludf.DUMMYFUNCTION("""COMPUTED_VALUE"""),"Servicio de inspección, vigilancia y control de la pesca y la acuicultura")</f>
        <v>Servicio de inspección, vigilancia y control de la pesca y la acuicultura</v>
      </c>
      <c r="J150" s="48" t="str">
        <f>IFERROR(__xludf.DUMMYFUNCTION("""COMPUTED_VALUE"""),"Realizar seguimiento y actualización al registro general de pesca.")</f>
        <v>Realizar seguimiento y actualización al registro general de pesca.</v>
      </c>
      <c r="K150" s="51" t="str">
        <f>IFERROR(__xludf.DUMMYFUNCTION("""COMPUTED_VALUE"""),"Producto")</f>
        <v>Producto</v>
      </c>
      <c r="L150" s="51" t="str">
        <f>IFERROR(__xludf.DUMMYFUNCTION("""COMPUTED_VALUE"""),"Eficacia")</f>
        <v>Eficacia</v>
      </c>
      <c r="M150" s="51" t="str">
        <f>IFERROR(__xludf.DUMMYFUNCTION("""COMPUTED_VALUE"""),"Número")</f>
        <v>Número</v>
      </c>
      <c r="N150" s="52" t="str">
        <f>IFERROR(__xludf.DUMMYFUNCTION("""COMPUTED_VALUE"""),"Operativos de inspección, vigilancia y control realizados")</f>
        <v>Operativos de inspección, vigilancia y control realizados</v>
      </c>
      <c r="O150" s="53">
        <f>IFERROR(__xludf.DUMMYFUNCTION("""COMPUTED_VALUE"""),157.0)</f>
        <v>157</v>
      </c>
      <c r="P150" s="54">
        <f>IFERROR(__xludf.DUMMYFUNCTION("""COMPUTED_VALUE"""),600.0)</f>
        <v>600</v>
      </c>
      <c r="Q150" s="55" t="str">
        <f>IFERROR(__xludf.DUMMYFUNCTION("""COMPUTED_VALUE"""),"Realizar operativos de control")</f>
        <v>Realizar operativos de control</v>
      </c>
      <c r="R150" s="14" t="str">
        <f>IFERROR(__xludf.DUMMYFUNCTION("""COMPUTED_VALUE"""),"Trimestral")</f>
        <v>Trimestral</v>
      </c>
      <c r="S150" s="54">
        <f>IFERROR(__xludf.DUMMYFUNCTION("""COMPUTED_VALUE"""),152.0)</f>
        <v>152</v>
      </c>
      <c r="T150" s="54">
        <f>IFERROR(__xludf.DUMMYFUNCTION("""COMPUTED_VALUE"""),85.0)</f>
        <v>85</v>
      </c>
      <c r="U150" s="54">
        <f>IFERROR(__xludf.DUMMYFUNCTION("""COMPUTED_VALUE"""),179.0)</f>
        <v>179</v>
      </c>
      <c r="V150" s="54">
        <f>IFERROR(__xludf.DUMMYFUNCTION("""COMPUTED_VALUE"""),184.0)</f>
        <v>184</v>
      </c>
      <c r="W150" s="56" t="str">
        <f>IFERROR(__xludf.DUMMYFUNCTION("""COMPUTED_VALUE"""),"Regional Medellin")</f>
        <v>Regional Medellin</v>
      </c>
      <c r="X150" s="57" t="str">
        <f>IFERROR(__xludf.DUMMYFUNCTION("""COMPUTED_VALUE"""),"CARLOS MARIO ZAPATA MORALES")</f>
        <v>CARLOS MARIO ZAPATA MORALES</v>
      </c>
      <c r="Y150" s="47" t="str">
        <f>IFERROR(__xludf.DUMMYFUNCTION("""COMPUTED_VALUE"""),"DIRECTOR REGIONAL MEDILLIN")</f>
        <v>DIRECTOR REGIONAL MEDILLIN</v>
      </c>
      <c r="Z150" s="57" t="str">
        <f>IFERROR(__xludf.DUMMYFUNCTION("""COMPUTED_VALUE"""),"CARLOS.ZAPATA@AUNAP.GOV.CO")</f>
        <v>CARLOS.ZAPATA@AUNAP.GOV.CO</v>
      </c>
      <c r="AA150" s="47" t="str">
        <f>IFERROR(__xludf.DUMMYFUNCTION("""COMPUTED_VALUE"""),"Humano, físico, financiero, tecnológico")</f>
        <v>Humano, físico, financiero, tecnológico</v>
      </c>
      <c r="AB150" s="47" t="str">
        <f>IFERROR(__xludf.DUMMYFUNCTION("""COMPUTED_VALUE"""),"No asociado")</f>
        <v>No asociado</v>
      </c>
      <c r="AC15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0" s="47" t="str">
        <f>IFERROR(__xludf.DUMMYFUNCTION("""COMPUTED_VALUE"""),"Gestión con valores para resultados")</f>
        <v>Gestión con valores para resultados</v>
      </c>
      <c r="AE150" s="47" t="str">
        <f>IFERROR(__xludf.DUMMYFUNCTION("""COMPUTED_VALUE"""),"Fortalecimiento Organizacional y Simplificación de Procesos")</f>
        <v>Fortalecimiento Organizacional y Simplificación de Procesos</v>
      </c>
      <c r="AF150" s="47" t="str">
        <f>IFERROR(__xludf.DUMMYFUNCTION("""COMPUTED_VALUE"""),"12. Producción y consumo responsable")</f>
        <v>12. Producción y consumo responsable</v>
      </c>
      <c r="AG150" s="58">
        <f>IFERROR(__xludf.DUMMYFUNCTION("""COMPUTED_VALUE"""),145.0)</f>
        <v>145</v>
      </c>
      <c r="AH150" s="59" t="str">
        <f>IFERROR(__xludf.DUMMYFUNCTION("""COMPUTED_VALUE"""),"Se atendieron actividades con enfasis en las oficinas de campo de la Regional tanto marina como continental.")</f>
        <v>Se atendieron actividades con enfasis en las oficinas de campo de la Regional tanto marina como continental.</v>
      </c>
      <c r="AI150" s="80" t="str">
        <f>IFERROR(__xludf.DUMMYFUNCTION("""COMPUTED_VALUE"""),"OPERATIVOS TRIMESTRE II")</f>
        <v>OPERATIVOS TRIMESTRE II</v>
      </c>
      <c r="AJ150" s="60">
        <f>IFERROR(__xludf.DUMMYFUNCTION("""COMPUTED_VALUE"""),44396.0)</f>
        <v>44396</v>
      </c>
      <c r="AK150" s="61" t="str">
        <f>IFERROR(IF((AL150+1)&lt;2,Alertas!$B$2&amp;TEXT(AL150,"0%")&amp;Alertas!$D$2, IF((AL150+1)=2,Alertas!$B$3,IF((AL150+1)&gt;2,Alertas!$B$4&amp;TEXT(AL150,"0%")&amp;Alertas!$D$4,AL150+1))),"Sin meta para el segundo trimestre")</f>
        <v>La ejecución de la meta registrada se encuentra por encima de la meta programada en la formulación del plan de acción para el segundo trimestre, su porcentaje de cumplimiento es 171%,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0" s="62">
        <f t="shared" si="2"/>
        <v>1.705882353</v>
      </c>
      <c r="AM150" s="61" t="str">
        <f t="shared" si="3"/>
        <v>La ejecución de la meta registrada se encuentra por encima de la meta programada en la formulación del plan de acción para el segundo trimestre, su porcentaje de cumplimiento es 171%,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0" s="63"/>
      <c r="AO150" s="64"/>
      <c r="AP150" s="65"/>
      <c r="AQ150" s="65"/>
      <c r="AR150" s="66"/>
      <c r="AS150" s="67"/>
      <c r="AT150" s="68"/>
      <c r="AU150" s="63"/>
      <c r="AV150" s="64"/>
      <c r="AW150" s="69"/>
      <c r="AX150" s="65"/>
      <c r="AY150" s="70"/>
      <c r="AZ150" s="71"/>
      <c r="BA150" s="72"/>
      <c r="BB150" s="73"/>
      <c r="BC150" s="64"/>
      <c r="BD150" s="69"/>
      <c r="BE150" s="65"/>
      <c r="BF150" s="66"/>
      <c r="BG150" s="71"/>
      <c r="BH150" s="72"/>
      <c r="BI150" s="74"/>
      <c r="BK150" s="5" t="str">
        <f t="shared" si="23"/>
        <v>1</v>
      </c>
      <c r="BM150" s="5"/>
    </row>
    <row r="151" ht="37.5" customHeight="1">
      <c r="A151" s="45"/>
      <c r="B151" s="46">
        <f>IFERROR(__xludf.DUMMYFUNCTION("""COMPUTED_VALUE"""),149.0)</f>
        <v>149</v>
      </c>
      <c r="C151" s="47" t="str">
        <f>IFERROR(__xludf.DUMMYFUNCTION("""COMPUTED_VALUE"""),"Gestión de la administración y fomento")</f>
        <v>Gestión de la administración y fomento</v>
      </c>
      <c r="D151" s="48" t="str">
        <f>IFERROR(__xludf.DUMMYFUNCTION("""COMPUTED_VALUE"""),"Regional Villavicencio")</f>
        <v>Regional Villavicencio</v>
      </c>
      <c r="E151" s="48" t="str">
        <f>IFERROR(__xludf.DUMMYFUNCTION("""COMPUTED_VALUE"""),"Fortalecimiento de la sostenibilidad del sector pesquero y de la acuicultura en el territorio nacional")</f>
        <v>Fortalecimiento de la sostenibilidad del sector pesquero y de la acuicultura en el territorio nacional</v>
      </c>
      <c r="F151" s="49">
        <f>IFERROR(__xludf.DUMMYFUNCTION("""COMPUTED_VALUE"""),2.01901100028E12)</f>
        <v>2019011000280</v>
      </c>
      <c r="G151" s="50" t="str">
        <f>IFERROR(__xludf.DUMMYFUNCTION("""COMPUTED_VALUE"""),"Sostenibilidad")</f>
        <v>Sostenibilidad</v>
      </c>
      <c r="H151" s="48" t="str">
        <f>IFERROR(__xludf.DUMMYFUNCTION("""COMPUTED_VALUE"""),"Mejorar la explotación de los recursos pesqueros y de la acuicultura.")</f>
        <v>Mejorar la explotación de los recursos pesqueros y de la acuicultura.</v>
      </c>
      <c r="I151" s="48" t="str">
        <f>IFERROR(__xludf.DUMMYFUNCTION("""COMPUTED_VALUE"""),"Servicios de administración de los recurso pesqueros y de la acuicultura")</f>
        <v>Servicios de administración de los recurso pesqueros y de la acuicultura</v>
      </c>
      <c r="J151" s="48" t="str">
        <f>IFERROR(__xludf.DUMMYFUNCTION("""COMPUTED_VALUE"""),"Regular el manejo y el ejercicio de la actividad pesquera y de la acuicultura.")</f>
        <v>Regular el manejo y el ejercicio de la actividad pesquera y de la acuicultura.</v>
      </c>
      <c r="K151" s="51" t="str">
        <f>IFERROR(__xludf.DUMMYFUNCTION("""COMPUTED_VALUE"""),"Producto")</f>
        <v>Producto</v>
      </c>
      <c r="L151" s="51" t="str">
        <f>IFERROR(__xludf.DUMMYFUNCTION("""COMPUTED_VALUE"""),"Eficacia")</f>
        <v>Eficacia</v>
      </c>
      <c r="M151" s="51" t="str">
        <f>IFERROR(__xludf.DUMMYFUNCTION("""COMPUTED_VALUE"""),"Número")</f>
        <v>Número</v>
      </c>
      <c r="N151" s="52" t="str">
        <f>IFERROR(__xludf.DUMMYFUNCTION("""COMPUTED_VALUE"""),"Trámites atendidos")</f>
        <v>Trámites atendidos</v>
      </c>
      <c r="O151" s="53">
        <f>IFERROR(__xludf.DUMMYFUNCTION("""COMPUTED_VALUE"""),-7140.0)</f>
        <v>-7140</v>
      </c>
      <c r="P151" s="54">
        <f>IFERROR(__xludf.DUMMYFUNCTION("""COMPUTED_VALUE"""),230.0)</f>
        <v>230</v>
      </c>
      <c r="Q151" s="55" t="str">
        <f>IFERROR(__xludf.DUMMYFUNCTION("""COMPUTED_VALUE"""),"Gestionar las solicitudes de los tramites de permisos de para el ejercicio de la pesca y la acuicultura")</f>
        <v>Gestionar las solicitudes de los tramites de permisos de para el ejercicio de la pesca y la acuicultura</v>
      </c>
      <c r="R151" s="14" t="str">
        <f>IFERROR(__xludf.DUMMYFUNCTION("""COMPUTED_VALUE"""),"Mensual")</f>
        <v>Mensual</v>
      </c>
      <c r="S151" s="54">
        <f>IFERROR(__xludf.DUMMYFUNCTION("""COMPUTED_VALUE"""),30.0)</f>
        <v>30</v>
      </c>
      <c r="T151" s="54">
        <f>IFERROR(__xludf.DUMMYFUNCTION("""COMPUTED_VALUE"""),75.0)</f>
        <v>75</v>
      </c>
      <c r="U151" s="54">
        <f>IFERROR(__xludf.DUMMYFUNCTION("""COMPUTED_VALUE"""),75.0)</f>
        <v>75</v>
      </c>
      <c r="V151" s="54">
        <f>IFERROR(__xludf.DUMMYFUNCTION("""COMPUTED_VALUE"""),50.0)</f>
        <v>50</v>
      </c>
      <c r="W151" s="56" t="str">
        <f>IFERROR(__xludf.DUMMYFUNCTION("""COMPUTED_VALUE"""),"Regional Villavicencio")</f>
        <v>Regional Villavicencio</v>
      </c>
      <c r="X151" s="57" t="str">
        <f>IFERROR(__xludf.DUMMYFUNCTION("""COMPUTED_VALUE"""),"Maritza Casallas Delgado")</f>
        <v>Maritza Casallas Delgado</v>
      </c>
      <c r="Y151" s="47" t="str">
        <f>IFERROR(__xludf.DUMMYFUNCTION("""COMPUTED_VALUE"""),"Director Regional")</f>
        <v>Director Regional</v>
      </c>
      <c r="Z151" s="57" t="str">
        <f>IFERROR(__xludf.DUMMYFUNCTION("""COMPUTED_VALUE"""),"maritza.casallas@aunap.gov.co")</f>
        <v>maritza.casallas@aunap.gov.co</v>
      </c>
      <c r="AA151" s="47" t="str">
        <f>IFERROR(__xludf.DUMMYFUNCTION("""COMPUTED_VALUE"""),"Humanos, fisicos, financieros y tecnologicos")</f>
        <v>Humanos, fisicos, financieros y tecnologicos</v>
      </c>
      <c r="AB151" s="47" t="str">
        <f>IFERROR(__xludf.DUMMYFUNCTION("""COMPUTED_VALUE"""),"No asociado")</f>
        <v>No asociado</v>
      </c>
      <c r="AC151" s="47" t="str">
        <f>IFERROR(__xludf.DUMMYFUNCTION("""COMPUTED_VALUE"""),"Propiciar la formalización de la pesca y la acuicultura")</f>
        <v>Propiciar la formalización de la pesca y la acuicultura</v>
      </c>
      <c r="AD151" s="47" t="str">
        <f>IFERROR(__xludf.DUMMYFUNCTION("""COMPUTED_VALUE"""),"Gestión con valores para resultados")</f>
        <v>Gestión con valores para resultados</v>
      </c>
      <c r="AE151" s="47" t="str">
        <f>IFERROR(__xludf.DUMMYFUNCTION("""COMPUTED_VALUE"""),"Fortalecimiento Organizacional y Simplificación de Procesos")</f>
        <v>Fortalecimiento Organizacional y Simplificación de Procesos</v>
      </c>
      <c r="AF151" s="47" t="str">
        <f>IFERROR(__xludf.DUMMYFUNCTION("""COMPUTED_VALUE"""),"12. Producción y consumo responsable")</f>
        <v>12. Producción y consumo responsable</v>
      </c>
      <c r="AG151" s="58">
        <f>IFERROR(__xludf.DUMMYFUNCTION("""COMPUTED_VALUE"""),94.0)</f>
        <v>94</v>
      </c>
      <c r="AH151" s="59" t="str">
        <f>IFERROR(__xludf.DUMMYFUNCTION("""COMPUTED_VALUE"""),"Incluye Conceptos técnicos elaborados en la DRV, carnés de pequeños comerciantes expedidos y expedición de carné de AREL; La atención de trámites se hacen por demanda y es necesario y nuestra obligación atenderlos todos de manera oportuna")</f>
        <v>Incluye Conceptos técnicos elaborados en la DRV, carnés de pequeños comerciantes expedidos y expedición de carné de AREL; La atención de trámites se hacen por demanda y es necesario y nuestra obligación atenderlos todos de manera oportuna</v>
      </c>
      <c r="AI151" s="80" t="str">
        <f>IFERROR(__xludf.DUMMYFUNCTION("""COMPUTED_VALUE"""),"https://drive.google.com/drive/folders/1IwFtU6USxk7tqEItVE0cLlb5l4OwHZL_?usp=sharing")</f>
        <v>https://drive.google.com/drive/folders/1IwFtU6USxk7tqEItVE0cLlb5l4OwHZL_?usp=sharing</v>
      </c>
      <c r="AJ151" s="60">
        <f>IFERROR(__xludf.DUMMYFUNCTION("""COMPUTED_VALUE"""),44396.0)</f>
        <v>44396</v>
      </c>
      <c r="AK151" s="61" t="str">
        <f>IFERROR(IF((AL151+1)&lt;2,Alertas!$B$2&amp;TEXT(AL151,"0%")&amp;Alertas!$D$2, IF((AL151+1)=2,Alertas!$B$3,IF((AL151+1)&gt;2,Alertas!$B$4&amp;TEXT(AL151,"0%")&amp;Alertas!$D$4,AL151+1))),"Sin meta para el segundo trimestre")</f>
        <v>La ejecución de la meta registrada se encuentra por encima de la meta programada en la formulación del plan de acción para el segundo trimestre, su porcentaje de cumplimiento es 125%,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1" s="62">
        <f t="shared" si="2"/>
        <v>1.253333333</v>
      </c>
      <c r="AM151" s="61" t="str">
        <f t="shared" si="3"/>
        <v>La ejecución de la meta registrada se encuentra por encima de la meta programada en la formulación del plan de acción para el segundo trimestre, su porcentaje de cumplimiento es 125%,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1" s="63"/>
      <c r="AO151" s="64"/>
      <c r="AP151" s="65"/>
      <c r="AQ151" s="65"/>
      <c r="AR151" s="66"/>
      <c r="AS151" s="67"/>
      <c r="AT151" s="68"/>
      <c r="AU151" s="63"/>
      <c r="AV151" s="64"/>
      <c r="AW151" s="69"/>
      <c r="AX151" s="65"/>
      <c r="AY151" s="70"/>
      <c r="AZ151" s="71"/>
      <c r="BA151" s="72"/>
      <c r="BB151" s="73"/>
      <c r="BC151" s="64"/>
      <c r="BD151" s="69"/>
      <c r="BE151" s="65"/>
      <c r="BF151" s="66"/>
      <c r="BG151" s="71"/>
      <c r="BH151" s="72"/>
      <c r="BI151" s="74"/>
      <c r="BK151" s="5" t="str">
        <f t="shared" si="23"/>
        <v>1</v>
      </c>
      <c r="BM151" s="5"/>
    </row>
    <row r="152" ht="37.5" customHeight="1">
      <c r="A152" s="45"/>
      <c r="B152" s="46">
        <f>IFERROR(__xludf.DUMMYFUNCTION("""COMPUTED_VALUE"""),150.0)</f>
        <v>150</v>
      </c>
      <c r="C152" s="47" t="str">
        <f>IFERROR(__xludf.DUMMYFUNCTION("""COMPUTED_VALUE"""),"Gestión de la administración y fomento")</f>
        <v>Gestión de la administración y fomento</v>
      </c>
      <c r="D152" s="48" t="str">
        <f>IFERROR(__xludf.DUMMYFUNCTION("""COMPUTED_VALUE"""),"Regional Villavicencio")</f>
        <v>Regional Villavicencio</v>
      </c>
      <c r="E152" s="48" t="str">
        <f>IFERROR(__xludf.DUMMYFUNCTION("""COMPUTED_VALUE"""),"Fortalecimiento de la sostenibilidad del sector pesquero y de la acuicultura en el territorio nacional")</f>
        <v>Fortalecimiento de la sostenibilidad del sector pesquero y de la acuicultura en el territorio nacional</v>
      </c>
      <c r="F152" s="49">
        <f>IFERROR(__xludf.DUMMYFUNCTION("""COMPUTED_VALUE"""),2.01901100028E12)</f>
        <v>2019011000280</v>
      </c>
      <c r="G152" s="50" t="str">
        <f>IFERROR(__xludf.DUMMYFUNCTION("""COMPUTED_VALUE"""),"Sostenibilidad")</f>
        <v>Sostenibilidad</v>
      </c>
      <c r="H152" s="48" t="str">
        <f>IFERROR(__xludf.DUMMYFUNCTION("""COMPUTED_VALUE"""),"Mejorar la explotación de los recursos pesqueros y de la acuicultura.")</f>
        <v>Mejorar la explotación de los recursos pesqueros y de la acuicultura.</v>
      </c>
      <c r="I152" s="48" t="str">
        <f>IFERROR(__xludf.DUMMYFUNCTION("""COMPUTED_VALUE"""),"Servicios de administración de los recurso pesqueros y de la acuicultura")</f>
        <v>Servicios de administración de los recurso pesqueros y de la acuicultura</v>
      </c>
      <c r="J152" s="48" t="str">
        <f>IFERROR(__xludf.DUMMYFUNCTION("""COMPUTED_VALUE"""),"Realizar acciones de divulgación y formalización de la actividad pesquera y de la acuicultura.")</f>
        <v>Realizar acciones de divulgación y formalización de la actividad pesquera y de la acuicultura.</v>
      </c>
      <c r="K152" s="51" t="str">
        <f>IFERROR(__xludf.DUMMYFUNCTION("""COMPUTED_VALUE"""),"Gestión del área")</f>
        <v>Gestión del área</v>
      </c>
      <c r="L152" s="51" t="str">
        <f>IFERROR(__xludf.DUMMYFUNCTION("""COMPUTED_VALUE"""),"Eficacia")</f>
        <v>Eficacia</v>
      </c>
      <c r="M152" s="51" t="str">
        <f>IFERROR(__xludf.DUMMYFUNCTION("""COMPUTED_VALUE"""),"Número")</f>
        <v>Número</v>
      </c>
      <c r="N152" s="52" t="str">
        <f>IFERROR(__xludf.DUMMYFUNCTION("""COMPUTED_VALUE"""),"Número de asociaciones capacitadas/Número de asociaciones programadas")</f>
        <v>Número de asociaciones capacitadas/Número de asociaciones programadas</v>
      </c>
      <c r="O152" s="53"/>
      <c r="P152" s="54">
        <f>IFERROR(__xludf.DUMMYFUNCTION("""COMPUTED_VALUE"""),35.0)</f>
        <v>35</v>
      </c>
      <c r="Q152" s="55" t="str">
        <f>IFERROR(__xludf.DUMMYFUNCTION("""COMPUTED_VALUE"""),"Asociaciones capacitadas en temas de pesca y acuicultura")</f>
        <v>Asociaciones capacitadas en temas de pesca y acuicultura</v>
      </c>
      <c r="R152" s="14" t="str">
        <f>IFERROR(__xludf.DUMMYFUNCTION("""COMPUTED_VALUE"""),"Trimestral")</f>
        <v>Trimestral</v>
      </c>
      <c r="S152" s="54">
        <f>IFERROR(__xludf.DUMMYFUNCTION("""COMPUTED_VALUE"""),5.0)</f>
        <v>5</v>
      </c>
      <c r="T152" s="54">
        <f>IFERROR(__xludf.DUMMYFUNCTION("""COMPUTED_VALUE"""),10.0)</f>
        <v>10</v>
      </c>
      <c r="U152" s="54">
        <f>IFERROR(__xludf.DUMMYFUNCTION("""COMPUTED_VALUE"""),10.0)</f>
        <v>10</v>
      </c>
      <c r="V152" s="54">
        <f>IFERROR(__xludf.DUMMYFUNCTION("""COMPUTED_VALUE"""),10.0)</f>
        <v>10</v>
      </c>
      <c r="W152" s="56" t="str">
        <f>IFERROR(__xludf.DUMMYFUNCTION("""COMPUTED_VALUE"""),"Regional Villavicencio")</f>
        <v>Regional Villavicencio</v>
      </c>
      <c r="X152" s="57" t="str">
        <f>IFERROR(__xludf.DUMMYFUNCTION("""COMPUTED_VALUE"""),"Maritza Casallas Delgado")</f>
        <v>Maritza Casallas Delgado</v>
      </c>
      <c r="Y152" s="47" t="str">
        <f>IFERROR(__xludf.DUMMYFUNCTION("""COMPUTED_VALUE"""),"Director Regional")</f>
        <v>Director Regional</v>
      </c>
      <c r="Z152" s="57" t="str">
        <f>IFERROR(__xludf.DUMMYFUNCTION("""COMPUTED_VALUE"""),"maritza.casallas@aunap.gov.co")</f>
        <v>maritza.casallas@aunap.gov.co</v>
      </c>
      <c r="AA152" s="47" t="str">
        <f>IFERROR(__xludf.DUMMYFUNCTION("""COMPUTED_VALUE"""),"Humanos, fisicos, financieros y tecnologicos")</f>
        <v>Humanos, fisicos, financieros y tecnologicos</v>
      </c>
      <c r="AB152" s="47" t="str">
        <f>IFERROR(__xludf.DUMMYFUNCTION("""COMPUTED_VALUE"""),"No asociado")</f>
        <v>No asociado</v>
      </c>
      <c r="AC152" s="47" t="str">
        <f>IFERROR(__xludf.DUMMYFUNCTION("""COMPUTED_VALUE"""),"Llegar con actividades de pesca y acuicultura a todas las regiones")</f>
        <v>Llegar con actividades de pesca y acuicultura a todas las regiones</v>
      </c>
      <c r="AD152" s="47" t="str">
        <f>IFERROR(__xludf.DUMMYFUNCTION("""COMPUTED_VALUE"""),"Gestión con valores para resultados")</f>
        <v>Gestión con valores para resultados</v>
      </c>
      <c r="AE152" s="47" t="str">
        <f>IFERROR(__xludf.DUMMYFUNCTION("""COMPUTED_VALUE"""),"Fortalecimiento Organizacional y Simplificación de Procesos")</f>
        <v>Fortalecimiento Organizacional y Simplificación de Procesos</v>
      </c>
      <c r="AF152" s="47" t="str">
        <f>IFERROR(__xludf.DUMMYFUNCTION("""COMPUTED_VALUE"""),"12. Producción y consumo responsable")</f>
        <v>12. Producción y consumo responsable</v>
      </c>
      <c r="AG152" s="58">
        <f>IFERROR(__xludf.DUMMYFUNCTION("""COMPUTED_VALUE"""),11.0)</f>
        <v>11</v>
      </c>
      <c r="AH152" s="59" t="str">
        <f>IFERROR(__xludf.DUMMYFUNCTION("""COMPUTED_VALUE"""),"Las capacitaciones a las asociaciones se realizan también por demanda y por esa razón hay una por encima de la meta establecida")</f>
        <v>Las capacitaciones a las asociaciones se realizan también por demanda y por esa razón hay una por encima de la meta establecida</v>
      </c>
      <c r="AI152" s="80" t="str">
        <f>IFERROR(__xludf.DUMMYFUNCTION("""COMPUTED_VALUE"""),"https://drive.google.com/drive/folders/1x9Pr_jX9w3c_qDHO7FLdjdSavldhai6-?usp=sharing")</f>
        <v>https://drive.google.com/drive/folders/1x9Pr_jX9w3c_qDHO7FLdjdSavldhai6-?usp=sharing</v>
      </c>
      <c r="AJ152" s="60">
        <f>IFERROR(__xludf.DUMMYFUNCTION("""COMPUTED_VALUE"""),44396.0)</f>
        <v>44396</v>
      </c>
      <c r="AK152" s="61" t="str">
        <f>IFERROR(IF((AL152+1)&lt;2,Alertas!$B$2&amp;TEXT(AL152,"0%")&amp;Alertas!$D$2, IF((AL152+1)=2,Alertas!$B$3,IF((AL152+1)&gt;2,Alertas!$B$4&amp;TEXT(AL152,"0%")&amp;Alertas!$D$4,AL152+1))),"Sin meta para el segundo trimestre")</f>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2" s="62">
        <f t="shared" si="2"/>
        <v>1.1</v>
      </c>
      <c r="AM152" s="61" t="str">
        <f t="shared" si="3"/>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2" s="63"/>
      <c r="AO152" s="64"/>
      <c r="AP152" s="65"/>
      <c r="AQ152" s="65"/>
      <c r="AR152" s="66"/>
      <c r="AS152" s="67"/>
      <c r="AT152" s="68"/>
      <c r="AU152" s="63"/>
      <c r="AV152" s="64"/>
      <c r="AW152" s="69"/>
      <c r="AX152" s="65"/>
      <c r="AY152" s="70"/>
      <c r="AZ152" s="71"/>
      <c r="BA152" s="72"/>
      <c r="BB152" s="73"/>
      <c r="BC152" s="64"/>
      <c r="BD152" s="69"/>
      <c r="BE152" s="65"/>
      <c r="BF152" s="66"/>
      <c r="BG152" s="71"/>
      <c r="BH152" s="72"/>
      <c r="BI152" s="74"/>
      <c r="BK152" s="5" t="str">
        <f t="shared" si="23"/>
        <v>1</v>
      </c>
      <c r="BM152" s="5"/>
    </row>
    <row r="153" ht="37.5" customHeight="1">
      <c r="A153" s="45"/>
      <c r="B153" s="46">
        <f>IFERROR(__xludf.DUMMYFUNCTION("""COMPUTED_VALUE"""),151.0)</f>
        <v>151</v>
      </c>
      <c r="C153" s="47" t="str">
        <f>IFERROR(__xludf.DUMMYFUNCTION("""COMPUTED_VALUE"""),"Gestión de la administración y fomento")</f>
        <v>Gestión de la administración y fomento</v>
      </c>
      <c r="D153" s="48" t="str">
        <f>IFERROR(__xludf.DUMMYFUNCTION("""COMPUTED_VALUE"""),"Regional Villavicencio")</f>
        <v>Regional Villavicencio</v>
      </c>
      <c r="E153" s="48" t="str">
        <f>IFERROR(__xludf.DUMMYFUNCTION("""COMPUTED_VALUE"""),"Fortalecimiento de la sostenibilidad del sector pesquero y de la acuicultura en el territorio nacional")</f>
        <v>Fortalecimiento de la sostenibilidad del sector pesquero y de la acuicultura en el territorio nacional</v>
      </c>
      <c r="F153" s="49">
        <f>IFERROR(__xludf.DUMMYFUNCTION("""COMPUTED_VALUE"""),2.01901100028E12)</f>
        <v>2019011000280</v>
      </c>
      <c r="G153" s="50" t="str">
        <f>IFERROR(__xludf.DUMMYFUNCTION("""COMPUTED_VALUE"""),"Sostenibilidad")</f>
        <v>Sostenibilidad</v>
      </c>
      <c r="H153" s="48" t="str">
        <f>IFERROR(__xludf.DUMMYFUNCTION("""COMPUTED_VALUE"""),"Mejorar la explotación de los recursos pesqueros y de la acuicultura.")</f>
        <v>Mejorar la explotación de los recursos pesqueros y de la acuicultura.</v>
      </c>
      <c r="I153" s="48" t="str">
        <f>IFERROR(__xludf.DUMMYFUNCTION("""COMPUTED_VALUE"""),"Servicios de administración de los recurso pesqueros y de la acuicultura")</f>
        <v>Servicios de administración de los recurso pesqueros y de la acuicultura</v>
      </c>
      <c r="J153" s="48" t="str">
        <f>IFERROR(__xludf.DUMMYFUNCTION("""COMPUTED_VALUE"""),"Realizar acciones de divulgación y formalización de la actividad pesquera y de la acuicultura.")</f>
        <v>Realizar acciones de divulgación y formalización de la actividad pesquera y de la acuicultura.</v>
      </c>
      <c r="K153" s="51" t="str">
        <f>IFERROR(__xludf.DUMMYFUNCTION("""COMPUTED_VALUE"""),"Gestión del área")</f>
        <v>Gestión del área</v>
      </c>
      <c r="L153" s="51" t="str">
        <f>IFERROR(__xludf.DUMMYFUNCTION("""COMPUTED_VALUE"""),"Eficacia")</f>
        <v>Eficacia</v>
      </c>
      <c r="M153" s="51" t="str">
        <f>IFERROR(__xludf.DUMMYFUNCTION("""COMPUTED_VALUE"""),"Número")</f>
        <v>Número</v>
      </c>
      <c r="N153" s="52" t="str">
        <f>IFERROR(__xludf.DUMMYFUNCTION("""COMPUTED_VALUE"""),"Número de capacitaciones realizadas/Número de capacitaciones programadas")</f>
        <v>Número de capacitaciones realizadas/Número de capacitaciones programadas</v>
      </c>
      <c r="O153" s="53"/>
      <c r="P153" s="54">
        <f>IFERROR(__xludf.DUMMYFUNCTION("""COMPUTED_VALUE"""),120.0)</f>
        <v>120</v>
      </c>
      <c r="Q153" s="55" t="str">
        <f>IFERROR(__xludf.DUMMYFUNCTION("""COMPUTED_VALUE"""),"Capacitación a los grupos de interés")</f>
        <v>Capacitación a los grupos de interés</v>
      </c>
      <c r="R153" s="14" t="str">
        <f>IFERROR(__xludf.DUMMYFUNCTION("""COMPUTED_VALUE"""),"Trimestral")</f>
        <v>Trimestral</v>
      </c>
      <c r="S153" s="54">
        <f>IFERROR(__xludf.DUMMYFUNCTION("""COMPUTED_VALUE"""),30.0)</f>
        <v>30</v>
      </c>
      <c r="T153" s="54">
        <f>IFERROR(__xludf.DUMMYFUNCTION("""COMPUTED_VALUE"""),30.0)</f>
        <v>30</v>
      </c>
      <c r="U153" s="54">
        <f>IFERROR(__xludf.DUMMYFUNCTION("""COMPUTED_VALUE"""),30.0)</f>
        <v>30</v>
      </c>
      <c r="V153" s="54">
        <f>IFERROR(__xludf.DUMMYFUNCTION("""COMPUTED_VALUE"""),30.0)</f>
        <v>30</v>
      </c>
      <c r="W153" s="56" t="str">
        <f>IFERROR(__xludf.DUMMYFUNCTION("""COMPUTED_VALUE"""),"Regional Villavicencio")</f>
        <v>Regional Villavicencio</v>
      </c>
      <c r="X153" s="57" t="str">
        <f>IFERROR(__xludf.DUMMYFUNCTION("""COMPUTED_VALUE"""),"Maritza Casallas Delgado")</f>
        <v>Maritza Casallas Delgado</v>
      </c>
      <c r="Y153" s="47" t="str">
        <f>IFERROR(__xludf.DUMMYFUNCTION("""COMPUTED_VALUE"""),"Director Regional")</f>
        <v>Director Regional</v>
      </c>
      <c r="Z153" s="57" t="str">
        <f>IFERROR(__xludf.DUMMYFUNCTION("""COMPUTED_VALUE"""),"maritza.casallas@aunap.gov.co")</f>
        <v>maritza.casallas@aunap.gov.co</v>
      </c>
      <c r="AA153" s="47" t="str">
        <f>IFERROR(__xludf.DUMMYFUNCTION("""COMPUTED_VALUE"""),"Humanos, fisicos, financieros y tecnologicos")</f>
        <v>Humanos, fisicos, financieros y tecnologicos</v>
      </c>
      <c r="AB153" s="47" t="str">
        <f>IFERROR(__xludf.DUMMYFUNCTION("""COMPUTED_VALUE"""),"No asociado")</f>
        <v>No asociado</v>
      </c>
      <c r="AC153" s="47" t="str">
        <f>IFERROR(__xludf.DUMMYFUNCTION("""COMPUTED_VALUE"""),"Llegar con actividades de pesca y acuicultura a todas las regiones")</f>
        <v>Llegar con actividades de pesca y acuicultura a todas las regiones</v>
      </c>
      <c r="AD153" s="47" t="str">
        <f>IFERROR(__xludf.DUMMYFUNCTION("""COMPUTED_VALUE"""),"Gestión con valores para resultados")</f>
        <v>Gestión con valores para resultados</v>
      </c>
      <c r="AE153" s="47" t="str">
        <f>IFERROR(__xludf.DUMMYFUNCTION("""COMPUTED_VALUE"""),"Fortalecimiento Organizacional y Simplificación de Procesos")</f>
        <v>Fortalecimiento Organizacional y Simplificación de Procesos</v>
      </c>
      <c r="AF153" s="47" t="str">
        <f>IFERROR(__xludf.DUMMYFUNCTION("""COMPUTED_VALUE"""),"12. Producción y consumo responsable")</f>
        <v>12. Producción y consumo responsable</v>
      </c>
      <c r="AG153" s="58">
        <f>IFERROR(__xludf.DUMMYFUNCTION("""COMPUTED_VALUE"""),37.0)</f>
        <v>37</v>
      </c>
      <c r="AH153" s="59" t="str">
        <f>IFERROR(__xludf.DUMMYFUNCTION("""COMPUTED_VALUE"""),"Las capacitaciones a los grupos de interés se realizan también por demanda y por esa razón hay ocho por encima de la meta establecida, toda vez que además de las programadas atendemos otras solicitudes")</f>
        <v>Las capacitaciones a los grupos de interés se realizan también por demanda y por esa razón hay ocho por encima de la meta establecida, toda vez que además de las programadas atendemos otras solicitudes</v>
      </c>
      <c r="AI153" s="80" t="str">
        <f>IFERROR(__xludf.DUMMYFUNCTION("""COMPUTED_VALUE"""),"https://drive.google.com/drive/folders/1zNk_fQAQJOM7lt_vcP6InPT2Fq_kdhTJ?usp=sharing")</f>
        <v>https://drive.google.com/drive/folders/1zNk_fQAQJOM7lt_vcP6InPT2Fq_kdhTJ?usp=sharing</v>
      </c>
      <c r="AJ153" s="60">
        <f>IFERROR(__xludf.DUMMYFUNCTION("""COMPUTED_VALUE"""),44396.0)</f>
        <v>44396</v>
      </c>
      <c r="AK153" s="61" t="str">
        <f>IFERROR(IF((AL153+1)&lt;2,Alertas!$B$2&amp;TEXT(AL153,"0%")&amp;Alertas!$D$2, IF((AL153+1)=2,Alertas!$B$3,IF((AL153+1)&gt;2,Alertas!$B$4&amp;TEXT(AL153,"0%")&amp;Alertas!$D$4,AL153+1))),"Sin meta para el segundo trimestre")</f>
        <v>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3" s="62">
        <f t="shared" si="2"/>
        <v>1.233333333</v>
      </c>
      <c r="AM153" s="61" t="str">
        <f t="shared" si="3"/>
        <v>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3" s="63"/>
      <c r="AO153" s="64"/>
      <c r="AP153" s="65"/>
      <c r="AQ153" s="65"/>
      <c r="AR153" s="66"/>
      <c r="AS153" s="67"/>
      <c r="AT153" s="68"/>
      <c r="AU153" s="63"/>
      <c r="AV153" s="64"/>
      <c r="AW153" s="69"/>
      <c r="AX153" s="65"/>
      <c r="AY153" s="70"/>
      <c r="AZ153" s="71"/>
      <c r="BA153" s="72"/>
      <c r="BB153" s="73"/>
      <c r="BC153" s="64"/>
      <c r="BD153" s="69"/>
      <c r="BE153" s="65"/>
      <c r="BF153" s="66"/>
      <c r="BG153" s="71"/>
      <c r="BH153" s="72"/>
      <c r="BI153" s="74"/>
      <c r="BK153" s="5" t="str">
        <f t="shared" si="23"/>
        <v>1</v>
      </c>
      <c r="BM153" s="5"/>
    </row>
    <row r="154" ht="37.5" customHeight="1">
      <c r="A154" s="45"/>
      <c r="B154" s="46">
        <f>IFERROR(__xludf.DUMMYFUNCTION("""COMPUTED_VALUE"""),152.0)</f>
        <v>152</v>
      </c>
      <c r="C154" s="47" t="str">
        <f>IFERROR(__xludf.DUMMYFUNCTION("""COMPUTED_VALUE"""),"Gestión de la inspección y vigilancia")</f>
        <v>Gestión de la inspección y vigilancia</v>
      </c>
      <c r="D154" s="48" t="str">
        <f>IFERROR(__xludf.DUMMYFUNCTION("""COMPUTED_VALUE"""),"Regional Villavicencio")</f>
        <v>Regional Villavicencio</v>
      </c>
      <c r="E154"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4" s="49">
        <f>IFERROR(__xludf.DUMMYFUNCTION("""COMPUTED_VALUE"""),2.019011000276E12)</f>
        <v>2019011000276</v>
      </c>
      <c r="G154" s="50" t="str">
        <f>IFERROR(__xludf.DUMMYFUNCTION("""COMPUTED_VALUE"""),"Inspección")</f>
        <v>Inspección</v>
      </c>
      <c r="H154" s="48" t="str">
        <f>IFERROR(__xludf.DUMMYFUNCTION("""COMPUTED_VALUE"""),"Aumentar el conocimiento de la normatividad pesquera y de la acuicultura por parte de la comunidad.")</f>
        <v>Aumentar el conocimiento de la normatividad pesquera y de la acuicultura por parte de la comunidad.</v>
      </c>
      <c r="I154" s="48" t="str">
        <f>IFERROR(__xludf.DUMMYFUNCTION("""COMPUTED_VALUE"""),"Servicio de divulgación y socialización")</f>
        <v>Servicio de divulgación y socialización</v>
      </c>
      <c r="J154" s="48" t="str">
        <f>IFERROR(__xludf.DUMMYFUNCTION("""COMPUTED_VALUE"""),"Implementar las estrategias de socialización y Divulgación a la comunidad")</f>
        <v>Implementar las estrategias de socialización y Divulgación a la comunidad</v>
      </c>
      <c r="K154" s="51" t="str">
        <f>IFERROR(__xludf.DUMMYFUNCTION("""COMPUTED_VALUE"""),"Gestión del área")</f>
        <v>Gestión del área</v>
      </c>
      <c r="L154" s="51" t="str">
        <f>IFERROR(__xludf.DUMMYFUNCTION("""COMPUTED_VALUE"""),"Eficacia")</f>
        <v>Eficacia</v>
      </c>
      <c r="M154" s="51" t="str">
        <f>IFERROR(__xludf.DUMMYFUNCTION("""COMPUTED_VALUE"""),"Número")</f>
        <v>Número</v>
      </c>
      <c r="N154" s="52" t="str">
        <f>IFERROR(__xludf.DUMMYFUNCTION("""COMPUTED_VALUE"""),"Número de eventos realizados/Número de eventos programados")</f>
        <v>Número de eventos realizados/Número de eventos programados</v>
      </c>
      <c r="O154" s="53"/>
      <c r="P154" s="54">
        <f>IFERROR(__xludf.DUMMYFUNCTION("""COMPUTED_VALUE"""),35.0)</f>
        <v>35</v>
      </c>
      <c r="Q154" s="55" t="str">
        <f>IFERROR(__xludf.DUMMYFUNCTION("""COMPUTED_VALUE"""),"Desarrollar actividades orientadas a sensibilizar a la población dedicada a la actividad pesquera y la acuicultura, en normatividad y medidas de ordenación de la pesca y acuicultura en Colombia.")</f>
        <v>Desarrollar actividades orientadas a sensibilizar a la población dedicada a la actividad pesquera y la acuicultura, en normatividad y medidas de ordenación de la pesca y acuicultura en Colombia.</v>
      </c>
      <c r="R154" s="14" t="str">
        <f>IFERROR(__xludf.DUMMYFUNCTION("""COMPUTED_VALUE"""),"Trimestral")</f>
        <v>Trimestral</v>
      </c>
      <c r="S154" s="54">
        <f>IFERROR(__xludf.DUMMYFUNCTION("""COMPUTED_VALUE"""),10.0)</f>
        <v>10</v>
      </c>
      <c r="T154" s="54">
        <f>IFERROR(__xludf.DUMMYFUNCTION("""COMPUTED_VALUE"""),25.0)</f>
        <v>25</v>
      </c>
      <c r="U154" s="54">
        <f>IFERROR(__xludf.DUMMYFUNCTION("""COMPUTED_VALUE"""),0.0)</f>
        <v>0</v>
      </c>
      <c r="V154" s="54">
        <f>IFERROR(__xludf.DUMMYFUNCTION("""COMPUTED_VALUE"""),0.0)</f>
        <v>0</v>
      </c>
      <c r="W154" s="56" t="str">
        <f>IFERROR(__xludf.DUMMYFUNCTION("""COMPUTED_VALUE"""),"Regional Villavicencio")</f>
        <v>Regional Villavicencio</v>
      </c>
      <c r="X154" s="57" t="str">
        <f>IFERROR(__xludf.DUMMYFUNCTION("""COMPUTED_VALUE"""),"Maritza Casallas Delgado")</f>
        <v>Maritza Casallas Delgado</v>
      </c>
      <c r="Y154" s="47" t="str">
        <f>IFERROR(__xludf.DUMMYFUNCTION("""COMPUTED_VALUE"""),"Director Regional")</f>
        <v>Director Regional</v>
      </c>
      <c r="Z154" s="57" t="str">
        <f>IFERROR(__xludf.DUMMYFUNCTION("""COMPUTED_VALUE"""),"maritza.casallas@aunap.gov.co")</f>
        <v>maritza.casallas@aunap.gov.co</v>
      </c>
      <c r="AA154" s="47" t="str">
        <f>IFERROR(__xludf.DUMMYFUNCTION("""COMPUTED_VALUE"""),"Humanos, fisicos, financieros y tecnologicos")</f>
        <v>Humanos, fisicos, financieros y tecnologicos</v>
      </c>
      <c r="AB154" s="47" t="str">
        <f>IFERROR(__xludf.DUMMYFUNCTION("""COMPUTED_VALUE"""),"No asociado")</f>
        <v>No asociado</v>
      </c>
      <c r="AC15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4" s="47" t="str">
        <f>IFERROR(__xludf.DUMMYFUNCTION("""COMPUTED_VALUE"""),"Gestión con valores para resultados")</f>
        <v>Gestión con valores para resultados</v>
      </c>
      <c r="AE154" s="47" t="str">
        <f>IFERROR(__xludf.DUMMYFUNCTION("""COMPUTED_VALUE"""),"Fortalecimiento Organizacional y Simplificación de Procesos")</f>
        <v>Fortalecimiento Organizacional y Simplificación de Procesos</v>
      </c>
      <c r="AF154" s="47" t="str">
        <f>IFERROR(__xludf.DUMMYFUNCTION("""COMPUTED_VALUE"""),"12. Producción y consumo responsable")</f>
        <v>12. Producción y consumo responsable</v>
      </c>
      <c r="AG154" s="58">
        <f>IFERROR(__xludf.DUMMYFUNCTION("""COMPUTED_VALUE"""),30.0)</f>
        <v>30</v>
      </c>
      <c r="AH154" s="59" t="str">
        <f>IFERROR(__xludf.DUMMYFUNCTION("""COMPUTED_VALUE"""),"Corresponden a actividades de preveda que permitieron socializar la medida conforme lo previsto y también responder a la demanda de la misma socialización")</f>
        <v>Corresponden a actividades de preveda que permitieron socializar la medida conforme lo previsto y también responder a la demanda de la misma socialización</v>
      </c>
      <c r="AI154" s="80" t="str">
        <f>IFERROR(__xludf.DUMMYFUNCTION("""COMPUTED_VALUE"""),"https://drive.google.com/drive/folders/1aer8hzRpLvfC07cUit6a4i6mCxnxxSwI?usp=sharing")</f>
        <v>https://drive.google.com/drive/folders/1aer8hzRpLvfC07cUit6a4i6mCxnxxSwI?usp=sharing</v>
      </c>
      <c r="AJ154" s="60">
        <f>IFERROR(__xludf.DUMMYFUNCTION("""COMPUTED_VALUE"""),44396.0)</f>
        <v>44396</v>
      </c>
      <c r="AK154" s="61" t="str">
        <f>IFERROR(IF((AL154+1)&lt;2,Alertas!$B$2&amp;TEXT(AL154,"0%")&amp;Alertas!$D$2, IF((AL154+1)=2,Alertas!$B$3,IF((AL154+1)&gt;2,Alertas!$B$4&amp;TEXT(AL154,"0%")&amp;Alertas!$D$4,AL154+1))),"Sin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4" s="62">
        <f t="shared" si="2"/>
        <v>1.2</v>
      </c>
      <c r="AM154" s="61" t="str">
        <f t="shared" si="3"/>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4" s="63"/>
      <c r="AO154" s="64"/>
      <c r="AP154" s="65"/>
      <c r="AQ154" s="65"/>
      <c r="AR154" s="66"/>
      <c r="AS154" s="67"/>
      <c r="AT154" s="68"/>
      <c r="AU154" s="63"/>
      <c r="AV154" s="64"/>
      <c r="AW154" s="69"/>
      <c r="AX154" s="65"/>
      <c r="AY154" s="70"/>
      <c r="AZ154" s="71"/>
      <c r="BA154" s="72"/>
      <c r="BB154" s="73"/>
      <c r="BC154" s="64"/>
      <c r="BD154" s="69"/>
      <c r="BE154" s="65"/>
      <c r="BF154" s="66"/>
      <c r="BG154" s="71"/>
      <c r="BH154" s="72"/>
      <c r="BI154" s="74"/>
      <c r="BK154" s="5" t="str">
        <f t="shared" si="23"/>
        <v>1</v>
      </c>
      <c r="BM154" s="5"/>
    </row>
    <row r="155" ht="37.5" customHeight="1">
      <c r="A155" s="45"/>
      <c r="B155" s="46">
        <f>IFERROR(__xludf.DUMMYFUNCTION("""COMPUTED_VALUE"""),153.0)</f>
        <v>153</v>
      </c>
      <c r="C155" s="47" t="str">
        <f>IFERROR(__xludf.DUMMYFUNCTION("""COMPUTED_VALUE"""),"Gestión de la inspección y vigilancia")</f>
        <v>Gestión de la inspección y vigilancia</v>
      </c>
      <c r="D155" s="48" t="str">
        <f>IFERROR(__xludf.DUMMYFUNCTION("""COMPUTED_VALUE"""),"Regional Villavicencio")</f>
        <v>Regional Villavicencio</v>
      </c>
      <c r="E15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5" s="49">
        <f>IFERROR(__xludf.DUMMYFUNCTION("""COMPUTED_VALUE"""),2.019011000276E12)</f>
        <v>2019011000276</v>
      </c>
      <c r="G155" s="50" t="str">
        <f>IFERROR(__xludf.DUMMYFUNCTION("""COMPUTED_VALUE"""),"Inspección")</f>
        <v>Inspección</v>
      </c>
      <c r="H155" s="48" t="str">
        <f>IFERROR(__xludf.DUMMYFUNCTION("""COMPUTED_VALUE"""),"Fortalecer los mecanismos de seguimiento y control de la actividad pesquera y de la acuicultura.")</f>
        <v>Fortalecer los mecanismos de seguimiento y control de la actividad pesquera y de la acuicultura.</v>
      </c>
      <c r="I155" s="48" t="str">
        <f>IFERROR(__xludf.DUMMYFUNCTION("""COMPUTED_VALUE"""),"Servicio de inspección, vigilancia y control de la pesca y la acuicultura")</f>
        <v>Servicio de inspección, vigilancia y control de la pesca y la acuicultura</v>
      </c>
      <c r="J155" s="48" t="str">
        <f>IFERROR(__xludf.DUMMYFUNCTION("""COMPUTED_VALUE"""),"Realizar los operativos de inspección, vigilancia y control.")</f>
        <v>Realizar los operativos de inspección, vigilancia y control.</v>
      </c>
      <c r="K155" s="51" t="str">
        <f>IFERROR(__xludf.DUMMYFUNCTION("""COMPUTED_VALUE"""),"Producto")</f>
        <v>Producto</v>
      </c>
      <c r="L155" s="51" t="str">
        <f>IFERROR(__xludf.DUMMYFUNCTION("""COMPUTED_VALUE"""),"Eficacia")</f>
        <v>Eficacia</v>
      </c>
      <c r="M155" s="51" t="str">
        <f>IFERROR(__xludf.DUMMYFUNCTION("""COMPUTED_VALUE"""),"Número")</f>
        <v>Número</v>
      </c>
      <c r="N155" s="52" t="str">
        <f>IFERROR(__xludf.DUMMYFUNCTION("""COMPUTED_VALUE"""),"Operativos de inspección, vigilancia y control realizados")</f>
        <v>Operativos de inspección, vigilancia y control realizados</v>
      </c>
      <c r="O155" s="53">
        <f>IFERROR(__xludf.DUMMYFUNCTION("""COMPUTED_VALUE"""),157.0)</f>
        <v>157</v>
      </c>
      <c r="P155" s="54">
        <f>IFERROR(__xludf.DUMMYFUNCTION("""COMPUTED_VALUE"""),850.0)</f>
        <v>850</v>
      </c>
      <c r="Q155" s="55" t="str">
        <f>IFERROR(__xludf.DUMMYFUNCTION("""COMPUTED_VALUE"""),"Realizar operativos de control y vigilancia de la actividad pesquera y de la acuicultura y verificar el cumplimiento de  la normatividad pesquera y acuícola en:(Centros de acopio, Puntos de venta, Plazas principales, Muelles de desembarque, Aeropuertos, V"&amp;"ías terrestres y fluviales (incluidos cuerpos de agua) de la regional.
")</f>
        <v>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v>
      </c>
      <c r="R155" s="14" t="str">
        <f>IFERROR(__xludf.DUMMYFUNCTION("""COMPUTED_VALUE"""),"Mensual")</f>
        <v>Mensual</v>
      </c>
      <c r="S155" s="54">
        <f>IFERROR(__xludf.DUMMYFUNCTION("""COMPUTED_VALUE"""),193.0)</f>
        <v>193</v>
      </c>
      <c r="T155" s="54">
        <f>IFERROR(__xludf.DUMMYFUNCTION("""COMPUTED_VALUE"""),240.0)</f>
        <v>240</v>
      </c>
      <c r="U155" s="54">
        <f>IFERROR(__xludf.DUMMYFUNCTION("""COMPUTED_VALUE"""),231.0)</f>
        <v>231</v>
      </c>
      <c r="V155" s="54">
        <f>IFERROR(__xludf.DUMMYFUNCTION("""COMPUTED_VALUE"""),186.0)</f>
        <v>186</v>
      </c>
      <c r="W155" s="56" t="str">
        <f>IFERROR(__xludf.DUMMYFUNCTION("""COMPUTED_VALUE"""),"Regional Villavicencio")</f>
        <v>Regional Villavicencio</v>
      </c>
      <c r="X155" s="57" t="str">
        <f>IFERROR(__xludf.DUMMYFUNCTION("""COMPUTED_VALUE"""),"Maritza Casallas Delgado")</f>
        <v>Maritza Casallas Delgado</v>
      </c>
      <c r="Y155" s="47" t="str">
        <f>IFERROR(__xludf.DUMMYFUNCTION("""COMPUTED_VALUE"""),"Director Regional")</f>
        <v>Director Regional</v>
      </c>
      <c r="Z155" s="57" t="str">
        <f>IFERROR(__xludf.DUMMYFUNCTION("""COMPUTED_VALUE"""),"maritza.casallas@aunap.gov.co")</f>
        <v>maritza.casallas@aunap.gov.co</v>
      </c>
      <c r="AA155" s="47" t="str">
        <f>IFERROR(__xludf.DUMMYFUNCTION("""COMPUTED_VALUE"""),"Humanos, fisicos, financieros y tecnologicos")</f>
        <v>Humanos, fisicos, financieros y tecnologicos</v>
      </c>
      <c r="AB155" s="47" t="str">
        <f>IFERROR(__xludf.DUMMYFUNCTION("""COMPUTED_VALUE"""),"No asociado")</f>
        <v>No asociado</v>
      </c>
      <c r="AC15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5" s="47" t="str">
        <f>IFERROR(__xludf.DUMMYFUNCTION("""COMPUTED_VALUE"""),"Gestión con valores para resultados")</f>
        <v>Gestión con valores para resultados</v>
      </c>
      <c r="AE155" s="47" t="str">
        <f>IFERROR(__xludf.DUMMYFUNCTION("""COMPUTED_VALUE"""),"Fortalecimiento Organizacional y Simplificación de Procesos")</f>
        <v>Fortalecimiento Organizacional y Simplificación de Procesos</v>
      </c>
      <c r="AF155" s="47" t="str">
        <f>IFERROR(__xludf.DUMMYFUNCTION("""COMPUTED_VALUE"""),"12. Producción y consumo responsable")</f>
        <v>12. Producción y consumo responsable</v>
      </c>
      <c r="AG155" s="58">
        <f>IFERROR(__xludf.DUMMYFUNCTION("""COMPUTED_VALUE"""),260.0)</f>
        <v>260</v>
      </c>
      <c r="AH155" s="59" t="str">
        <f>IFERROR(__xludf.DUMMYFUNCTION("""COMPUTED_VALUE"""),"Se hicieron los operativos previstos y también se atendieron solicitudes extras para realizar operativos de control e inspección ")</f>
        <v>Se hicieron los operativos previstos y también se atendieron solicitudes extras para realizar operativos de control e inspección </v>
      </c>
      <c r="AI155" s="80" t="str">
        <f>IFERROR(__xludf.DUMMYFUNCTION("""COMPUTED_VALUE"""),"https://drive.google.com/drive/folders/1z5h5jOefd-z2pXtJj2BQwdf_WANh6RKa?usp=sharing")</f>
        <v>https://drive.google.com/drive/folders/1z5h5jOefd-z2pXtJj2BQwdf_WANh6RKa?usp=sharing</v>
      </c>
      <c r="AJ155" s="60">
        <f>IFERROR(__xludf.DUMMYFUNCTION("""COMPUTED_VALUE"""),44396.0)</f>
        <v>44396</v>
      </c>
      <c r="AK155" s="61" t="str">
        <f>IFERROR(IF((AL155+1)&lt;2,Alertas!$B$2&amp;TEXT(AL155,"0%")&amp;Alertas!$D$2, IF((AL155+1)=2,Alertas!$B$3,IF((AL155+1)&gt;2,Alertas!$B$4&amp;TEXT(AL155,"0%")&amp;Alertas!$D$4,AL155+1))),"Sin meta para el segundo trimestre")</f>
        <v>La ejecución de la meta registrada se encuentra por encima de la meta programada en la formulación del plan de acción para el segundo trimestre, su porcentaje de cumplimiento es 108%,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5" s="62">
        <f t="shared" si="2"/>
        <v>1.083333333</v>
      </c>
      <c r="AM155" s="61" t="str">
        <f t="shared" si="3"/>
        <v>La ejecución de la meta registrada se encuentra por encima de la meta programada en la formulación del plan de acción para el segundo trimestre, su porcentaje de cumplimiento es 108%,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5" s="63"/>
      <c r="AO155" s="64"/>
      <c r="AP155" s="65"/>
      <c r="AQ155" s="65"/>
      <c r="AR155" s="66"/>
      <c r="AS155" s="67"/>
      <c r="AT155" s="68"/>
      <c r="AU155" s="63"/>
      <c r="AV155" s="64"/>
      <c r="AW155" s="69"/>
      <c r="AX155" s="65"/>
      <c r="AY155" s="70"/>
      <c r="AZ155" s="71"/>
      <c r="BA155" s="72"/>
      <c r="BB155" s="73"/>
      <c r="BC155" s="64"/>
      <c r="BD155" s="69"/>
      <c r="BE155" s="65"/>
      <c r="BF155" s="66"/>
      <c r="BG155" s="71"/>
      <c r="BH155" s="72"/>
      <c r="BI155" s="74"/>
      <c r="BK155" s="5" t="str">
        <f t="shared" si="23"/>
        <v>1</v>
      </c>
      <c r="BM155" s="5"/>
    </row>
    <row r="156" ht="37.5" customHeight="1">
      <c r="A156" s="45"/>
      <c r="B156" s="46">
        <f>IFERROR(__xludf.DUMMYFUNCTION("""COMPUTED_VALUE"""),154.0)</f>
        <v>154</v>
      </c>
      <c r="C156" s="47" t="str">
        <f>IFERROR(__xludf.DUMMYFUNCTION("""COMPUTED_VALUE"""),"Gestión de la administración y fomento")</f>
        <v>Gestión de la administración y fomento</v>
      </c>
      <c r="D156" s="48" t="str">
        <f>IFERROR(__xludf.DUMMYFUNCTION("""COMPUTED_VALUE"""),"Regional Villavicencio")</f>
        <v>Regional Villavicencio</v>
      </c>
      <c r="E156" s="48" t="str">
        <f>IFERROR(__xludf.DUMMYFUNCTION("""COMPUTED_VALUE"""),"Fortalecimiento de la sostenibilidad del sector pesquero y de la acuicultura en el territorio nacional")</f>
        <v>Fortalecimiento de la sostenibilidad del sector pesquero y de la acuicultura en el territorio nacional</v>
      </c>
      <c r="F156" s="49">
        <f>IFERROR(__xludf.DUMMYFUNCTION("""COMPUTED_VALUE"""),2.01901100028E12)</f>
        <v>2019011000280</v>
      </c>
      <c r="G156" s="50" t="str">
        <f>IFERROR(__xludf.DUMMYFUNCTION("""COMPUTED_VALUE"""),"Sostenibilidad")</f>
        <v>Sostenibilidad</v>
      </c>
      <c r="H156" s="48" t="str">
        <f>IFERROR(__xludf.DUMMYFUNCTION("""COMPUTED_VALUE"""),"Mejorar la explotación de los recursos pesqueros y de la acuicultura.")</f>
        <v>Mejorar la explotación de los recursos pesqueros y de la acuicultura.</v>
      </c>
      <c r="I156" s="48" t="str">
        <f>IFERROR(__xludf.DUMMYFUNCTION("""COMPUTED_VALUE"""),"Servicios de administración de los recurso pesqueros y de la acuicultura")</f>
        <v>Servicios de administración de los recurso pesqueros y de la acuicultura</v>
      </c>
      <c r="J156" s="48" t="str">
        <f>IFERROR(__xludf.DUMMYFUNCTION("""COMPUTED_VALUE"""),"Regular el manejo y el ejercicio de la actividad pesquera y de la acuicultura.")</f>
        <v>Regular el manejo y el ejercicio de la actividad pesquera y de la acuicultura.</v>
      </c>
      <c r="K156" s="51" t="str">
        <f>IFERROR(__xludf.DUMMYFUNCTION("""COMPUTED_VALUE"""),"Gestión del área")</f>
        <v>Gestión del área</v>
      </c>
      <c r="L156" s="51" t="str">
        <f>IFERROR(__xludf.DUMMYFUNCTION("""COMPUTED_VALUE"""),"Eficacia")</f>
        <v>Eficacia</v>
      </c>
      <c r="M156" s="51" t="str">
        <f>IFERROR(__xludf.DUMMYFUNCTION("""COMPUTED_VALUE"""),"Número")</f>
        <v>Número</v>
      </c>
      <c r="N156" s="52" t="str">
        <f>IFERROR(__xludf.DUMMYFUNCTION("""COMPUTED_VALUE"""),"Número de pescadores artesanales formalizados/Número de pescadores artesanales programados para formalizar")</f>
        <v>Número de pescadores artesanales formalizados/Número de pescadores artesanales programados para formalizar</v>
      </c>
      <c r="O156" s="53"/>
      <c r="P156" s="54">
        <f>IFERROR(__xludf.DUMMYFUNCTION("""COMPUTED_VALUE"""),1050.0)</f>
        <v>1050</v>
      </c>
      <c r="Q156" s="55" t="str">
        <f>IFERROR(__xludf.DUMMYFUNCTION("""COMPUTED_VALUE"""),"Pescadores formalizadas")</f>
        <v>Pescadores formalizadas</v>
      </c>
      <c r="R156" s="14" t="str">
        <f>IFERROR(__xludf.DUMMYFUNCTION("""COMPUTED_VALUE"""),"Trimestral")</f>
        <v>Trimestral</v>
      </c>
      <c r="S156" s="54">
        <f>IFERROR(__xludf.DUMMYFUNCTION("""COMPUTED_VALUE"""),250.0)</f>
        <v>250</v>
      </c>
      <c r="T156" s="54">
        <f>IFERROR(__xludf.DUMMYFUNCTION("""COMPUTED_VALUE"""),250.0)</f>
        <v>250</v>
      </c>
      <c r="U156" s="54">
        <f>IFERROR(__xludf.DUMMYFUNCTION("""COMPUTED_VALUE"""),250.0)</f>
        <v>250</v>
      </c>
      <c r="V156" s="54">
        <f>IFERROR(__xludf.DUMMYFUNCTION("""COMPUTED_VALUE"""),300.0)</f>
        <v>300</v>
      </c>
      <c r="W156" s="56" t="str">
        <f>IFERROR(__xludf.DUMMYFUNCTION("""COMPUTED_VALUE"""),"Regional Villavicencio")</f>
        <v>Regional Villavicencio</v>
      </c>
      <c r="X156" s="57" t="str">
        <f>IFERROR(__xludf.DUMMYFUNCTION("""COMPUTED_VALUE"""),"Maritza Casallas Delgado")</f>
        <v>Maritza Casallas Delgado</v>
      </c>
      <c r="Y156" s="47" t="str">
        <f>IFERROR(__xludf.DUMMYFUNCTION("""COMPUTED_VALUE"""),"Director Regional")</f>
        <v>Director Regional</v>
      </c>
      <c r="Z156" s="57" t="str">
        <f>IFERROR(__xludf.DUMMYFUNCTION("""COMPUTED_VALUE"""),"maritza.casallas@aunap.gov.co")</f>
        <v>maritza.casallas@aunap.gov.co</v>
      </c>
      <c r="AA156" s="47" t="str">
        <f>IFERROR(__xludf.DUMMYFUNCTION("""COMPUTED_VALUE"""),"Humanos, fisicos, financieros y tecnologicos")</f>
        <v>Humanos, fisicos, financieros y tecnologicos</v>
      </c>
      <c r="AB156" s="47" t="str">
        <f>IFERROR(__xludf.DUMMYFUNCTION("""COMPUTED_VALUE"""),"No asociado")</f>
        <v>No asociado</v>
      </c>
      <c r="AC156" s="47" t="str">
        <f>IFERROR(__xludf.DUMMYFUNCTION("""COMPUTED_VALUE"""),"Propiciar la formalización de la pesca y la acuicultura")</f>
        <v>Propiciar la formalización de la pesca y la acuicultura</v>
      </c>
      <c r="AD156" s="47" t="str">
        <f>IFERROR(__xludf.DUMMYFUNCTION("""COMPUTED_VALUE"""),"Gestión con valores para resultados")</f>
        <v>Gestión con valores para resultados</v>
      </c>
      <c r="AE156" s="47" t="str">
        <f>IFERROR(__xludf.DUMMYFUNCTION("""COMPUTED_VALUE"""),"Racionalización de Trámites")</f>
        <v>Racionalización de Trámites</v>
      </c>
      <c r="AF156" s="47" t="str">
        <f>IFERROR(__xludf.DUMMYFUNCTION("""COMPUTED_VALUE"""),"12. Producción y consumo responsable")</f>
        <v>12. Producción y consumo responsable</v>
      </c>
      <c r="AG156" s="58">
        <f>IFERROR(__xludf.DUMMYFUNCTION("""COMPUTED_VALUE"""),506.0)</f>
        <v>506</v>
      </c>
      <c r="AH156" s="59" t="str">
        <f>IFERROR(__xludf.DUMMYFUNCTION("""COMPUTED_VALUE"""),"Los carnés de pesca artesanal se expiden por demanda y se atienden los de pescadores que se les vence tanto como a los pescadores que lo solicitan por primera vez en lugares a los que hemos llegado con socializaciones, proyectos y estrategias con incentiv"&amp;"os que promueven la formalización de la actividad pesquera artesanal comercial")</f>
        <v>Los carnés de pesca artesanal se expiden por demanda y se atienden los de pescadores que se les vence tanto como a los pescadores que lo solicitan por primera vez en lugares a los que hemos llegado con socializaciones, proyectos y estrategias con incentivos que promueven la formalización de la actividad pesquera artesanal comercial</v>
      </c>
      <c r="AI156" s="80" t="str">
        <f>IFERROR(__xludf.DUMMYFUNCTION("""COMPUTED_VALUE"""),"https://drive.google.com/drive/folders/19pdOG1ikG_ZJi_euLBy7kgR4y9kJ4S33?usp=sharing")</f>
        <v>https://drive.google.com/drive/folders/19pdOG1ikG_ZJi_euLBy7kgR4y9kJ4S33?usp=sharing</v>
      </c>
      <c r="AJ156" s="60">
        <f>IFERROR(__xludf.DUMMYFUNCTION("""COMPUTED_VALUE"""),44396.0)</f>
        <v>44396</v>
      </c>
      <c r="AK156" s="61" t="str">
        <f>IFERROR(IF((AL156+1)&lt;2,Alertas!$B$2&amp;TEXT(AL156,"0%")&amp;Alertas!$D$2, IF((AL156+1)=2,Alertas!$B$3,IF((AL156+1)&gt;2,Alertas!$B$4&amp;TEXT(AL156,"0%")&amp;Alertas!$D$4,AL156+1))),"Sin meta para el segundo trimestre")</f>
        <v>La ejecución de la meta registrada se encuentra por encima de la meta programada en la formulación del plan de acción para el segundo trimestre, su porcentaje de cumplimiento es 202%,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6" s="62">
        <f t="shared" si="2"/>
        <v>2.024</v>
      </c>
      <c r="AM156" s="61" t="str">
        <f t="shared" si="3"/>
        <v>La ejecución de la meta registrada se encuentra por encima de la meta programada en la formulación del plan de acción para el segundo trimestre, su porcentaje de cumplimiento es 202%,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6" s="63"/>
      <c r="AO156" s="64"/>
      <c r="AP156" s="65"/>
      <c r="AQ156" s="65"/>
      <c r="AR156" s="66"/>
      <c r="AS156" s="67"/>
      <c r="AT156" s="68"/>
      <c r="AU156" s="63"/>
      <c r="AV156" s="64"/>
      <c r="AW156" s="69"/>
      <c r="AX156" s="65"/>
      <c r="AY156" s="70"/>
      <c r="AZ156" s="71"/>
      <c r="BA156" s="72"/>
      <c r="BB156" s="73"/>
      <c r="BC156" s="64"/>
      <c r="BD156" s="69"/>
      <c r="BE156" s="65"/>
      <c r="BF156" s="66"/>
      <c r="BG156" s="71"/>
      <c r="BH156" s="72"/>
      <c r="BI156" s="74"/>
      <c r="BK156" s="5" t="str">
        <f t="shared" si="23"/>
        <v>1</v>
      </c>
      <c r="BM156" s="5"/>
    </row>
    <row r="157" ht="37.5" customHeight="1">
      <c r="A157" s="45"/>
      <c r="B157" s="46">
        <f>IFERROR(__xludf.DUMMYFUNCTION("""COMPUTED_VALUE"""),155.0)</f>
        <v>155</v>
      </c>
      <c r="C157" s="47" t="str">
        <f>IFERROR(__xludf.DUMMYFUNCTION("""COMPUTED_VALUE"""),"Gestión de la administración y fomento")</f>
        <v>Gestión de la administración y fomento</v>
      </c>
      <c r="D157" s="48" t="str">
        <f>IFERROR(__xludf.DUMMYFUNCTION("""COMPUTED_VALUE"""),"Regional Villavicencio")</f>
        <v>Regional Villavicencio</v>
      </c>
      <c r="E157" s="48" t="str">
        <f>IFERROR(__xludf.DUMMYFUNCTION("""COMPUTED_VALUE"""),"Fortalecimiento de la sostenibilidad del sector pesquero y de la acuicultura en el territorio nacional")</f>
        <v>Fortalecimiento de la sostenibilidad del sector pesquero y de la acuicultura en el territorio nacional</v>
      </c>
      <c r="F157" s="49">
        <f>IFERROR(__xludf.DUMMYFUNCTION("""COMPUTED_VALUE"""),2.01901100028E12)</f>
        <v>2019011000280</v>
      </c>
      <c r="G157" s="50" t="str">
        <f>IFERROR(__xludf.DUMMYFUNCTION("""COMPUTED_VALUE"""),"Sostenibilidad")</f>
        <v>Sostenibilidad</v>
      </c>
      <c r="H157" s="48" t="str">
        <f>IFERROR(__xludf.DUMMYFUNCTION("""COMPUTED_VALUE"""),"Mejorar la explotación de los recursos pesqueros y de la acuicultura.")</f>
        <v>Mejorar la explotación de los recursos pesqueros y de la acuicultura.</v>
      </c>
      <c r="I157" s="48" t="str">
        <f>IFERROR(__xludf.DUMMYFUNCTION("""COMPUTED_VALUE"""),"Servicios de administración de los recurso pesqueros y de la acuicultura")</f>
        <v>Servicios de administración de los recurso pesqueros y de la acuicultura</v>
      </c>
      <c r="J157" s="48" t="str">
        <f>IFERROR(__xludf.DUMMYFUNCTION("""COMPUTED_VALUE"""),"Regular el manejo y el ejercicio de la actividad pesquera y de la acuicultura.")</f>
        <v>Regular el manejo y el ejercicio de la actividad pesquera y de la acuicultura.</v>
      </c>
      <c r="K157" s="51" t="str">
        <f>IFERROR(__xludf.DUMMYFUNCTION("""COMPUTED_VALUE"""),"Gestión del área")</f>
        <v>Gestión del área</v>
      </c>
      <c r="L157" s="51" t="str">
        <f>IFERROR(__xludf.DUMMYFUNCTION("""COMPUTED_VALUE"""),"Eficacia")</f>
        <v>Eficacia</v>
      </c>
      <c r="M157" s="51" t="str">
        <f>IFERROR(__xludf.DUMMYFUNCTION("""COMPUTED_VALUE"""),"Número")</f>
        <v>Número</v>
      </c>
      <c r="N157" s="52" t="str">
        <f>IFERROR(__xludf.DUMMYFUNCTION("""COMPUTED_VALUE"""),"No de percadores formalizados")</f>
        <v>No de percadores formalizados</v>
      </c>
      <c r="O157" s="53"/>
      <c r="P157" s="54">
        <f>IFERROR(__xludf.DUMMYFUNCTION("""COMPUTED_VALUE"""),120.0)</f>
        <v>120</v>
      </c>
      <c r="Q157" s="55" t="str">
        <f>IFERROR(__xludf.DUMMYFUNCTION("""COMPUTED_VALUE"""),"Promover la formalización de pescadores mediante la entrega del carnet de pesca deportiva")</f>
        <v>Promover la formalización de pescadores mediante la entrega del carnet de pesca deportiva</v>
      </c>
      <c r="R157" s="14" t="str">
        <f>IFERROR(__xludf.DUMMYFUNCTION("""COMPUTED_VALUE"""),"Trimestral")</f>
        <v>Trimestral</v>
      </c>
      <c r="S157" s="54">
        <f>IFERROR(__xludf.DUMMYFUNCTION("""COMPUTED_VALUE"""),80.0)</f>
        <v>80</v>
      </c>
      <c r="T157" s="54">
        <f>IFERROR(__xludf.DUMMYFUNCTION("""COMPUTED_VALUE"""),0.0)</f>
        <v>0</v>
      </c>
      <c r="U157" s="54">
        <f>IFERROR(__xludf.DUMMYFUNCTION("""COMPUTED_VALUE"""),0.0)</f>
        <v>0</v>
      </c>
      <c r="V157" s="54">
        <f>IFERROR(__xludf.DUMMYFUNCTION("""COMPUTED_VALUE"""),40.0)</f>
        <v>40</v>
      </c>
      <c r="W157" s="56" t="str">
        <f>IFERROR(__xludf.DUMMYFUNCTION("""COMPUTED_VALUE"""),"Regional Villavicencio")</f>
        <v>Regional Villavicencio</v>
      </c>
      <c r="X157" s="57" t="str">
        <f>IFERROR(__xludf.DUMMYFUNCTION("""COMPUTED_VALUE"""),"Maritza Casallas Delgado")</f>
        <v>Maritza Casallas Delgado</v>
      </c>
      <c r="Y157" s="47" t="str">
        <f>IFERROR(__xludf.DUMMYFUNCTION("""COMPUTED_VALUE"""),"Director Regional")</f>
        <v>Director Regional</v>
      </c>
      <c r="Z157" s="57" t="str">
        <f>IFERROR(__xludf.DUMMYFUNCTION("""COMPUTED_VALUE"""),"maritza.casallas@aunap.gov.co")</f>
        <v>maritza.casallas@aunap.gov.co</v>
      </c>
      <c r="AA157" s="47" t="str">
        <f>IFERROR(__xludf.DUMMYFUNCTION("""COMPUTED_VALUE"""),"Humanos, fisicos, financieros y tecnologicos")</f>
        <v>Humanos, fisicos, financieros y tecnologicos</v>
      </c>
      <c r="AB157" s="47" t="str">
        <f>IFERROR(__xludf.DUMMYFUNCTION("""COMPUTED_VALUE"""),"No asociado")</f>
        <v>No asociado</v>
      </c>
      <c r="AC157" s="47" t="str">
        <f>IFERROR(__xludf.DUMMYFUNCTION("""COMPUTED_VALUE"""),"Propiciar la formalización de la pesca y la acuicultura")</f>
        <v>Propiciar la formalización de la pesca y la acuicultura</v>
      </c>
      <c r="AD157" s="47" t="str">
        <f>IFERROR(__xludf.DUMMYFUNCTION("""COMPUTED_VALUE"""),"Gestión con valores para resultados")</f>
        <v>Gestión con valores para resultados</v>
      </c>
      <c r="AE157" s="47" t="str">
        <f>IFERROR(__xludf.DUMMYFUNCTION("""COMPUTED_VALUE"""),"Racionalización de Trámites")</f>
        <v>Racionalización de Trámites</v>
      </c>
      <c r="AF157" s="47" t="str">
        <f>IFERROR(__xludf.DUMMYFUNCTION("""COMPUTED_VALUE"""),"12. Producción y consumo responsable")</f>
        <v>12. Producción y consumo responsable</v>
      </c>
      <c r="AG157" s="58">
        <f>IFERROR(__xludf.DUMMYFUNCTION("""COMPUTED_VALUE"""),4.0)</f>
        <v>4</v>
      </c>
      <c r="AH157" s="59" t="str">
        <f>IFERROR(__xludf.DUMMYFUNCTION("""COMPUTED_VALUE"""),"La demanda de carnés de pesca deportiva es principalmente en el periodo de aguas abajo, sin embargo, hubo demanda de éstos cuatro carnés en la vigencia del segundo trimestre que se atendieron al cumplir con los requisitos para los mismos")</f>
        <v>La demanda de carnés de pesca deportiva es principalmente en el periodo de aguas abajo, sin embargo, hubo demanda de éstos cuatro carnés en la vigencia del segundo trimestre que se atendieron al cumplir con los requisitos para los mismos</v>
      </c>
      <c r="AI157" s="81" t="str">
        <f>IFERROR(__xludf.DUMMYFUNCTION("""COMPUTED_VALUE"""),"https://drive.google.com/drive/folders/1et2pPznntJhWNM8PMQq950pD1YI2K_eo?usp=sharing")</f>
        <v>https://drive.google.com/drive/folders/1et2pPznntJhWNM8PMQq950pD1YI2K_eo?usp=sharing</v>
      </c>
      <c r="AJ157" s="60">
        <f>IFERROR(__xludf.DUMMYFUNCTION("""COMPUTED_VALUE"""),44396.0)</f>
        <v>44396</v>
      </c>
      <c r="AK157" s="61" t="str">
        <f>IFERROR(IF((AL157+1)&lt;2,Alertas!$B$2&amp;TEXT(AL157,"0%")&amp;Alertas!$D$2, IF((AL157+1)=2,Alertas!$B$3,IF((AL157+1)&gt;2,Alertas!$B$4&amp;TEXT(AL157,"0%")&amp;Alertas!$D$4,AL157+1))),"Sin meta para el segundo trimestre")</f>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7" s="62">
        <f t="shared" si="2"/>
        <v>5</v>
      </c>
      <c r="AM157" s="61" t="str">
        <f t="shared" si="3"/>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7" s="63"/>
      <c r="AO157" s="64"/>
      <c r="AP157" s="65"/>
      <c r="AQ157" s="65"/>
      <c r="AR157" s="66"/>
      <c r="AS157" s="67"/>
      <c r="AT157" s="68"/>
      <c r="AU157" s="63"/>
      <c r="AV157" s="64"/>
      <c r="AW157" s="69"/>
      <c r="AX157" s="65"/>
      <c r="AY157" s="70"/>
      <c r="AZ157" s="71"/>
      <c r="BA157" s="72"/>
      <c r="BB157" s="73"/>
      <c r="BC157" s="64"/>
      <c r="BD157" s="69"/>
      <c r="BE157" s="65"/>
      <c r="BF157" s="66"/>
      <c r="BG157" s="71"/>
      <c r="BH157" s="72"/>
      <c r="BI157" s="74"/>
      <c r="BK157" s="5" t="str">
        <f t="shared" si="23"/>
        <v>1</v>
      </c>
      <c r="BM157" s="5"/>
    </row>
    <row r="158" ht="37.5" customHeight="1">
      <c r="A158" s="45"/>
      <c r="B158" s="46">
        <f>IFERROR(__xludf.DUMMYFUNCTION("""COMPUTED_VALUE"""),156.0)</f>
        <v>156</v>
      </c>
      <c r="C158" s="47" t="str">
        <f>IFERROR(__xludf.DUMMYFUNCTION("""COMPUTED_VALUE"""),"Gestión de la administración y fomento")</f>
        <v>Gestión de la administración y fomento</v>
      </c>
      <c r="D158" s="48" t="str">
        <f>IFERROR(__xludf.DUMMYFUNCTION("""COMPUTED_VALUE"""),"Regional Villavicencio")</f>
        <v>Regional Villavicencio</v>
      </c>
      <c r="E158" s="48" t="str">
        <f>IFERROR(__xludf.DUMMYFUNCTION("""COMPUTED_VALUE"""),"Fortalecimiento de la sostenibilidad del sector pesquero y de la acuicultura en el territorio nacional")</f>
        <v>Fortalecimiento de la sostenibilidad del sector pesquero y de la acuicultura en el territorio nacional</v>
      </c>
      <c r="F158" s="49">
        <f>IFERROR(__xludf.DUMMYFUNCTION("""COMPUTED_VALUE"""),2.01901100028E12)</f>
        <v>2019011000280</v>
      </c>
      <c r="G158" s="50" t="str">
        <f>IFERROR(__xludf.DUMMYFUNCTION("""COMPUTED_VALUE"""),"Sostenibilidad")</f>
        <v>Sostenibilidad</v>
      </c>
      <c r="H158" s="48" t="str">
        <f>IFERROR(__xludf.DUMMYFUNCTION("""COMPUTED_VALUE"""),"Mejorar la explotación de los recursos pesqueros y de la acuicultura.")</f>
        <v>Mejorar la explotación de los recursos pesqueros y de la acuicultura.</v>
      </c>
      <c r="I158" s="48" t="str">
        <f>IFERROR(__xludf.DUMMYFUNCTION("""COMPUTED_VALUE"""),"Servicios de administración de los recurso pesqueros y de la acuicultura")</f>
        <v>Servicios de administración de los recurso pesqueros y de la acuicultura</v>
      </c>
      <c r="J158" s="48" t="str">
        <f>IFERROR(__xludf.DUMMYFUNCTION("""COMPUTED_VALUE"""),"Regular el manejo y el ejercicio de la actividad pesquera y de la acuicultura.")</f>
        <v>Regular el manejo y el ejercicio de la actividad pesquera y de la acuicultura.</v>
      </c>
      <c r="K158" s="51" t="str">
        <f>IFERROR(__xludf.DUMMYFUNCTION("""COMPUTED_VALUE"""),"Gestión del área")</f>
        <v>Gestión del área</v>
      </c>
      <c r="L158" s="51" t="str">
        <f>IFERROR(__xludf.DUMMYFUNCTION("""COMPUTED_VALUE"""),"Eficacia")</f>
        <v>Eficacia</v>
      </c>
      <c r="M158" s="51" t="str">
        <f>IFERROR(__xludf.DUMMYFUNCTION("""COMPUTED_VALUE"""),"Número")</f>
        <v>Número</v>
      </c>
      <c r="N158" s="52" t="str">
        <f>IFERROR(__xludf.DUMMYFUNCTION("""COMPUTED_VALUE"""),"No. depersonas  con beneficio de inclusion productiva")</f>
        <v>No. depersonas  con beneficio de inclusion productiva</v>
      </c>
      <c r="O158" s="53"/>
      <c r="P158" s="54">
        <f>IFERROR(__xludf.DUMMYFUNCTION("""COMPUTED_VALUE"""),1500.0)</f>
        <v>1500</v>
      </c>
      <c r="Q158" s="55" t="str">
        <f>IFERROR(__xludf.DUMMYFUNCTION("""COMPUTED_VALUE"""),"Beneficiarios con estrategias de inclusión productiva")</f>
        <v>Beneficiarios con estrategias de inclusión productiva</v>
      </c>
      <c r="R158" s="14" t="str">
        <f>IFERROR(__xludf.DUMMYFUNCTION("""COMPUTED_VALUE"""),"Trimestral")</f>
        <v>Trimestral</v>
      </c>
      <c r="S158" s="54">
        <f>IFERROR(__xludf.DUMMYFUNCTION("""COMPUTED_VALUE"""),1500.0)</f>
        <v>1500</v>
      </c>
      <c r="T158" s="54">
        <f>IFERROR(__xludf.DUMMYFUNCTION("""COMPUTED_VALUE"""),0.0)</f>
        <v>0</v>
      </c>
      <c r="U158" s="54">
        <f>IFERROR(__xludf.DUMMYFUNCTION("""COMPUTED_VALUE"""),0.0)</f>
        <v>0</v>
      </c>
      <c r="V158" s="54">
        <f>IFERROR(__xludf.DUMMYFUNCTION("""COMPUTED_VALUE"""),0.0)</f>
        <v>0</v>
      </c>
      <c r="W158" s="56" t="str">
        <f>IFERROR(__xludf.DUMMYFUNCTION("""COMPUTED_VALUE"""),"Regional Villavicencio")</f>
        <v>Regional Villavicencio</v>
      </c>
      <c r="X158" s="57" t="str">
        <f>IFERROR(__xludf.DUMMYFUNCTION("""COMPUTED_VALUE"""),"Maritza Casallas Delgado")</f>
        <v>Maritza Casallas Delgado</v>
      </c>
      <c r="Y158" s="47" t="str">
        <f>IFERROR(__xludf.DUMMYFUNCTION("""COMPUTED_VALUE"""),"Director Regional")</f>
        <v>Director Regional</v>
      </c>
      <c r="Z158" s="57" t="str">
        <f>IFERROR(__xludf.DUMMYFUNCTION("""COMPUTED_VALUE"""),"maritza.casallas@aunap.gov.co")</f>
        <v>maritza.casallas@aunap.gov.co</v>
      </c>
      <c r="AA158" s="47" t="str">
        <f>IFERROR(__xludf.DUMMYFUNCTION("""COMPUTED_VALUE"""),"Humanos, fisicos, financieros y tecnologicos")</f>
        <v>Humanos, fisicos, financieros y tecnologicos</v>
      </c>
      <c r="AB158" s="47" t="str">
        <f>IFERROR(__xludf.DUMMYFUNCTION("""COMPUTED_VALUE"""),"No asociado")</f>
        <v>No asociado</v>
      </c>
      <c r="AC158" s="47" t="str">
        <f>IFERROR(__xludf.DUMMYFUNCTION("""COMPUTED_VALUE"""),"Propiciar la formalización de la pesca y la acuicultura")</f>
        <v>Propiciar la formalización de la pesca y la acuicultura</v>
      </c>
      <c r="AD158" s="47" t="str">
        <f>IFERROR(__xludf.DUMMYFUNCTION("""COMPUTED_VALUE"""),"Gestión con valores para resultados")</f>
        <v>Gestión con valores para resultados</v>
      </c>
      <c r="AE158" s="47" t="str">
        <f>IFERROR(__xludf.DUMMYFUNCTION("""COMPUTED_VALUE"""),"Racionalización de Trámites")</f>
        <v>Racionalización de Trámites</v>
      </c>
      <c r="AF158" s="47" t="str">
        <f>IFERROR(__xludf.DUMMYFUNCTION("""COMPUTED_VALUE"""),"12. Producción y consumo responsable")</f>
        <v>12. Producción y consumo responsable</v>
      </c>
      <c r="AG158" s="58">
        <f>IFERROR(__xludf.DUMMYFUNCTION("""COMPUTED_VALUE"""),4176.0)</f>
        <v>4176</v>
      </c>
      <c r="AH158" s="59" t="str">
        <f>IFERROR(__xludf.DUMMYFUNCTION("""COMPUTED_VALUE"""),"Los beneficiarios de la estrategia de Agricultura por Contrato incluyeron a pescadores de un par de Reguardos Indígenas que beneficia a miles de ellos y por esa razón se superó por mucho la meta prevista. También por el ánimo de coadyuvar a la entidad en "&amp;"su compromiso nacional de esta actividad ")</f>
        <v>Los beneficiarios de la estrategia de Agricultura por Contrato incluyeron a pescadores de un par de Reguardos Indígenas que beneficia a miles de ellos y por esa razón se superó por mucho la meta prevista. También por el ánimo de coadyuvar a la entidad en su compromiso nacional de esta actividad </v>
      </c>
      <c r="AI158" s="81" t="str">
        <f>IFERROR(__xludf.DUMMYFUNCTION("""COMPUTED_VALUE"""),"https://drive.google.com/drive/folders/1CIATy8agdHZ-LsBHXSsFK80e2H1DQGpC?usp=sharing")</f>
        <v>https://drive.google.com/drive/folders/1CIATy8agdHZ-LsBHXSsFK80e2H1DQGpC?usp=sharing</v>
      </c>
      <c r="AJ158" s="60">
        <f>IFERROR(__xludf.DUMMYFUNCTION("""COMPUTED_VALUE"""),44396.0)</f>
        <v>44396</v>
      </c>
      <c r="AK158" s="61" t="str">
        <f>IFERROR(IF((AL158+1)&lt;2,Alertas!$B$2&amp;TEXT(AL158,"0%")&amp;Alertas!$D$2, IF((AL158+1)=2,Alertas!$B$3,IF((AL158+1)&gt;2,Alertas!$B$4&amp;TEXT(AL158,"0%")&amp;Alertas!$D$4,AL158+1))),"Sin meta para el segundo trimestre")</f>
        <v>La ejecución de la meta registrada se encuentra por encima de la meta programada en la formulación del plan de acción para el segundo trimestre, su porcentaje de cumplimiento es 417700%,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L158" s="62">
        <f t="shared" si="2"/>
        <v>4177</v>
      </c>
      <c r="AM158" s="61" t="str">
        <f t="shared" si="3"/>
        <v>La ejecución de la meta registrada se encuentra por encima de la meta programada en la formulación del plan de acción para el segundo trimestre, su porcentaje de cumplimiento es 417700%,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N158" s="63"/>
      <c r="AO158" s="64"/>
      <c r="AP158" s="65"/>
      <c r="AQ158" s="65"/>
      <c r="AR158" s="66"/>
      <c r="AS158" s="67"/>
      <c r="AT158" s="68"/>
      <c r="AU158" s="63"/>
      <c r="AV158" s="64"/>
      <c r="AW158" s="69"/>
      <c r="AX158" s="65"/>
      <c r="AY158" s="70"/>
      <c r="AZ158" s="71"/>
      <c r="BA158" s="72"/>
      <c r="BB158" s="73"/>
      <c r="BC158" s="64"/>
      <c r="BD158" s="69"/>
      <c r="BE158" s="65"/>
      <c r="BF158" s="66"/>
      <c r="BG158" s="71"/>
      <c r="BH158" s="72"/>
      <c r="BI158" s="74"/>
      <c r="BK158" s="5" t="str">
        <f t="shared" si="23"/>
        <v>1</v>
      </c>
      <c r="BM158" s="5"/>
    </row>
    <row r="159" ht="15.75" customHeight="1"/>
  </sheetData>
  <autoFilter ref="$A$2:$BI$158"/>
  <mergeCells count="5">
    <mergeCell ref="AG1:AN1"/>
    <mergeCell ref="AO1:AU1"/>
    <mergeCell ref="AV1:BB1"/>
    <mergeCell ref="BC1:BI1"/>
    <mergeCell ref="BM1:BR1"/>
  </mergeCells>
  <conditionalFormatting sqref="AS3:AS158 AZ3:AZ158 BG3:BG158">
    <cfRule type="expression" dxfId="0" priority="1">
      <formula>AQ3:AQ50&lt;&gt;0</formula>
    </cfRule>
  </conditionalFormatting>
  <conditionalFormatting sqref="AS3:AS158 AZ3:AZ158 BG3:BG158">
    <cfRule type="cellIs" dxfId="1" priority="2" operator="lessThan">
      <formula>0</formula>
    </cfRule>
  </conditionalFormatting>
  <conditionalFormatting sqref="BD3:BE158">
    <cfRule type="notContainsBlanks" dxfId="2" priority="3">
      <formula>LEN(TRIM(BD3))&gt;0</formula>
    </cfRule>
  </conditionalFormatting>
  <conditionalFormatting sqref="AS3:AS158 AZ3:AZ158 BG3:BG158">
    <cfRule type="cellIs" dxfId="2" priority="4" operator="greaterThan">
      <formula>0</formula>
    </cfRule>
  </conditionalFormatting>
  <conditionalFormatting sqref="AS3:AS158">
    <cfRule type="notContainsBlanks" dxfId="2" priority="5">
      <formula>LEN(TRIM(AS3))&gt;0</formula>
    </cfRule>
  </conditionalFormatting>
  <conditionalFormatting sqref="AL3:AL158">
    <cfRule type="colorScale" priority="6">
      <colorScale>
        <cfvo type="min"/>
        <cfvo type="percent" val="100%"/>
        <cfvo type="max"/>
        <color rgb="FFDD7E6B"/>
        <color rgb="FF57BB8A"/>
        <color rgb="FFDD7E6B"/>
      </colorScale>
    </cfRule>
  </conditionalFormatting>
  <conditionalFormatting sqref="BQ3:BQ24">
    <cfRule type="colorScale" priority="7">
      <colorScale>
        <cfvo type="min"/>
        <cfvo type="formula" val="1"/>
        <cfvo type="formula" val="140%"/>
        <color rgb="FFEA4335"/>
        <color rgb="FF57BB8A"/>
        <color rgb="FFEA4335"/>
      </colorScale>
    </cfRule>
  </conditionalFormatting>
  <hyperlinks>
    <hyperlink r:id="rId2" ref="AI5"/>
    <hyperlink r:id="rId3" ref="AI6"/>
    <hyperlink r:id="rId4" ref="AI7"/>
    <hyperlink r:id="rId5" ref="AI8"/>
    <hyperlink r:id="rId6" ref="AI9"/>
    <hyperlink r:id="rId7" ref="AI10"/>
    <hyperlink r:id="rId8" ref="AI14"/>
    <hyperlink r:id="rId9" ref="AI15"/>
    <hyperlink r:id="rId10" ref="AI24"/>
    <hyperlink r:id="rId11" ref="AI25"/>
    <hyperlink r:id="rId12" ref="AI26"/>
    <hyperlink r:id="rId13" ref="AI30"/>
    <hyperlink r:id="rId14" ref="AI32"/>
    <hyperlink r:id="rId15" ref="AI36"/>
    <hyperlink r:id="rId16" ref="AI39"/>
    <hyperlink r:id="rId17" ref="AI40"/>
    <hyperlink r:id="rId18" ref="AI41"/>
    <hyperlink r:id="rId19" ref="AI42"/>
    <hyperlink r:id="rId20" ref="AI43"/>
    <hyperlink r:id="rId21" ref="AI45"/>
    <hyperlink r:id="rId22" ref="AI46"/>
    <hyperlink r:id="rId23" location="estados-financieros" ref="AI48"/>
    <hyperlink r:id="rId24" location="estados-financieros" ref="AI49"/>
    <hyperlink r:id="rId25" ref="AI50"/>
    <hyperlink r:id="rId26" ref="AI51"/>
    <hyperlink r:id="rId27" ref="AI52"/>
    <hyperlink r:id="rId28" ref="AI53"/>
    <hyperlink r:id="rId29" ref="AI54"/>
    <hyperlink r:id="rId30" ref="AI55"/>
    <hyperlink r:id="rId31" ref="AI56"/>
    <hyperlink r:id="rId32" ref="AI57"/>
    <hyperlink r:id="rId33" ref="AI58"/>
    <hyperlink r:id="rId34" ref="AI61"/>
    <hyperlink r:id="rId35" ref="AI64"/>
    <hyperlink r:id="rId36" ref="AI70"/>
    <hyperlink r:id="rId37" location="gid=1942166271" ref="AI73"/>
    <hyperlink r:id="rId38" ref="AI81"/>
    <hyperlink r:id="rId39" ref="AI84"/>
    <hyperlink r:id="rId40" ref="AI85"/>
    <hyperlink r:id="rId41" ref="AI86"/>
    <hyperlink r:id="rId42" ref="AI87"/>
    <hyperlink r:id="rId43" ref="AI88"/>
    <hyperlink r:id="rId44" ref="AI89"/>
    <hyperlink r:id="rId45" ref="AI90"/>
    <hyperlink r:id="rId46" ref="AI91"/>
    <hyperlink r:id="rId47" ref="AI92"/>
    <hyperlink r:id="rId48" ref="AI93"/>
    <hyperlink r:id="rId49" ref="AI94"/>
    <hyperlink r:id="rId50" ref="AI96"/>
    <hyperlink r:id="rId51" ref="AI97"/>
    <hyperlink r:id="rId52" ref="AI98"/>
    <hyperlink r:id="rId53" ref="AI103"/>
    <hyperlink r:id="rId54" ref="AI105"/>
    <hyperlink r:id="rId55" ref="AI106"/>
    <hyperlink r:id="rId56" ref="AI107"/>
    <hyperlink r:id="rId57" ref="AI108"/>
    <hyperlink r:id="rId58" ref="AI109"/>
    <hyperlink r:id="rId59" ref="AI110"/>
    <hyperlink r:id="rId60" ref="AI111"/>
    <hyperlink r:id="rId61" ref="AI112"/>
    <hyperlink r:id="rId62" ref="AI113"/>
    <hyperlink r:id="rId63" ref="AI114"/>
    <hyperlink r:id="rId64" ref="AI115"/>
    <hyperlink r:id="rId65" ref="AI116"/>
    <hyperlink r:id="rId66" ref="AI117"/>
    <hyperlink r:id="rId67" ref="AI118"/>
    <hyperlink r:id="rId68" ref="AI119"/>
    <hyperlink r:id="rId69" ref="AI120"/>
    <hyperlink r:id="rId70" ref="AI121"/>
    <hyperlink r:id="rId71" ref="AI122"/>
    <hyperlink r:id="rId72" ref="AI123"/>
    <hyperlink r:id="rId73" ref="AI124"/>
    <hyperlink r:id="rId74" ref="AI125"/>
    <hyperlink r:id="rId75" ref="AI126"/>
    <hyperlink r:id="rId76" ref="AI127"/>
    <hyperlink r:id="rId77" ref="AI128"/>
    <hyperlink r:id="rId78" ref="AI129"/>
    <hyperlink r:id="rId79" ref="AI131"/>
    <hyperlink r:id="rId80" ref="AI132"/>
    <hyperlink r:id="rId81" ref="AI133"/>
    <hyperlink r:id="rId82" ref="AI134"/>
    <hyperlink r:id="rId83" ref="AI135"/>
    <hyperlink r:id="rId84" ref="AI136"/>
    <hyperlink r:id="rId85" ref="AI137"/>
    <hyperlink r:id="rId86" ref="AI138"/>
    <hyperlink r:id="rId87" ref="AI139"/>
    <hyperlink r:id="rId88" ref="AI140"/>
    <hyperlink r:id="rId89" ref="AI141"/>
    <hyperlink r:id="rId90" location="gid=0" ref="AI142"/>
    <hyperlink r:id="rId91" ref="AI143"/>
    <hyperlink r:id="rId92" ref="AI144"/>
    <hyperlink r:id="rId93" ref="AI145"/>
    <hyperlink r:id="rId94" ref="AI146"/>
    <hyperlink r:id="rId95" ref="AI147"/>
    <hyperlink r:id="rId96" ref="AI148"/>
    <hyperlink r:id="rId97" location="gid=1782517093" ref="AI149"/>
    <hyperlink r:id="rId98" ref="AI150"/>
    <hyperlink r:id="rId99" ref="AI151"/>
    <hyperlink r:id="rId100" ref="AI152"/>
    <hyperlink r:id="rId101" ref="AI153"/>
    <hyperlink r:id="rId102" ref="AI154"/>
    <hyperlink r:id="rId103" ref="AI155"/>
    <hyperlink r:id="rId104" ref="AI156"/>
    <hyperlink r:id="rId105" ref="AI157"/>
    <hyperlink r:id="rId106" ref="AI158"/>
  </hyperlinks>
  <printOptions gridLines="1" horizontalCentered="1"/>
  <pageMargins bottom="0.75" footer="0.0" header="0.0" left="0.7" right="0.7" top="0.75"/>
  <pageSetup fitToHeight="0" paperSize="9" cellComments="atEnd" orientation="portrait" pageOrder="overThenDown"/>
  <drawing r:id="rId107"/>
  <legacyDrawing r:id="rId10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1.0</v>
      </c>
      <c r="C4" s="103" t="s">
        <v>114</v>
      </c>
      <c r="D4" s="103" t="s">
        <v>1</v>
      </c>
      <c r="E4" s="103" t="s">
        <v>115</v>
      </c>
      <c r="F4" s="104">
        <v>2.018011000241E12</v>
      </c>
      <c r="G4" s="105" t="s">
        <v>116</v>
      </c>
      <c r="H4" s="103" t="s">
        <v>117</v>
      </c>
      <c r="I4" s="103" t="s">
        <v>118</v>
      </c>
      <c r="J4" s="103" t="s">
        <v>119</v>
      </c>
      <c r="K4" s="106" t="s">
        <v>120</v>
      </c>
      <c r="L4" s="106" t="s">
        <v>121</v>
      </c>
      <c r="M4" s="106" t="s">
        <v>122</v>
      </c>
      <c r="N4" s="107" t="s">
        <v>118</v>
      </c>
      <c r="O4" s="108">
        <v>1.0</v>
      </c>
      <c r="P4" s="109">
        <v>1.0</v>
      </c>
      <c r="Q4" s="110" t="s">
        <v>123</v>
      </c>
      <c r="R4" s="111" t="s">
        <v>124</v>
      </c>
      <c r="S4" s="109">
        <v>0.0</v>
      </c>
      <c r="T4" s="109">
        <v>0.0</v>
      </c>
      <c r="U4" s="112">
        <v>0.0</v>
      </c>
      <c r="V4" s="112">
        <v>1.0</v>
      </c>
      <c r="W4" s="113" t="s">
        <v>125</v>
      </c>
      <c r="X4" s="105" t="s">
        <v>126</v>
      </c>
      <c r="Y4" s="103" t="s">
        <v>127</v>
      </c>
      <c r="Z4" s="105" t="s">
        <v>128</v>
      </c>
      <c r="AA4" s="103" t="s">
        <v>129</v>
      </c>
      <c r="AB4" s="103" t="s">
        <v>130</v>
      </c>
      <c r="AC4" s="103" t="s">
        <v>131</v>
      </c>
      <c r="AD4" s="103" t="s">
        <v>132</v>
      </c>
      <c r="AE4" s="103" t="s">
        <v>133</v>
      </c>
      <c r="AF4" s="103" t="s">
        <v>134</v>
      </c>
      <c r="AG4" s="114"/>
      <c r="AH4" s="115"/>
      <c r="AI4" s="116"/>
      <c r="AJ4" s="117">
        <f t="shared" ref="AJ4:AJ6" si="1">$AK$1</f>
        <v>44396</v>
      </c>
      <c r="AK4" s="118">
        <f t="shared" ref="AK4:AK6" si="2">AJ4-$AL$1</f>
        <v>-318</v>
      </c>
      <c r="AL4" s="119" t="str">
        <f t="shared" ref="AL4:AL6" si="3">IF(ISBLANK(AG4),"Pendiente Ejecución"&amp;CHAR(10),)&amp;IF(ISBLANK(AH4),"Pendiente Justificación"&amp;CHAR(10),)&amp;IF(ISBLANK(AI4),"Pendiente Evidencia",)&amp;IF(OR(ISBLANK(AG4),ISBLANK(AH4),ISBLANK(AI4)),,"Reporte ok")</f>
        <v>Pendiente Ejecución
Pendiente Justificación
Pendiente Evidencia</v>
      </c>
      <c r="AM4" s="119"/>
      <c r="AN4" s="120"/>
    </row>
    <row r="5" ht="67.5" customHeight="1">
      <c r="A5" s="45"/>
      <c r="B5" s="103">
        <v>2.0</v>
      </c>
      <c r="C5" s="103" t="s">
        <v>114</v>
      </c>
      <c r="D5" s="103" t="s">
        <v>1</v>
      </c>
      <c r="E5" s="103" t="s">
        <v>115</v>
      </c>
      <c r="F5" s="104">
        <v>2.018011000241E12</v>
      </c>
      <c r="G5" s="105" t="s">
        <v>116</v>
      </c>
      <c r="H5" s="103" t="s">
        <v>117</v>
      </c>
      <c r="I5" s="103" t="s">
        <v>135</v>
      </c>
      <c r="J5" s="103" t="s">
        <v>136</v>
      </c>
      <c r="K5" s="106" t="s">
        <v>120</v>
      </c>
      <c r="L5" s="106" t="s">
        <v>121</v>
      </c>
      <c r="M5" s="106" t="s">
        <v>122</v>
      </c>
      <c r="N5" s="107" t="s">
        <v>135</v>
      </c>
      <c r="O5" s="108">
        <v>1.0</v>
      </c>
      <c r="P5" s="109">
        <v>1.0</v>
      </c>
      <c r="Q5" s="110" t="s">
        <v>137</v>
      </c>
      <c r="R5" s="111" t="s">
        <v>124</v>
      </c>
      <c r="S5" s="109">
        <v>0.0</v>
      </c>
      <c r="T5" s="109">
        <v>0.0</v>
      </c>
      <c r="U5" s="112">
        <v>0.0</v>
      </c>
      <c r="V5" s="112">
        <v>1.0</v>
      </c>
      <c r="W5" s="113" t="s">
        <v>125</v>
      </c>
      <c r="X5" s="105" t="s">
        <v>126</v>
      </c>
      <c r="Y5" s="103" t="s">
        <v>127</v>
      </c>
      <c r="Z5" s="105" t="s">
        <v>128</v>
      </c>
      <c r="AA5" s="103" t="s">
        <v>129</v>
      </c>
      <c r="AB5" s="103" t="s">
        <v>130</v>
      </c>
      <c r="AC5" s="103" t="s">
        <v>131</v>
      </c>
      <c r="AD5" s="103" t="s">
        <v>132</v>
      </c>
      <c r="AE5" s="103" t="s">
        <v>133</v>
      </c>
      <c r="AF5" s="103" t="s">
        <v>134</v>
      </c>
      <c r="AG5" s="114"/>
      <c r="AH5" s="115"/>
      <c r="AI5" s="116"/>
      <c r="AJ5" s="117">
        <f t="shared" si="1"/>
        <v>44396</v>
      </c>
      <c r="AK5" s="118">
        <f t="shared" si="2"/>
        <v>-318</v>
      </c>
      <c r="AL5" s="119" t="str">
        <f t="shared" si="3"/>
        <v>Pendiente Ejecución
Pendiente Justificación
Pendiente Evidencia</v>
      </c>
      <c r="AM5" s="119"/>
      <c r="AN5" s="120"/>
    </row>
    <row r="6" ht="67.5" customHeight="1">
      <c r="A6" s="45"/>
      <c r="B6" s="103">
        <v>3.0</v>
      </c>
      <c r="C6" s="103" t="s">
        <v>114</v>
      </c>
      <c r="D6" s="103" t="s">
        <v>1</v>
      </c>
      <c r="E6" s="103" t="s">
        <v>115</v>
      </c>
      <c r="F6" s="104">
        <v>2.018011000241E12</v>
      </c>
      <c r="G6" s="105" t="s">
        <v>116</v>
      </c>
      <c r="H6" s="103" t="s">
        <v>138</v>
      </c>
      <c r="I6" s="103" t="s">
        <v>139</v>
      </c>
      <c r="J6" s="103" t="s">
        <v>140</v>
      </c>
      <c r="K6" s="106" t="s">
        <v>141</v>
      </c>
      <c r="L6" s="106" t="s">
        <v>121</v>
      </c>
      <c r="M6" s="106" t="s">
        <v>142</v>
      </c>
      <c r="N6" s="107" t="s">
        <v>143</v>
      </c>
      <c r="O6" s="108">
        <v>1.0</v>
      </c>
      <c r="P6" s="121">
        <v>1.0</v>
      </c>
      <c r="Q6" s="110" t="s">
        <v>144</v>
      </c>
      <c r="R6" s="111" t="s">
        <v>124</v>
      </c>
      <c r="S6" s="121">
        <v>0.0</v>
      </c>
      <c r="T6" s="121">
        <v>0.2</v>
      </c>
      <c r="U6" s="121">
        <v>0.3</v>
      </c>
      <c r="V6" s="121">
        <v>0.5</v>
      </c>
      <c r="W6" s="113" t="s">
        <v>125</v>
      </c>
      <c r="X6" s="105" t="s">
        <v>126</v>
      </c>
      <c r="Y6" s="103" t="s">
        <v>127</v>
      </c>
      <c r="Z6" s="105" t="s">
        <v>128</v>
      </c>
      <c r="AA6" s="103" t="s">
        <v>129</v>
      </c>
      <c r="AB6" s="103" t="s">
        <v>130</v>
      </c>
      <c r="AC6" s="103" t="s">
        <v>131</v>
      </c>
      <c r="AD6" s="103" t="s">
        <v>132</v>
      </c>
      <c r="AE6" s="103" t="s">
        <v>133</v>
      </c>
      <c r="AF6" s="103" t="s">
        <v>134</v>
      </c>
      <c r="AG6" s="122">
        <v>0.8</v>
      </c>
      <c r="AH6" s="115" t="s">
        <v>145</v>
      </c>
      <c r="AI6" s="123" t="s">
        <v>146</v>
      </c>
      <c r="AJ6" s="117">
        <f t="shared" si="1"/>
        <v>44396</v>
      </c>
      <c r="AK6" s="118">
        <f t="shared" si="2"/>
        <v>-318</v>
      </c>
      <c r="AL6" s="119" t="str">
        <f t="shared" si="3"/>
        <v>Reporte ok</v>
      </c>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7"/>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6"/>
  </hyperlinks>
  <printOptions gridLines="1" horizontalCentered="1"/>
  <pageMargins bottom="0.75" footer="0.0" header="0.0" left="0.7" right="0.7" top="0.75"/>
  <pageSetup cellComments="atEnd" orientation="portrait" pageOrder="overThenDown"/>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4.0</v>
      </c>
      <c r="C4" s="103" t="s">
        <v>147</v>
      </c>
      <c r="D4" s="103" t="s">
        <v>7</v>
      </c>
      <c r="E4" s="103" t="s">
        <v>115</v>
      </c>
      <c r="F4" s="104">
        <v>2.018011000241E12</v>
      </c>
      <c r="G4" s="105" t="s">
        <v>116</v>
      </c>
      <c r="H4" s="103" t="s">
        <v>138</v>
      </c>
      <c r="I4" s="103" t="s">
        <v>139</v>
      </c>
      <c r="J4" s="103" t="s">
        <v>140</v>
      </c>
      <c r="K4" s="106" t="s">
        <v>141</v>
      </c>
      <c r="L4" s="106" t="s">
        <v>121</v>
      </c>
      <c r="M4" s="106" t="s">
        <v>122</v>
      </c>
      <c r="N4" s="107" t="s">
        <v>148</v>
      </c>
      <c r="O4" s="108"/>
      <c r="P4" s="109">
        <v>22.0</v>
      </c>
      <c r="Q4" s="110" t="s">
        <v>149</v>
      </c>
      <c r="R4" s="111" t="s">
        <v>150</v>
      </c>
      <c r="S4" s="109">
        <v>4.0</v>
      </c>
      <c r="T4" s="109">
        <v>6.0</v>
      </c>
      <c r="U4" s="112">
        <v>6.0</v>
      </c>
      <c r="V4" s="112">
        <v>6.0</v>
      </c>
      <c r="W4" s="113" t="s">
        <v>7</v>
      </c>
      <c r="X4" s="105" t="s">
        <v>151</v>
      </c>
      <c r="Y4" s="103" t="s">
        <v>152</v>
      </c>
      <c r="Z4" s="105" t="s">
        <v>153</v>
      </c>
      <c r="AA4" s="103" t="s">
        <v>154</v>
      </c>
      <c r="AB4" s="103" t="s">
        <v>155</v>
      </c>
      <c r="AC4" s="103" t="s">
        <v>131</v>
      </c>
      <c r="AD4" s="103" t="s">
        <v>156</v>
      </c>
      <c r="AE4" s="103" t="s">
        <v>157</v>
      </c>
      <c r="AF4" s="103" t="s">
        <v>158</v>
      </c>
      <c r="AG4" s="114">
        <v>6.0</v>
      </c>
      <c r="AH4" s="115" t="s">
        <v>159</v>
      </c>
      <c r="AI4" s="124" t="s">
        <v>160</v>
      </c>
      <c r="AJ4" s="117">
        <f t="shared" ref="AJ4:AJ11" si="1">$AK$1</f>
        <v>44396</v>
      </c>
      <c r="AK4" s="118">
        <f t="shared" ref="AK4:AK11" si="2">AJ4-$AL$1</f>
        <v>-318</v>
      </c>
      <c r="AL4" s="119" t="str">
        <f t="shared" ref="AL4:AL11" si="3">IF(ISBLANK(AG4),"Pendiente Ejecución"&amp;CHAR(10),)&amp;IF(ISBLANK(AH4),"Pendiente Justificación"&amp;CHAR(10),)&amp;IF(ISBLANK(AI4),"Pendiente Evidencia",)&amp;IF(OR(ISBLANK(AG4),ISBLANK(AH4),ISBLANK(AI4)),,"Reporte ok")</f>
        <v>Reporte ok</v>
      </c>
      <c r="AM4" s="119"/>
      <c r="AN4" s="120"/>
    </row>
    <row r="5" ht="67.5" customHeight="1">
      <c r="A5" s="45"/>
      <c r="B5" s="103">
        <v>5.0</v>
      </c>
      <c r="C5" s="103" t="s">
        <v>147</v>
      </c>
      <c r="D5" s="103" t="s">
        <v>7</v>
      </c>
      <c r="E5" s="103" t="s">
        <v>115</v>
      </c>
      <c r="F5" s="104">
        <v>2.018011000241E12</v>
      </c>
      <c r="G5" s="105" t="s">
        <v>116</v>
      </c>
      <c r="H5" s="103" t="s">
        <v>138</v>
      </c>
      <c r="I5" s="103" t="s">
        <v>139</v>
      </c>
      <c r="J5" s="103" t="s">
        <v>140</v>
      </c>
      <c r="K5" s="106" t="s">
        <v>141</v>
      </c>
      <c r="L5" s="106" t="s">
        <v>121</v>
      </c>
      <c r="M5" s="106" t="s">
        <v>142</v>
      </c>
      <c r="N5" s="107" t="s">
        <v>161</v>
      </c>
      <c r="O5" s="108"/>
      <c r="P5" s="121">
        <v>1.0</v>
      </c>
      <c r="Q5" s="110" t="s">
        <v>162</v>
      </c>
      <c r="R5" s="111" t="s">
        <v>150</v>
      </c>
      <c r="S5" s="121">
        <v>1.0</v>
      </c>
      <c r="T5" s="121">
        <v>1.0</v>
      </c>
      <c r="U5" s="121">
        <v>1.0</v>
      </c>
      <c r="V5" s="121">
        <v>1.0</v>
      </c>
      <c r="W5" s="113" t="s">
        <v>7</v>
      </c>
      <c r="X5" s="105" t="s">
        <v>151</v>
      </c>
      <c r="Y5" s="103" t="s">
        <v>152</v>
      </c>
      <c r="Z5" s="105" t="s">
        <v>153</v>
      </c>
      <c r="AA5" s="103" t="s">
        <v>154</v>
      </c>
      <c r="AB5" s="103" t="s">
        <v>155</v>
      </c>
      <c r="AC5" s="103" t="s">
        <v>131</v>
      </c>
      <c r="AD5" s="103" t="s">
        <v>156</v>
      </c>
      <c r="AE5" s="103" t="s">
        <v>157</v>
      </c>
      <c r="AF5" s="103" t="s">
        <v>158</v>
      </c>
      <c r="AG5" s="122">
        <v>1.0</v>
      </c>
      <c r="AH5" s="115" t="s">
        <v>163</v>
      </c>
      <c r="AI5" s="124" t="s">
        <v>164</v>
      </c>
      <c r="AJ5" s="117">
        <f t="shared" si="1"/>
        <v>44396</v>
      </c>
      <c r="AK5" s="118">
        <f t="shared" si="2"/>
        <v>-318</v>
      </c>
      <c r="AL5" s="119" t="str">
        <f t="shared" si="3"/>
        <v>Reporte ok</v>
      </c>
      <c r="AM5" s="119"/>
      <c r="AN5" s="120"/>
    </row>
    <row r="6" ht="67.5" customHeight="1">
      <c r="A6" s="45"/>
      <c r="B6" s="103">
        <v>6.0</v>
      </c>
      <c r="C6" s="103" t="s">
        <v>147</v>
      </c>
      <c r="D6" s="103" t="s">
        <v>7</v>
      </c>
      <c r="E6" s="103" t="s">
        <v>115</v>
      </c>
      <c r="F6" s="104">
        <v>2.018011000241E12</v>
      </c>
      <c r="G6" s="105" t="s">
        <v>116</v>
      </c>
      <c r="H6" s="103" t="s">
        <v>138</v>
      </c>
      <c r="I6" s="103" t="s">
        <v>139</v>
      </c>
      <c r="J6" s="103" t="s">
        <v>140</v>
      </c>
      <c r="K6" s="106" t="s">
        <v>141</v>
      </c>
      <c r="L6" s="106" t="s">
        <v>165</v>
      </c>
      <c r="M6" s="106" t="s">
        <v>122</v>
      </c>
      <c r="N6" s="107" t="s">
        <v>166</v>
      </c>
      <c r="O6" s="108"/>
      <c r="P6" s="109">
        <v>20.0</v>
      </c>
      <c r="Q6" s="110" t="s">
        <v>167</v>
      </c>
      <c r="R6" s="111" t="s">
        <v>150</v>
      </c>
      <c r="S6" s="109">
        <v>3.0</v>
      </c>
      <c r="T6" s="109">
        <v>6.0</v>
      </c>
      <c r="U6" s="112">
        <v>6.0</v>
      </c>
      <c r="V6" s="112">
        <v>5.0</v>
      </c>
      <c r="W6" s="113" t="s">
        <v>7</v>
      </c>
      <c r="X6" s="105" t="s">
        <v>151</v>
      </c>
      <c r="Y6" s="103" t="s">
        <v>152</v>
      </c>
      <c r="Z6" s="105" t="s">
        <v>153</v>
      </c>
      <c r="AA6" s="103" t="s">
        <v>154</v>
      </c>
      <c r="AB6" s="103" t="s">
        <v>155</v>
      </c>
      <c r="AC6" s="103" t="s">
        <v>131</v>
      </c>
      <c r="AD6" s="103" t="s">
        <v>156</v>
      </c>
      <c r="AE6" s="103" t="s">
        <v>157</v>
      </c>
      <c r="AF6" s="103" t="s">
        <v>158</v>
      </c>
      <c r="AG6" s="114">
        <v>6.0</v>
      </c>
      <c r="AH6" s="115" t="s">
        <v>168</v>
      </c>
      <c r="AI6" s="124" t="s">
        <v>169</v>
      </c>
      <c r="AJ6" s="117">
        <f t="shared" si="1"/>
        <v>44396</v>
      </c>
      <c r="AK6" s="118">
        <f t="shared" si="2"/>
        <v>-318</v>
      </c>
      <c r="AL6" s="119" t="str">
        <f t="shared" si="3"/>
        <v>Reporte ok</v>
      </c>
      <c r="AM6" s="119"/>
      <c r="AN6" s="120"/>
    </row>
    <row r="7" ht="67.5" customHeight="1">
      <c r="A7" s="45"/>
      <c r="B7" s="103">
        <v>7.0</v>
      </c>
      <c r="C7" s="103" t="s">
        <v>147</v>
      </c>
      <c r="D7" s="103" t="s">
        <v>7</v>
      </c>
      <c r="E7" s="103" t="s">
        <v>115</v>
      </c>
      <c r="F7" s="104">
        <v>2.018011000241E12</v>
      </c>
      <c r="G7" s="105" t="s">
        <v>116</v>
      </c>
      <c r="H7" s="103" t="s">
        <v>138</v>
      </c>
      <c r="I7" s="103" t="s">
        <v>139</v>
      </c>
      <c r="J7" s="103" t="s">
        <v>140</v>
      </c>
      <c r="K7" s="106" t="s">
        <v>141</v>
      </c>
      <c r="L7" s="106" t="s">
        <v>121</v>
      </c>
      <c r="M7" s="106" t="s">
        <v>122</v>
      </c>
      <c r="N7" s="107" t="s">
        <v>170</v>
      </c>
      <c r="O7" s="108"/>
      <c r="P7" s="109">
        <v>70.0</v>
      </c>
      <c r="Q7" s="110" t="s">
        <v>171</v>
      </c>
      <c r="R7" s="111" t="s">
        <v>172</v>
      </c>
      <c r="S7" s="109">
        <v>0.0</v>
      </c>
      <c r="T7" s="109">
        <v>20.0</v>
      </c>
      <c r="U7" s="112">
        <v>30.0</v>
      </c>
      <c r="V7" s="112">
        <v>20.0</v>
      </c>
      <c r="W7" s="113" t="s">
        <v>7</v>
      </c>
      <c r="X7" s="105" t="s">
        <v>151</v>
      </c>
      <c r="Y7" s="103" t="s">
        <v>152</v>
      </c>
      <c r="Z7" s="105" t="s">
        <v>153</v>
      </c>
      <c r="AA7" s="103" t="s">
        <v>154</v>
      </c>
      <c r="AB7" s="103" t="s">
        <v>155</v>
      </c>
      <c r="AC7" s="103" t="s">
        <v>131</v>
      </c>
      <c r="AD7" s="103" t="s">
        <v>156</v>
      </c>
      <c r="AE7" s="103" t="s">
        <v>157</v>
      </c>
      <c r="AF7" s="103" t="s">
        <v>158</v>
      </c>
      <c r="AG7" s="114">
        <v>20.0</v>
      </c>
      <c r="AH7" s="115" t="s">
        <v>173</v>
      </c>
      <c r="AI7" s="124" t="s">
        <v>174</v>
      </c>
      <c r="AJ7" s="117">
        <f t="shared" si="1"/>
        <v>44396</v>
      </c>
      <c r="AK7" s="118">
        <f t="shared" si="2"/>
        <v>-318</v>
      </c>
      <c r="AL7" s="119" t="str">
        <f t="shared" si="3"/>
        <v>Reporte ok</v>
      </c>
      <c r="AM7" s="119"/>
      <c r="AN7" s="120"/>
    </row>
    <row r="8" ht="67.5" customHeight="1">
      <c r="A8" s="45"/>
      <c r="B8" s="103">
        <v>8.0</v>
      </c>
      <c r="C8" s="103" t="s">
        <v>147</v>
      </c>
      <c r="D8" s="103" t="s">
        <v>7</v>
      </c>
      <c r="E8" s="103" t="s">
        <v>115</v>
      </c>
      <c r="F8" s="104">
        <v>2.018011000241E12</v>
      </c>
      <c r="G8" s="105" t="s">
        <v>116</v>
      </c>
      <c r="H8" s="103" t="s">
        <v>138</v>
      </c>
      <c r="I8" s="103" t="s">
        <v>139</v>
      </c>
      <c r="J8" s="103" t="s">
        <v>140</v>
      </c>
      <c r="K8" s="106" t="s">
        <v>141</v>
      </c>
      <c r="L8" s="106" t="s">
        <v>121</v>
      </c>
      <c r="M8" s="106" t="s">
        <v>122</v>
      </c>
      <c r="N8" s="107" t="s">
        <v>175</v>
      </c>
      <c r="O8" s="108"/>
      <c r="P8" s="109">
        <v>15.0</v>
      </c>
      <c r="Q8" s="110" t="s">
        <v>176</v>
      </c>
      <c r="R8" s="111" t="s">
        <v>177</v>
      </c>
      <c r="S8" s="109">
        <v>0.0</v>
      </c>
      <c r="T8" s="109">
        <v>3.0</v>
      </c>
      <c r="U8" s="112">
        <v>6.0</v>
      </c>
      <c r="V8" s="112">
        <v>6.0</v>
      </c>
      <c r="W8" s="113" t="s">
        <v>7</v>
      </c>
      <c r="X8" s="105" t="s">
        <v>151</v>
      </c>
      <c r="Y8" s="103" t="s">
        <v>152</v>
      </c>
      <c r="Z8" s="105" t="s">
        <v>153</v>
      </c>
      <c r="AA8" s="103" t="s">
        <v>154</v>
      </c>
      <c r="AB8" s="103" t="s">
        <v>155</v>
      </c>
      <c r="AC8" s="103" t="s">
        <v>131</v>
      </c>
      <c r="AD8" s="103" t="s">
        <v>156</v>
      </c>
      <c r="AE8" s="103" t="s">
        <v>178</v>
      </c>
      <c r="AF8" s="103" t="s">
        <v>158</v>
      </c>
      <c r="AG8" s="114">
        <v>3.0</v>
      </c>
      <c r="AH8" s="115" t="s">
        <v>179</v>
      </c>
      <c r="AI8" s="124" t="s">
        <v>180</v>
      </c>
      <c r="AJ8" s="117">
        <f t="shared" si="1"/>
        <v>44396</v>
      </c>
      <c r="AK8" s="118">
        <f t="shared" si="2"/>
        <v>-318</v>
      </c>
      <c r="AL8" s="119" t="str">
        <f t="shared" si="3"/>
        <v>Reporte ok</v>
      </c>
      <c r="AM8" s="119"/>
      <c r="AN8" s="120"/>
    </row>
    <row r="9" ht="67.5" customHeight="1">
      <c r="A9" s="45"/>
      <c r="B9" s="103">
        <v>9.0</v>
      </c>
      <c r="C9" s="103" t="s">
        <v>147</v>
      </c>
      <c r="D9" s="103" t="s">
        <v>7</v>
      </c>
      <c r="E9" s="103" t="s">
        <v>115</v>
      </c>
      <c r="F9" s="104">
        <v>2.018011000241E12</v>
      </c>
      <c r="G9" s="105" t="s">
        <v>116</v>
      </c>
      <c r="H9" s="103" t="s">
        <v>138</v>
      </c>
      <c r="I9" s="103" t="s">
        <v>139</v>
      </c>
      <c r="J9" s="103" t="s">
        <v>140</v>
      </c>
      <c r="K9" s="106" t="s">
        <v>141</v>
      </c>
      <c r="L9" s="106" t="s">
        <v>121</v>
      </c>
      <c r="M9" s="106" t="s">
        <v>122</v>
      </c>
      <c r="N9" s="107" t="s">
        <v>181</v>
      </c>
      <c r="O9" s="108"/>
      <c r="P9" s="109">
        <v>15.0</v>
      </c>
      <c r="Q9" s="110" t="s">
        <v>182</v>
      </c>
      <c r="R9" s="111" t="s">
        <v>172</v>
      </c>
      <c r="S9" s="109">
        <v>0.0</v>
      </c>
      <c r="T9" s="109">
        <v>4.0</v>
      </c>
      <c r="U9" s="112">
        <v>7.0</v>
      </c>
      <c r="V9" s="112">
        <v>4.0</v>
      </c>
      <c r="W9" s="113" t="s">
        <v>7</v>
      </c>
      <c r="X9" s="105" t="s">
        <v>151</v>
      </c>
      <c r="Y9" s="103" t="s">
        <v>152</v>
      </c>
      <c r="Z9" s="105" t="s">
        <v>153</v>
      </c>
      <c r="AA9" s="103" t="s">
        <v>154</v>
      </c>
      <c r="AB9" s="103" t="s">
        <v>155</v>
      </c>
      <c r="AC9" s="103" t="s">
        <v>131</v>
      </c>
      <c r="AD9" s="103" t="s">
        <v>156</v>
      </c>
      <c r="AE9" s="103" t="s">
        <v>157</v>
      </c>
      <c r="AF9" s="103" t="s">
        <v>158</v>
      </c>
      <c r="AG9" s="114">
        <v>4.0</v>
      </c>
      <c r="AH9" s="115" t="s">
        <v>183</v>
      </c>
      <c r="AI9" s="124" t="s">
        <v>184</v>
      </c>
      <c r="AJ9" s="117">
        <f t="shared" si="1"/>
        <v>44396</v>
      </c>
      <c r="AK9" s="118">
        <f t="shared" si="2"/>
        <v>-318</v>
      </c>
      <c r="AL9" s="119" t="str">
        <f t="shared" si="3"/>
        <v>Reporte ok</v>
      </c>
      <c r="AM9" s="119"/>
      <c r="AN9" s="120"/>
    </row>
    <row r="10" ht="67.5" customHeight="1">
      <c r="A10" s="45"/>
      <c r="B10" s="103">
        <v>10.0</v>
      </c>
      <c r="C10" s="103" t="s">
        <v>147</v>
      </c>
      <c r="D10" s="103" t="s">
        <v>7</v>
      </c>
      <c r="E10" s="103" t="s">
        <v>115</v>
      </c>
      <c r="F10" s="104">
        <v>2.018011000241E12</v>
      </c>
      <c r="G10" s="105" t="s">
        <v>116</v>
      </c>
      <c r="H10" s="103" t="s">
        <v>138</v>
      </c>
      <c r="I10" s="103" t="s">
        <v>139</v>
      </c>
      <c r="J10" s="103" t="s">
        <v>140</v>
      </c>
      <c r="K10" s="106" t="s">
        <v>141</v>
      </c>
      <c r="L10" s="106" t="s">
        <v>121</v>
      </c>
      <c r="M10" s="106" t="s">
        <v>122</v>
      </c>
      <c r="N10" s="107" t="s">
        <v>185</v>
      </c>
      <c r="O10" s="108"/>
      <c r="P10" s="109">
        <v>1.0</v>
      </c>
      <c r="Q10" s="110" t="s">
        <v>186</v>
      </c>
      <c r="R10" s="111" t="s">
        <v>177</v>
      </c>
      <c r="S10" s="109">
        <v>0.0</v>
      </c>
      <c r="T10" s="109">
        <v>1.0</v>
      </c>
      <c r="U10" s="112">
        <v>0.0</v>
      </c>
      <c r="V10" s="112">
        <v>0.0</v>
      </c>
      <c r="W10" s="113" t="s">
        <v>7</v>
      </c>
      <c r="X10" s="105" t="s">
        <v>151</v>
      </c>
      <c r="Y10" s="103" t="s">
        <v>152</v>
      </c>
      <c r="Z10" s="105" t="s">
        <v>153</v>
      </c>
      <c r="AA10" s="103" t="s">
        <v>154</v>
      </c>
      <c r="AB10" s="103" t="s">
        <v>187</v>
      </c>
      <c r="AC10" s="103" t="s">
        <v>131</v>
      </c>
      <c r="AD10" s="103" t="s">
        <v>156</v>
      </c>
      <c r="AE10" s="103" t="s">
        <v>157</v>
      </c>
      <c r="AF10" s="103" t="s">
        <v>158</v>
      </c>
      <c r="AG10" s="114">
        <v>1.0</v>
      </c>
      <c r="AH10" s="115" t="s">
        <v>188</v>
      </c>
      <c r="AI10" s="124" t="s">
        <v>189</v>
      </c>
      <c r="AJ10" s="117">
        <f t="shared" si="1"/>
        <v>44396</v>
      </c>
      <c r="AK10" s="118">
        <f t="shared" si="2"/>
        <v>-318</v>
      </c>
      <c r="AL10" s="119" t="str">
        <f t="shared" si="3"/>
        <v>Reporte ok</v>
      </c>
      <c r="AM10" s="119"/>
      <c r="AN10" s="120"/>
    </row>
    <row r="11" ht="67.5" customHeight="1">
      <c r="A11" s="45"/>
      <c r="B11" s="103">
        <v>11.0</v>
      </c>
      <c r="C11" s="103" t="s">
        <v>147</v>
      </c>
      <c r="D11" s="103" t="s">
        <v>7</v>
      </c>
      <c r="E11" s="103" t="s">
        <v>115</v>
      </c>
      <c r="F11" s="104">
        <v>2.018011000241E12</v>
      </c>
      <c r="G11" s="105" t="s">
        <v>116</v>
      </c>
      <c r="H11" s="103" t="s">
        <v>138</v>
      </c>
      <c r="I11" s="103" t="s">
        <v>139</v>
      </c>
      <c r="J11" s="103" t="s">
        <v>140</v>
      </c>
      <c r="K11" s="106" t="s">
        <v>141</v>
      </c>
      <c r="L11" s="106" t="s">
        <v>121</v>
      </c>
      <c r="M11" s="106" t="s">
        <v>142</v>
      </c>
      <c r="N11" s="107" t="s">
        <v>190</v>
      </c>
      <c r="O11" s="108"/>
      <c r="P11" s="121">
        <v>1.0</v>
      </c>
      <c r="Q11" s="110" t="s">
        <v>191</v>
      </c>
      <c r="R11" s="111" t="s">
        <v>177</v>
      </c>
      <c r="S11" s="121">
        <v>0.0</v>
      </c>
      <c r="T11" s="121">
        <v>0.0</v>
      </c>
      <c r="U11" s="121">
        <v>0.5</v>
      </c>
      <c r="V11" s="121">
        <v>0.5</v>
      </c>
      <c r="W11" s="113" t="s">
        <v>7</v>
      </c>
      <c r="X11" s="105" t="s">
        <v>151</v>
      </c>
      <c r="Y11" s="103" t="s">
        <v>152</v>
      </c>
      <c r="Z11" s="105" t="s">
        <v>153</v>
      </c>
      <c r="AA11" s="103" t="s">
        <v>154</v>
      </c>
      <c r="AB11" s="103" t="s">
        <v>187</v>
      </c>
      <c r="AC11" s="103" t="s">
        <v>131</v>
      </c>
      <c r="AD11" s="103" t="s">
        <v>156</v>
      </c>
      <c r="AE11" s="103" t="s">
        <v>157</v>
      </c>
      <c r="AF11" s="103" t="s">
        <v>158</v>
      </c>
      <c r="AG11" s="122">
        <v>0.0</v>
      </c>
      <c r="AH11" s="115" t="s">
        <v>192</v>
      </c>
      <c r="AI11" s="125" t="s">
        <v>192</v>
      </c>
      <c r="AJ11" s="117">
        <f t="shared" si="1"/>
        <v>44396</v>
      </c>
      <c r="AK11" s="118">
        <f t="shared" si="2"/>
        <v>-318</v>
      </c>
      <c r="AL11" s="119" t="str">
        <f t="shared" si="3"/>
        <v>Reporte ok</v>
      </c>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2"/>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s>
  <printOptions gridLines="1" horizontalCentered="1"/>
  <pageMargins bottom="0.75" footer="0.0" header="0.0" left="0.7" right="0.7" top="0.75"/>
  <pageSetup cellComments="atEnd" orientation="portrait" pageOrder="overThenDown"/>
  <drawing r:id="rId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12.0</v>
      </c>
      <c r="C4" s="103" t="s">
        <v>193</v>
      </c>
      <c r="D4" s="103" t="s">
        <v>193</v>
      </c>
      <c r="E4" s="103" t="s">
        <v>115</v>
      </c>
      <c r="F4" s="104">
        <v>2.018011000241E12</v>
      </c>
      <c r="G4" s="105" t="s">
        <v>116</v>
      </c>
      <c r="H4" s="103" t="s">
        <v>138</v>
      </c>
      <c r="I4" s="103" t="s">
        <v>139</v>
      </c>
      <c r="J4" s="103" t="s">
        <v>194</v>
      </c>
      <c r="K4" s="106" t="s">
        <v>141</v>
      </c>
      <c r="L4" s="106" t="s">
        <v>121</v>
      </c>
      <c r="M4" s="106" t="s">
        <v>142</v>
      </c>
      <c r="N4" s="107" t="s">
        <v>195</v>
      </c>
      <c r="O4" s="108"/>
      <c r="P4" s="121">
        <v>1.0</v>
      </c>
      <c r="Q4" s="110" t="s">
        <v>196</v>
      </c>
      <c r="R4" s="111" t="s">
        <v>177</v>
      </c>
      <c r="S4" s="121">
        <v>0.0</v>
      </c>
      <c r="T4" s="121">
        <v>1.0</v>
      </c>
      <c r="U4" s="121">
        <v>0.0</v>
      </c>
      <c r="V4" s="121">
        <v>1.0</v>
      </c>
      <c r="W4" s="113" t="s">
        <v>1</v>
      </c>
      <c r="X4" s="105" t="s">
        <v>126</v>
      </c>
      <c r="Y4" s="103" t="s">
        <v>197</v>
      </c>
      <c r="Z4" s="105" t="s">
        <v>128</v>
      </c>
      <c r="AA4" s="103" t="s">
        <v>154</v>
      </c>
      <c r="AB4" s="103" t="s">
        <v>187</v>
      </c>
      <c r="AC4" s="103" t="s">
        <v>131</v>
      </c>
      <c r="AD4" s="103" t="s">
        <v>198</v>
      </c>
      <c r="AE4" s="103" t="s">
        <v>199</v>
      </c>
      <c r="AF4" s="103" t="s">
        <v>134</v>
      </c>
      <c r="AG4" s="122">
        <v>1.0</v>
      </c>
      <c r="AH4" s="115" t="s">
        <v>200</v>
      </c>
      <c r="AI4" s="124" t="s">
        <v>201</v>
      </c>
      <c r="AJ4" s="117">
        <f t="shared" ref="AJ4:AJ6" si="1">$AK$1</f>
        <v>44396</v>
      </c>
      <c r="AK4" s="118">
        <f t="shared" ref="AK4:AK6" si="2">AJ4-$AL$1</f>
        <v>-318</v>
      </c>
      <c r="AL4" s="119" t="str">
        <f t="shared" ref="AL4:AL6" si="3">IF(ISBLANK(AG4),"Pendiente Ejecución"&amp;CHAR(10),)&amp;IF(ISBLANK(AH4),"Pendiente Justificación"&amp;CHAR(10),)&amp;IF(ISBLANK(AI4),"Pendiente Evidencia",)&amp;IF(OR(ISBLANK(AG4),ISBLANK(AH4),ISBLANK(AI4)),,"Reporte ok")</f>
        <v>Reporte ok</v>
      </c>
      <c r="AM4" s="119"/>
      <c r="AN4" s="120"/>
    </row>
    <row r="5" ht="67.5" customHeight="1">
      <c r="A5" s="45"/>
      <c r="B5" s="103">
        <v>13.0</v>
      </c>
      <c r="C5" s="103" t="s">
        <v>193</v>
      </c>
      <c r="D5" s="103" t="s">
        <v>193</v>
      </c>
      <c r="E5" s="103" t="s">
        <v>115</v>
      </c>
      <c r="F5" s="104">
        <v>2.018011000241E12</v>
      </c>
      <c r="G5" s="105" t="s">
        <v>116</v>
      </c>
      <c r="H5" s="103" t="s">
        <v>138</v>
      </c>
      <c r="I5" s="103" t="s">
        <v>139</v>
      </c>
      <c r="J5" s="103" t="s">
        <v>194</v>
      </c>
      <c r="K5" s="106" t="s">
        <v>141</v>
      </c>
      <c r="L5" s="106" t="s">
        <v>121</v>
      </c>
      <c r="M5" s="106" t="s">
        <v>142</v>
      </c>
      <c r="N5" s="107" t="s">
        <v>202</v>
      </c>
      <c r="O5" s="108"/>
      <c r="P5" s="121">
        <v>1.0</v>
      </c>
      <c r="Q5" s="110" t="s">
        <v>203</v>
      </c>
      <c r="R5" s="111" t="s">
        <v>177</v>
      </c>
      <c r="S5" s="121">
        <v>0.0</v>
      </c>
      <c r="T5" s="121">
        <v>1.0</v>
      </c>
      <c r="U5" s="121">
        <v>0.0</v>
      </c>
      <c r="V5" s="121">
        <v>1.0</v>
      </c>
      <c r="W5" s="113" t="s">
        <v>1</v>
      </c>
      <c r="X5" s="105" t="s">
        <v>126</v>
      </c>
      <c r="Y5" s="103" t="s">
        <v>197</v>
      </c>
      <c r="Z5" s="105" t="s">
        <v>128</v>
      </c>
      <c r="AA5" s="103" t="s">
        <v>154</v>
      </c>
      <c r="AB5" s="103" t="s">
        <v>187</v>
      </c>
      <c r="AC5" s="103" t="s">
        <v>131</v>
      </c>
      <c r="AD5" s="103" t="s">
        <v>198</v>
      </c>
      <c r="AE5" s="103" t="s">
        <v>199</v>
      </c>
      <c r="AF5" s="103" t="s">
        <v>134</v>
      </c>
      <c r="AG5" s="122">
        <v>1.0</v>
      </c>
      <c r="AH5" s="115" t="s">
        <v>204</v>
      </c>
      <c r="AI5" s="123" t="s">
        <v>201</v>
      </c>
      <c r="AJ5" s="117">
        <f t="shared" si="1"/>
        <v>44396</v>
      </c>
      <c r="AK5" s="118">
        <f t="shared" si="2"/>
        <v>-318</v>
      </c>
      <c r="AL5" s="119" t="str">
        <f t="shared" si="3"/>
        <v>Reporte ok</v>
      </c>
      <c r="AM5" s="119"/>
      <c r="AN5" s="120"/>
    </row>
    <row r="6" ht="67.5" customHeight="1">
      <c r="A6" s="45"/>
      <c r="B6" s="103">
        <v>14.0</v>
      </c>
      <c r="C6" s="103" t="s">
        <v>193</v>
      </c>
      <c r="D6" s="103" t="s">
        <v>193</v>
      </c>
      <c r="E6" s="103" t="s">
        <v>115</v>
      </c>
      <c r="F6" s="104">
        <v>2.018011000241E12</v>
      </c>
      <c r="G6" s="105" t="s">
        <v>116</v>
      </c>
      <c r="H6" s="103" t="s">
        <v>138</v>
      </c>
      <c r="I6" s="103" t="s">
        <v>139</v>
      </c>
      <c r="J6" s="103" t="s">
        <v>194</v>
      </c>
      <c r="K6" s="106" t="s">
        <v>141</v>
      </c>
      <c r="L6" s="106" t="s">
        <v>121</v>
      </c>
      <c r="M6" s="106" t="s">
        <v>122</v>
      </c>
      <c r="N6" s="107" t="s">
        <v>205</v>
      </c>
      <c r="O6" s="108"/>
      <c r="P6" s="109">
        <v>2.0</v>
      </c>
      <c r="Q6" s="110" t="s">
        <v>206</v>
      </c>
      <c r="R6" s="111" t="s">
        <v>172</v>
      </c>
      <c r="S6" s="109">
        <v>0.0</v>
      </c>
      <c r="T6" s="109">
        <v>0.0</v>
      </c>
      <c r="U6" s="112">
        <v>1.0</v>
      </c>
      <c r="V6" s="112">
        <v>1.0</v>
      </c>
      <c r="W6" s="113" t="s">
        <v>1</v>
      </c>
      <c r="X6" s="105" t="s">
        <v>126</v>
      </c>
      <c r="Y6" s="103" t="s">
        <v>197</v>
      </c>
      <c r="Z6" s="105" t="s">
        <v>128</v>
      </c>
      <c r="AA6" s="103" t="s">
        <v>154</v>
      </c>
      <c r="AB6" s="103" t="s">
        <v>207</v>
      </c>
      <c r="AC6" s="103" t="s">
        <v>131</v>
      </c>
      <c r="AD6" s="103" t="s">
        <v>198</v>
      </c>
      <c r="AE6" s="103" t="s">
        <v>199</v>
      </c>
      <c r="AF6" s="103" t="s">
        <v>134</v>
      </c>
      <c r="AG6" s="114"/>
      <c r="AH6" s="115" t="s">
        <v>208</v>
      </c>
      <c r="AI6" s="116"/>
      <c r="AJ6" s="117">
        <f t="shared" si="1"/>
        <v>44396</v>
      </c>
      <c r="AK6" s="118">
        <f t="shared" si="2"/>
        <v>-318</v>
      </c>
      <c r="AL6" s="119" t="str">
        <f t="shared" si="3"/>
        <v>Pendiente Ejecución
Pendiente Evidencia</v>
      </c>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8"/>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 r:id="rId2" ref="AI5"/>
  </hyperlinks>
  <printOptions gridLines="1" horizontalCentered="1"/>
  <pageMargins bottom="0.75" footer="0.0" header="0.0" left="0.7" right="0.7" top="0.75"/>
  <pageSetup cellComments="atEnd" orientation="portrait" pageOrder="overThenDown"/>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15.0</v>
      </c>
      <c r="C4" s="103" t="s">
        <v>209</v>
      </c>
      <c r="D4" s="103" t="s">
        <v>10</v>
      </c>
      <c r="E4" s="103" t="s">
        <v>115</v>
      </c>
      <c r="F4" s="104">
        <v>2.018011000241E12</v>
      </c>
      <c r="G4" s="105" t="s">
        <v>116</v>
      </c>
      <c r="H4" s="103" t="s">
        <v>138</v>
      </c>
      <c r="I4" s="103" t="s">
        <v>139</v>
      </c>
      <c r="J4" s="103" t="s">
        <v>140</v>
      </c>
      <c r="K4" s="106" t="s">
        <v>141</v>
      </c>
      <c r="L4" s="106" t="s">
        <v>210</v>
      </c>
      <c r="M4" s="106" t="s">
        <v>142</v>
      </c>
      <c r="N4" s="107" t="s">
        <v>211</v>
      </c>
      <c r="O4" s="108"/>
      <c r="P4" s="121">
        <v>1.0</v>
      </c>
      <c r="Q4" s="110" t="s">
        <v>212</v>
      </c>
      <c r="R4" s="111" t="s">
        <v>172</v>
      </c>
      <c r="S4" s="121">
        <v>1.0</v>
      </c>
      <c r="T4" s="121">
        <v>1.0</v>
      </c>
      <c r="U4" s="121">
        <v>1.0</v>
      </c>
      <c r="V4" s="121">
        <v>1.0</v>
      </c>
      <c r="W4" s="113" t="s">
        <v>10</v>
      </c>
      <c r="X4" s="105" t="s">
        <v>213</v>
      </c>
      <c r="Y4" s="103" t="s">
        <v>214</v>
      </c>
      <c r="Z4" s="105" t="s">
        <v>215</v>
      </c>
      <c r="AA4" s="103" t="s">
        <v>154</v>
      </c>
      <c r="AB4" s="103" t="s">
        <v>155</v>
      </c>
      <c r="AC4" s="103" t="s">
        <v>131</v>
      </c>
      <c r="AD4" s="103" t="s">
        <v>216</v>
      </c>
      <c r="AE4" s="103" t="s">
        <v>216</v>
      </c>
      <c r="AF4" s="103" t="s">
        <v>134</v>
      </c>
      <c r="AG4" s="122">
        <v>1.0</v>
      </c>
      <c r="AH4" s="126" t="s">
        <v>217</v>
      </c>
      <c r="AI4" s="125" t="s">
        <v>218</v>
      </c>
      <c r="AJ4" s="117">
        <f t="shared" ref="AJ4:AJ10" si="1">$AK$1</f>
        <v>44396</v>
      </c>
      <c r="AK4" s="118">
        <f t="shared" ref="AK4:AK10" si="2">AJ4-$AL$1</f>
        <v>-318</v>
      </c>
      <c r="AL4" s="119" t="str">
        <f t="shared" ref="AL4:AL10" si="3">IF(ISBLANK(AG4),"Pendiente Ejecución"&amp;CHAR(10),)&amp;IF(ISBLANK(AH4),"Pendiente Justificación"&amp;CHAR(10),)&amp;IF(ISBLANK(AI4),"Pendiente Evidencia",)&amp;IF(OR(ISBLANK(AG4),ISBLANK(AH4),ISBLANK(AI4)),,"Reporte ok")</f>
        <v>Reporte ok</v>
      </c>
      <c r="AM4" s="119"/>
      <c r="AN4" s="120"/>
    </row>
    <row r="5" ht="67.5" customHeight="1">
      <c r="A5" s="45"/>
      <c r="B5" s="103">
        <v>16.0</v>
      </c>
      <c r="C5" s="103" t="s">
        <v>209</v>
      </c>
      <c r="D5" s="103" t="s">
        <v>10</v>
      </c>
      <c r="E5" s="103" t="s">
        <v>115</v>
      </c>
      <c r="F5" s="104">
        <v>2.018011000241E12</v>
      </c>
      <c r="G5" s="105" t="s">
        <v>116</v>
      </c>
      <c r="H5" s="103" t="s">
        <v>138</v>
      </c>
      <c r="I5" s="103" t="s">
        <v>139</v>
      </c>
      <c r="J5" s="103" t="s">
        <v>140</v>
      </c>
      <c r="K5" s="106" t="s">
        <v>141</v>
      </c>
      <c r="L5" s="106" t="s">
        <v>210</v>
      </c>
      <c r="M5" s="106" t="s">
        <v>142</v>
      </c>
      <c r="N5" s="107" t="s">
        <v>219</v>
      </c>
      <c r="O5" s="108"/>
      <c r="P5" s="121">
        <v>1.0</v>
      </c>
      <c r="Q5" s="110" t="s">
        <v>220</v>
      </c>
      <c r="R5" s="111" t="s">
        <v>172</v>
      </c>
      <c r="S5" s="121">
        <v>1.0</v>
      </c>
      <c r="T5" s="121">
        <v>1.0</v>
      </c>
      <c r="U5" s="121">
        <v>1.0</v>
      </c>
      <c r="V5" s="121">
        <v>1.0</v>
      </c>
      <c r="W5" s="113" t="s">
        <v>10</v>
      </c>
      <c r="X5" s="105" t="s">
        <v>213</v>
      </c>
      <c r="Y5" s="103" t="s">
        <v>214</v>
      </c>
      <c r="Z5" s="105" t="s">
        <v>215</v>
      </c>
      <c r="AA5" s="103" t="s">
        <v>154</v>
      </c>
      <c r="AB5" s="103" t="s">
        <v>155</v>
      </c>
      <c r="AC5" s="103" t="s">
        <v>131</v>
      </c>
      <c r="AD5" s="103" t="s">
        <v>216</v>
      </c>
      <c r="AE5" s="103" t="s">
        <v>216</v>
      </c>
      <c r="AF5" s="103" t="s">
        <v>134</v>
      </c>
      <c r="AG5" s="122">
        <v>1.0</v>
      </c>
      <c r="AH5" s="127" t="s">
        <v>221</v>
      </c>
      <c r="AI5" s="124" t="s">
        <v>222</v>
      </c>
      <c r="AJ5" s="117">
        <f t="shared" si="1"/>
        <v>44396</v>
      </c>
      <c r="AK5" s="118">
        <f t="shared" si="2"/>
        <v>-318</v>
      </c>
      <c r="AL5" s="119" t="str">
        <f t="shared" si="3"/>
        <v>Reporte ok</v>
      </c>
      <c r="AM5" s="119"/>
      <c r="AN5" s="120"/>
    </row>
    <row r="6" ht="67.5" customHeight="1">
      <c r="A6" s="45"/>
      <c r="B6" s="103">
        <v>17.0</v>
      </c>
      <c r="C6" s="103" t="s">
        <v>209</v>
      </c>
      <c r="D6" s="103" t="s">
        <v>10</v>
      </c>
      <c r="E6" s="103" t="s">
        <v>115</v>
      </c>
      <c r="F6" s="104">
        <v>2.018011000241E12</v>
      </c>
      <c r="G6" s="105" t="s">
        <v>116</v>
      </c>
      <c r="H6" s="103" t="s">
        <v>138</v>
      </c>
      <c r="I6" s="103" t="s">
        <v>139</v>
      </c>
      <c r="J6" s="103" t="s">
        <v>140</v>
      </c>
      <c r="K6" s="106" t="s">
        <v>141</v>
      </c>
      <c r="L6" s="106" t="s">
        <v>210</v>
      </c>
      <c r="M6" s="106" t="s">
        <v>142</v>
      </c>
      <c r="N6" s="107" t="s">
        <v>223</v>
      </c>
      <c r="O6" s="108"/>
      <c r="P6" s="121">
        <v>1.0</v>
      </c>
      <c r="Q6" s="110" t="s">
        <v>224</v>
      </c>
      <c r="R6" s="111" t="s">
        <v>172</v>
      </c>
      <c r="S6" s="121">
        <v>1.0</v>
      </c>
      <c r="T6" s="121">
        <v>1.0</v>
      </c>
      <c r="U6" s="121">
        <v>1.0</v>
      </c>
      <c r="V6" s="121">
        <v>1.0</v>
      </c>
      <c r="W6" s="113" t="s">
        <v>10</v>
      </c>
      <c r="X6" s="105" t="s">
        <v>213</v>
      </c>
      <c r="Y6" s="103" t="s">
        <v>214</v>
      </c>
      <c r="Z6" s="105" t="s">
        <v>215</v>
      </c>
      <c r="AA6" s="103" t="s">
        <v>154</v>
      </c>
      <c r="AB6" s="103" t="s">
        <v>155</v>
      </c>
      <c r="AC6" s="103" t="s">
        <v>131</v>
      </c>
      <c r="AD6" s="103" t="s">
        <v>216</v>
      </c>
      <c r="AE6" s="103" t="s">
        <v>216</v>
      </c>
      <c r="AF6" s="103" t="s">
        <v>134</v>
      </c>
      <c r="AG6" s="122">
        <v>1.0</v>
      </c>
      <c r="AH6" s="127" t="s">
        <v>225</v>
      </c>
      <c r="AI6" s="124" t="s">
        <v>226</v>
      </c>
      <c r="AJ6" s="117">
        <f t="shared" si="1"/>
        <v>44396</v>
      </c>
      <c r="AK6" s="118">
        <f t="shared" si="2"/>
        <v>-318</v>
      </c>
      <c r="AL6" s="119" t="str">
        <f t="shared" si="3"/>
        <v>Reporte ok</v>
      </c>
      <c r="AM6" s="119"/>
      <c r="AN6" s="120"/>
    </row>
    <row r="7" ht="67.5" customHeight="1">
      <c r="A7" s="45"/>
      <c r="B7" s="103">
        <v>18.0</v>
      </c>
      <c r="C7" s="103" t="s">
        <v>209</v>
      </c>
      <c r="D7" s="103" t="s">
        <v>10</v>
      </c>
      <c r="E7" s="103" t="s">
        <v>115</v>
      </c>
      <c r="F7" s="104">
        <v>2.018011000241E12</v>
      </c>
      <c r="G7" s="105" t="s">
        <v>116</v>
      </c>
      <c r="H7" s="103" t="s">
        <v>138</v>
      </c>
      <c r="I7" s="103" t="s">
        <v>139</v>
      </c>
      <c r="J7" s="103" t="s">
        <v>140</v>
      </c>
      <c r="K7" s="106" t="s">
        <v>141</v>
      </c>
      <c r="L7" s="106" t="s">
        <v>210</v>
      </c>
      <c r="M7" s="106" t="s">
        <v>142</v>
      </c>
      <c r="N7" s="107" t="s">
        <v>227</v>
      </c>
      <c r="O7" s="108"/>
      <c r="P7" s="121">
        <v>1.0</v>
      </c>
      <c r="Q7" s="110" t="s">
        <v>228</v>
      </c>
      <c r="R7" s="111" t="s">
        <v>172</v>
      </c>
      <c r="S7" s="121">
        <v>1.0</v>
      </c>
      <c r="T7" s="121">
        <v>1.0</v>
      </c>
      <c r="U7" s="121">
        <v>1.0</v>
      </c>
      <c r="V7" s="121">
        <v>1.0</v>
      </c>
      <c r="W7" s="113" t="s">
        <v>10</v>
      </c>
      <c r="X7" s="105" t="s">
        <v>213</v>
      </c>
      <c r="Y7" s="103" t="s">
        <v>214</v>
      </c>
      <c r="Z7" s="105" t="s">
        <v>215</v>
      </c>
      <c r="AA7" s="103" t="s">
        <v>154</v>
      </c>
      <c r="AB7" s="103" t="s">
        <v>155</v>
      </c>
      <c r="AC7" s="103" t="s">
        <v>131</v>
      </c>
      <c r="AD7" s="103" t="s">
        <v>216</v>
      </c>
      <c r="AE7" s="103" t="s">
        <v>216</v>
      </c>
      <c r="AF7" s="103" t="s">
        <v>134</v>
      </c>
      <c r="AG7" s="122">
        <v>1.0</v>
      </c>
      <c r="AH7" s="128" t="s">
        <v>229</v>
      </c>
      <c r="AI7" s="124" t="s">
        <v>230</v>
      </c>
      <c r="AJ7" s="117">
        <f t="shared" si="1"/>
        <v>44396</v>
      </c>
      <c r="AK7" s="118">
        <f t="shared" si="2"/>
        <v>-318</v>
      </c>
      <c r="AL7" s="119" t="str">
        <f t="shared" si="3"/>
        <v>Reporte ok</v>
      </c>
      <c r="AM7" s="119"/>
      <c r="AN7" s="120"/>
    </row>
    <row r="8" ht="67.5" customHeight="1">
      <c r="A8" s="45"/>
      <c r="B8" s="103">
        <v>19.0</v>
      </c>
      <c r="C8" s="103" t="s">
        <v>209</v>
      </c>
      <c r="D8" s="103" t="s">
        <v>10</v>
      </c>
      <c r="E8" s="103" t="s">
        <v>115</v>
      </c>
      <c r="F8" s="104">
        <v>2.018011000241E12</v>
      </c>
      <c r="G8" s="105" t="s">
        <v>116</v>
      </c>
      <c r="H8" s="103" t="s">
        <v>138</v>
      </c>
      <c r="I8" s="103" t="s">
        <v>139</v>
      </c>
      <c r="J8" s="103" t="s">
        <v>140</v>
      </c>
      <c r="K8" s="106" t="s">
        <v>141</v>
      </c>
      <c r="L8" s="106" t="s">
        <v>210</v>
      </c>
      <c r="M8" s="106" t="s">
        <v>142</v>
      </c>
      <c r="N8" s="107" t="s">
        <v>231</v>
      </c>
      <c r="O8" s="108"/>
      <c r="P8" s="121">
        <v>1.0</v>
      </c>
      <c r="Q8" s="110" t="s">
        <v>232</v>
      </c>
      <c r="R8" s="111" t="s">
        <v>172</v>
      </c>
      <c r="S8" s="121">
        <v>1.0</v>
      </c>
      <c r="T8" s="121">
        <v>1.0</v>
      </c>
      <c r="U8" s="121">
        <v>1.0</v>
      </c>
      <c r="V8" s="121">
        <v>1.0</v>
      </c>
      <c r="W8" s="113" t="s">
        <v>10</v>
      </c>
      <c r="X8" s="105" t="s">
        <v>213</v>
      </c>
      <c r="Y8" s="103" t="s">
        <v>214</v>
      </c>
      <c r="Z8" s="105" t="s">
        <v>215</v>
      </c>
      <c r="AA8" s="103" t="s">
        <v>154</v>
      </c>
      <c r="AB8" s="103" t="s">
        <v>155</v>
      </c>
      <c r="AC8" s="103" t="s">
        <v>131</v>
      </c>
      <c r="AD8" s="103" t="s">
        <v>216</v>
      </c>
      <c r="AE8" s="103" t="s">
        <v>216</v>
      </c>
      <c r="AF8" s="103" t="s">
        <v>134</v>
      </c>
      <c r="AG8" s="122">
        <v>1.0</v>
      </c>
      <c r="AH8" s="128" t="s">
        <v>233</v>
      </c>
      <c r="AI8" s="124" t="s">
        <v>234</v>
      </c>
      <c r="AJ8" s="117">
        <f t="shared" si="1"/>
        <v>44396</v>
      </c>
      <c r="AK8" s="118">
        <f t="shared" si="2"/>
        <v>-318</v>
      </c>
      <c r="AL8" s="119" t="str">
        <f t="shared" si="3"/>
        <v>Reporte ok</v>
      </c>
      <c r="AM8" s="119"/>
      <c r="AN8" s="120"/>
    </row>
    <row r="9" ht="67.5" customHeight="1">
      <c r="A9" s="45"/>
      <c r="B9" s="103">
        <v>20.0</v>
      </c>
      <c r="C9" s="103" t="s">
        <v>209</v>
      </c>
      <c r="D9" s="103" t="s">
        <v>10</v>
      </c>
      <c r="E9" s="103" t="s">
        <v>115</v>
      </c>
      <c r="F9" s="104">
        <v>2.018011000241E12</v>
      </c>
      <c r="G9" s="105" t="s">
        <v>116</v>
      </c>
      <c r="H9" s="103" t="s">
        <v>138</v>
      </c>
      <c r="I9" s="103" t="s">
        <v>139</v>
      </c>
      <c r="J9" s="103" t="s">
        <v>140</v>
      </c>
      <c r="K9" s="106" t="s">
        <v>141</v>
      </c>
      <c r="L9" s="106" t="s">
        <v>210</v>
      </c>
      <c r="M9" s="106" t="s">
        <v>142</v>
      </c>
      <c r="N9" s="107" t="s">
        <v>235</v>
      </c>
      <c r="O9" s="108"/>
      <c r="P9" s="121">
        <v>1.0</v>
      </c>
      <c r="Q9" s="110" t="s">
        <v>236</v>
      </c>
      <c r="R9" s="111" t="s">
        <v>172</v>
      </c>
      <c r="S9" s="121">
        <v>1.0</v>
      </c>
      <c r="T9" s="121">
        <v>1.0</v>
      </c>
      <c r="U9" s="121">
        <v>1.0</v>
      </c>
      <c r="V9" s="121">
        <v>1.0</v>
      </c>
      <c r="W9" s="113" t="s">
        <v>10</v>
      </c>
      <c r="X9" s="105" t="s">
        <v>213</v>
      </c>
      <c r="Y9" s="103" t="s">
        <v>214</v>
      </c>
      <c r="Z9" s="105" t="s">
        <v>215</v>
      </c>
      <c r="AA9" s="103" t="s">
        <v>154</v>
      </c>
      <c r="AB9" s="103" t="s">
        <v>155</v>
      </c>
      <c r="AC9" s="103" t="s">
        <v>131</v>
      </c>
      <c r="AD9" s="103" t="s">
        <v>216</v>
      </c>
      <c r="AE9" s="103" t="s">
        <v>216</v>
      </c>
      <c r="AF9" s="103" t="s">
        <v>134</v>
      </c>
      <c r="AG9" s="122">
        <v>1.0</v>
      </c>
      <c r="AH9" s="128" t="s">
        <v>237</v>
      </c>
      <c r="AI9" s="125" t="s">
        <v>238</v>
      </c>
      <c r="AJ9" s="117">
        <f t="shared" si="1"/>
        <v>44396</v>
      </c>
      <c r="AK9" s="118">
        <f t="shared" si="2"/>
        <v>-318</v>
      </c>
      <c r="AL9" s="119" t="str">
        <f t="shared" si="3"/>
        <v>Reporte ok</v>
      </c>
      <c r="AM9" s="119"/>
      <c r="AN9" s="120"/>
    </row>
    <row r="10" ht="67.5" customHeight="1">
      <c r="A10" s="45"/>
      <c r="B10" s="103">
        <v>21.0</v>
      </c>
      <c r="C10" s="103" t="s">
        <v>209</v>
      </c>
      <c r="D10" s="103" t="s">
        <v>10</v>
      </c>
      <c r="E10" s="103" t="s">
        <v>115</v>
      </c>
      <c r="F10" s="104">
        <v>2.018011000241E12</v>
      </c>
      <c r="G10" s="105" t="s">
        <v>116</v>
      </c>
      <c r="H10" s="103" t="s">
        <v>138</v>
      </c>
      <c r="I10" s="103" t="s">
        <v>139</v>
      </c>
      <c r="J10" s="103" t="s">
        <v>140</v>
      </c>
      <c r="K10" s="106" t="s">
        <v>141</v>
      </c>
      <c r="L10" s="106" t="s">
        <v>210</v>
      </c>
      <c r="M10" s="106" t="s">
        <v>142</v>
      </c>
      <c r="N10" s="107" t="s">
        <v>239</v>
      </c>
      <c r="O10" s="108"/>
      <c r="P10" s="121">
        <v>1.0</v>
      </c>
      <c r="Q10" s="110" t="s">
        <v>240</v>
      </c>
      <c r="R10" s="111" t="s">
        <v>172</v>
      </c>
      <c r="S10" s="121">
        <v>1.0</v>
      </c>
      <c r="T10" s="121">
        <v>1.0</v>
      </c>
      <c r="U10" s="121">
        <v>1.0</v>
      </c>
      <c r="V10" s="121">
        <v>1.0</v>
      </c>
      <c r="W10" s="113" t="s">
        <v>10</v>
      </c>
      <c r="X10" s="105" t="s">
        <v>213</v>
      </c>
      <c r="Y10" s="103" t="s">
        <v>214</v>
      </c>
      <c r="Z10" s="105" t="s">
        <v>215</v>
      </c>
      <c r="AA10" s="103" t="s">
        <v>154</v>
      </c>
      <c r="AB10" s="103" t="s">
        <v>155</v>
      </c>
      <c r="AC10" s="103" t="s">
        <v>131</v>
      </c>
      <c r="AD10" s="103" t="s">
        <v>216</v>
      </c>
      <c r="AE10" s="103" t="s">
        <v>216</v>
      </c>
      <c r="AF10" s="103" t="s">
        <v>134</v>
      </c>
      <c r="AG10" s="122">
        <v>0.923</v>
      </c>
      <c r="AH10" s="129" t="s">
        <v>241</v>
      </c>
      <c r="AI10" s="124" t="s">
        <v>242</v>
      </c>
      <c r="AJ10" s="117">
        <f t="shared" si="1"/>
        <v>44396</v>
      </c>
      <c r="AK10" s="118">
        <f t="shared" si="2"/>
        <v>-318</v>
      </c>
      <c r="AL10" s="119" t="str">
        <f t="shared" si="3"/>
        <v>Reporte ok</v>
      </c>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12"/>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5"/>
    <hyperlink r:id="rId2" ref="AI6"/>
    <hyperlink r:id="rId3" ref="AI7"/>
    <hyperlink r:id="rId4" ref="AI8"/>
    <hyperlink r:id="rId5" ref="AI10"/>
  </hyperlinks>
  <printOptions gridLines="1" horizontalCentered="1"/>
  <pageMargins bottom="0.75" footer="0.0" header="0.0" left="0.7" right="0.7" top="0.75"/>
  <pageSetup cellComments="atEnd" orientation="portrait" pageOrder="overThenDown"/>
  <drawing r:id="rId6"/>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19" width="15.75"/>
    <col customWidth="1" min="20" max="20" width="15.75"/>
    <col customWidth="1" hidden="1" min="21" max="21" width="17.88"/>
    <col customWidth="1" hidden="1" min="22" max="22" width="16.38"/>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0.25"/>
    <col customWidth="1" min="35" max="35" width="21.0"/>
    <col customWidth="1" min="36" max="36" width="15.75"/>
    <col customWidth="1" min="37" max="37" width="15.63"/>
    <col customWidth="1" min="38" max="38" width="15.25"/>
    <col customWidth="1" min="39" max="39" width="18.25"/>
    <col customWidth="1" min="40" max="40" width="3.88"/>
  </cols>
  <sheetData>
    <row r="1" ht="33.75" customHeight="1">
      <c r="A1" s="83"/>
      <c r="B1" s="3" t="s">
        <v>108</v>
      </c>
      <c r="C1" s="84"/>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G1" s="87" t="s">
        <v>109</v>
      </c>
      <c r="AH1" s="88">
        <f>AN1/AM1</f>
        <v>0.4166666667</v>
      </c>
      <c r="AI1" s="89" t="s">
        <v>110</v>
      </c>
      <c r="AJ1" s="90">
        <v>43466.0</v>
      </c>
      <c r="AK1" s="91">
        <f>Alertas!B6</f>
        <v>44396</v>
      </c>
      <c r="AL1" s="90">
        <f>TODAY()-1</f>
        <v>44714</v>
      </c>
      <c r="AM1" s="89">
        <v>12.0</v>
      </c>
      <c r="AN1" s="89">
        <f>DATEDIF(AJ1,AL1,"YM")</f>
        <v>5</v>
      </c>
    </row>
    <row r="2" ht="33.75" customHeight="1">
      <c r="A2" s="83"/>
      <c r="C2" s="92"/>
      <c r="D2" s="93"/>
      <c r="F2" s="94"/>
      <c r="AF2" s="95"/>
      <c r="AG2" s="96" t="s">
        <v>111</v>
      </c>
      <c r="AH2" s="26"/>
      <c r="AI2" s="26"/>
      <c r="AJ2" s="26"/>
      <c r="AK2" s="26"/>
      <c r="AL2" s="26"/>
      <c r="AM2" s="27"/>
      <c r="AN2" s="97"/>
    </row>
    <row r="3" ht="33.75" customHeight="1">
      <c r="A3" s="83"/>
      <c r="B3" s="98" t="s">
        <v>40</v>
      </c>
      <c r="C3" s="99" t="s">
        <v>41</v>
      </c>
      <c r="D3" s="98" t="s">
        <v>42</v>
      </c>
      <c r="E3" s="98" t="s">
        <v>43</v>
      </c>
      <c r="F3" s="100" t="s">
        <v>44</v>
      </c>
      <c r="G3" s="101" t="s">
        <v>45</v>
      </c>
      <c r="H3" s="98" t="s">
        <v>46</v>
      </c>
      <c r="I3" s="101" t="s">
        <v>47</v>
      </c>
      <c r="J3" s="101" t="s">
        <v>48</v>
      </c>
      <c r="K3" s="101" t="s">
        <v>49</v>
      </c>
      <c r="L3" s="101" t="s">
        <v>50</v>
      </c>
      <c r="M3" s="98" t="s">
        <v>51</v>
      </c>
      <c r="N3" s="98" t="s">
        <v>52</v>
      </c>
      <c r="O3" s="101" t="s">
        <v>53</v>
      </c>
      <c r="P3" s="101" t="s">
        <v>54</v>
      </c>
      <c r="Q3" s="98" t="s">
        <v>55</v>
      </c>
      <c r="R3" s="98" t="s">
        <v>56</v>
      </c>
      <c r="S3" s="101" t="s">
        <v>57</v>
      </c>
      <c r="T3" s="101" t="s">
        <v>58</v>
      </c>
      <c r="U3" s="101" t="s">
        <v>59</v>
      </c>
      <c r="V3" s="101" t="s">
        <v>60</v>
      </c>
      <c r="W3" s="98" t="s">
        <v>61</v>
      </c>
      <c r="X3" s="99" t="s">
        <v>62</v>
      </c>
      <c r="Y3" s="99" t="s">
        <v>63</v>
      </c>
      <c r="Z3" s="99" t="s">
        <v>64</v>
      </c>
      <c r="AA3" s="99" t="s">
        <v>65</v>
      </c>
      <c r="AB3" s="99" t="s">
        <v>66</v>
      </c>
      <c r="AC3" s="99" t="s">
        <v>67</v>
      </c>
      <c r="AD3" s="99" t="s">
        <v>68</v>
      </c>
      <c r="AE3" s="99" t="s">
        <v>69</v>
      </c>
      <c r="AF3" s="99" t="s">
        <v>70</v>
      </c>
      <c r="AG3" s="99" t="s">
        <v>71</v>
      </c>
      <c r="AH3" s="99" t="s">
        <v>72</v>
      </c>
      <c r="AI3" s="99" t="s">
        <v>73</v>
      </c>
      <c r="AJ3" s="99" t="s">
        <v>74</v>
      </c>
      <c r="AK3" s="99" t="s">
        <v>112</v>
      </c>
      <c r="AL3" s="99" t="s">
        <v>76</v>
      </c>
      <c r="AM3" s="102" t="s">
        <v>113</v>
      </c>
      <c r="AN3" s="97"/>
    </row>
    <row r="4" ht="67.5" customHeight="1">
      <c r="A4" s="45"/>
      <c r="B4" s="103">
        <v>22.0</v>
      </c>
      <c r="C4" s="103" t="s">
        <v>243</v>
      </c>
      <c r="D4" s="103" t="s">
        <v>244</v>
      </c>
      <c r="E4" s="103" t="s">
        <v>115</v>
      </c>
      <c r="F4" s="104">
        <v>2.018011000241E12</v>
      </c>
      <c r="G4" s="105" t="s">
        <v>116</v>
      </c>
      <c r="H4" s="103" t="s">
        <v>138</v>
      </c>
      <c r="I4" s="103" t="s">
        <v>139</v>
      </c>
      <c r="J4" s="103" t="s">
        <v>245</v>
      </c>
      <c r="K4" s="106" t="s">
        <v>141</v>
      </c>
      <c r="L4" s="106" t="s">
        <v>246</v>
      </c>
      <c r="M4" s="106" t="s">
        <v>142</v>
      </c>
      <c r="N4" s="107" t="s">
        <v>247</v>
      </c>
      <c r="O4" s="108"/>
      <c r="P4" s="121">
        <v>1.0</v>
      </c>
      <c r="Q4" s="110" t="s">
        <v>248</v>
      </c>
      <c r="R4" s="111" t="s">
        <v>177</v>
      </c>
      <c r="S4" s="121">
        <v>0.0</v>
      </c>
      <c r="T4" s="121">
        <v>0.4</v>
      </c>
      <c r="U4" s="121">
        <v>0.0</v>
      </c>
      <c r="V4" s="121">
        <v>0.6</v>
      </c>
      <c r="W4" s="113" t="s">
        <v>249</v>
      </c>
      <c r="X4" s="105" t="s">
        <v>250</v>
      </c>
      <c r="Y4" s="103" t="s">
        <v>251</v>
      </c>
      <c r="Z4" s="105" t="s">
        <v>252</v>
      </c>
      <c r="AA4" s="103" t="s">
        <v>253</v>
      </c>
      <c r="AB4" s="103" t="s">
        <v>187</v>
      </c>
      <c r="AC4" s="103" t="s">
        <v>131</v>
      </c>
      <c r="AD4" s="103" t="s">
        <v>244</v>
      </c>
      <c r="AE4" s="103" t="s">
        <v>244</v>
      </c>
      <c r="AF4" s="103" t="s">
        <v>134</v>
      </c>
      <c r="AG4" s="122">
        <v>0.49</v>
      </c>
      <c r="AH4" s="115" t="s">
        <v>254</v>
      </c>
      <c r="AI4" s="124" t="s">
        <v>255</v>
      </c>
      <c r="AJ4" s="117">
        <f>$AK$1</f>
        <v>44396</v>
      </c>
      <c r="AK4" s="118">
        <f>AJ4-$AL$1</f>
        <v>-318</v>
      </c>
      <c r="AL4" s="119" t="str">
        <f>IF(ISBLANK(AG4),"Pendiente Ejecución"&amp;CHAR(10),)&amp;IF(ISBLANK(AH4),"Pendiente Justificación"&amp;CHAR(10),)&amp;IF(ISBLANK(AI4),"Pendiente Evidencia",)&amp;IF(OR(ISBLANK(AG4),ISBLANK(AH4),ISBLANK(AI4)),,"Reporte ok")</f>
        <v>Reporte ok</v>
      </c>
      <c r="AM4" s="119"/>
      <c r="AN4" s="120"/>
    </row>
    <row r="5" ht="67.5" customHeight="1">
      <c r="A5" s="45"/>
      <c r="B5" s="103"/>
      <c r="C5" s="103"/>
      <c r="D5" s="103"/>
      <c r="E5" s="103"/>
      <c r="F5" s="104"/>
      <c r="G5" s="105"/>
      <c r="H5" s="103"/>
      <c r="I5" s="103"/>
      <c r="J5" s="103"/>
      <c r="K5" s="106"/>
      <c r="L5" s="106"/>
      <c r="M5" s="106"/>
      <c r="N5" s="107"/>
      <c r="O5" s="108"/>
      <c r="P5" s="109"/>
      <c r="Q5" s="110"/>
      <c r="R5" s="111"/>
      <c r="S5" s="109"/>
      <c r="T5" s="109"/>
      <c r="U5" s="112"/>
      <c r="V5" s="112"/>
      <c r="W5" s="113"/>
      <c r="X5" s="105"/>
      <c r="Y5" s="103"/>
      <c r="Z5" s="105"/>
      <c r="AA5" s="103"/>
      <c r="AB5" s="103"/>
      <c r="AC5" s="103"/>
      <c r="AD5" s="103"/>
      <c r="AE5" s="103"/>
      <c r="AF5" s="103"/>
      <c r="AG5" s="122"/>
      <c r="AH5" s="115"/>
      <c r="AI5" s="116"/>
      <c r="AJ5" s="117"/>
      <c r="AK5" s="118"/>
      <c r="AL5" s="119"/>
      <c r="AM5" s="119"/>
      <c r="AN5" s="120"/>
    </row>
    <row r="6" ht="67.5" customHeight="1">
      <c r="A6" s="45"/>
      <c r="B6" s="103"/>
      <c r="C6" s="103"/>
      <c r="D6" s="103"/>
      <c r="E6" s="103"/>
      <c r="F6" s="104"/>
      <c r="G6" s="105"/>
      <c r="H6" s="103"/>
      <c r="I6" s="103"/>
      <c r="J6" s="103"/>
      <c r="K6" s="106"/>
      <c r="L6" s="106"/>
      <c r="M6" s="106"/>
      <c r="N6" s="107"/>
      <c r="O6" s="108"/>
      <c r="P6" s="109"/>
      <c r="Q6" s="110"/>
      <c r="R6" s="111"/>
      <c r="S6" s="109"/>
      <c r="T6" s="109"/>
      <c r="U6" s="112"/>
      <c r="V6" s="112"/>
      <c r="W6" s="113"/>
      <c r="X6" s="105"/>
      <c r="Y6" s="103"/>
      <c r="Z6" s="105"/>
      <c r="AA6" s="103"/>
      <c r="AB6" s="103"/>
      <c r="AC6" s="103"/>
      <c r="AD6" s="103"/>
      <c r="AE6" s="103"/>
      <c r="AF6" s="103"/>
      <c r="AG6" s="122"/>
      <c r="AH6" s="115"/>
      <c r="AI6" s="116"/>
      <c r="AJ6" s="117"/>
      <c r="AK6" s="118"/>
      <c r="AL6" s="119"/>
      <c r="AM6" s="119"/>
      <c r="AN6" s="120"/>
    </row>
    <row r="7" ht="67.5" customHeight="1">
      <c r="A7" s="45"/>
      <c r="B7" s="103"/>
      <c r="C7" s="103"/>
      <c r="D7" s="103"/>
      <c r="E7" s="103"/>
      <c r="F7" s="104"/>
      <c r="G7" s="105"/>
      <c r="H7" s="103"/>
      <c r="I7" s="103"/>
      <c r="J7" s="103"/>
      <c r="K7" s="106"/>
      <c r="L7" s="106"/>
      <c r="M7" s="106"/>
      <c r="N7" s="107"/>
      <c r="O7" s="108"/>
      <c r="P7" s="109"/>
      <c r="Q7" s="110"/>
      <c r="R7" s="111"/>
      <c r="S7" s="109"/>
      <c r="T7" s="109"/>
      <c r="U7" s="112"/>
      <c r="V7" s="112"/>
      <c r="W7" s="113"/>
      <c r="X7" s="105"/>
      <c r="Y7" s="103"/>
      <c r="Z7" s="105"/>
      <c r="AA7" s="103"/>
      <c r="AB7" s="103"/>
      <c r="AC7" s="103"/>
      <c r="AD7" s="103"/>
      <c r="AE7" s="103"/>
      <c r="AF7" s="103"/>
      <c r="AG7" s="122"/>
      <c r="AH7" s="115"/>
      <c r="AI7" s="116"/>
      <c r="AJ7" s="117"/>
      <c r="AK7" s="118"/>
      <c r="AL7" s="119"/>
      <c r="AM7" s="119"/>
      <c r="AN7" s="120"/>
    </row>
    <row r="8" ht="67.5" customHeight="1">
      <c r="A8" s="45"/>
      <c r="B8" s="103"/>
      <c r="C8" s="103"/>
      <c r="D8" s="103"/>
      <c r="E8" s="103"/>
      <c r="F8" s="104"/>
      <c r="G8" s="105"/>
      <c r="H8" s="103"/>
      <c r="I8" s="103"/>
      <c r="J8" s="103"/>
      <c r="K8" s="106"/>
      <c r="L8" s="106"/>
      <c r="M8" s="106"/>
      <c r="N8" s="107"/>
      <c r="O8" s="108"/>
      <c r="P8" s="109"/>
      <c r="Q8" s="110"/>
      <c r="R8" s="111"/>
      <c r="S8" s="109"/>
      <c r="T8" s="109"/>
      <c r="U8" s="112"/>
      <c r="V8" s="112"/>
      <c r="W8" s="113"/>
      <c r="X8" s="105"/>
      <c r="Y8" s="103"/>
      <c r="Z8" s="105"/>
      <c r="AA8" s="103"/>
      <c r="AB8" s="103"/>
      <c r="AC8" s="103"/>
      <c r="AD8" s="103"/>
      <c r="AE8" s="103"/>
      <c r="AF8" s="103"/>
      <c r="AG8" s="122"/>
      <c r="AH8" s="115"/>
      <c r="AI8" s="116"/>
      <c r="AJ8" s="117"/>
      <c r="AK8" s="118"/>
      <c r="AL8" s="119"/>
      <c r="AM8" s="119"/>
      <c r="AN8" s="120"/>
    </row>
    <row r="9" ht="67.5" customHeight="1">
      <c r="A9" s="45"/>
      <c r="B9" s="103"/>
      <c r="C9" s="103"/>
      <c r="D9" s="103"/>
      <c r="E9" s="103"/>
      <c r="F9" s="104"/>
      <c r="G9" s="105"/>
      <c r="H9" s="103"/>
      <c r="I9" s="103"/>
      <c r="J9" s="103"/>
      <c r="K9" s="106"/>
      <c r="L9" s="106"/>
      <c r="M9" s="106"/>
      <c r="N9" s="107"/>
      <c r="O9" s="108"/>
      <c r="P9" s="109"/>
      <c r="Q9" s="110"/>
      <c r="R9" s="111"/>
      <c r="S9" s="109"/>
      <c r="T9" s="109"/>
      <c r="U9" s="112"/>
      <c r="V9" s="112"/>
      <c r="W9" s="113"/>
      <c r="X9" s="105"/>
      <c r="Y9" s="103"/>
      <c r="Z9" s="105"/>
      <c r="AA9" s="103"/>
      <c r="AB9" s="103"/>
      <c r="AC9" s="103"/>
      <c r="AD9" s="103"/>
      <c r="AE9" s="103"/>
      <c r="AF9" s="103"/>
      <c r="AG9" s="122"/>
      <c r="AH9" s="115"/>
      <c r="AI9" s="116"/>
      <c r="AJ9" s="117"/>
      <c r="AK9" s="118"/>
      <c r="AL9" s="119"/>
      <c r="AM9" s="119"/>
      <c r="AN9" s="120"/>
    </row>
    <row r="10" ht="67.5" customHeight="1">
      <c r="A10" s="45"/>
      <c r="B10" s="103"/>
      <c r="C10" s="103"/>
      <c r="D10" s="103"/>
      <c r="E10" s="103"/>
      <c r="F10" s="104"/>
      <c r="G10" s="105"/>
      <c r="H10" s="103"/>
      <c r="I10" s="103"/>
      <c r="J10" s="103"/>
      <c r="K10" s="106"/>
      <c r="L10" s="106"/>
      <c r="M10" s="106"/>
      <c r="N10" s="107"/>
      <c r="O10" s="108"/>
      <c r="P10" s="109"/>
      <c r="Q10" s="110"/>
      <c r="R10" s="111"/>
      <c r="S10" s="109"/>
      <c r="T10" s="109"/>
      <c r="U10" s="112"/>
      <c r="V10" s="112"/>
      <c r="W10" s="113"/>
      <c r="X10" s="105"/>
      <c r="Y10" s="103"/>
      <c r="Z10" s="105"/>
      <c r="AA10" s="103"/>
      <c r="AB10" s="103"/>
      <c r="AC10" s="103"/>
      <c r="AD10" s="103"/>
      <c r="AE10" s="103"/>
      <c r="AF10" s="103"/>
      <c r="AG10" s="122"/>
      <c r="AH10" s="115"/>
      <c r="AI10" s="116"/>
      <c r="AJ10" s="117"/>
      <c r="AK10" s="118"/>
      <c r="AL10" s="119"/>
      <c r="AM10" s="119"/>
      <c r="AN10" s="120"/>
    </row>
    <row r="11" ht="67.5" customHeight="1">
      <c r="A11" s="45"/>
      <c r="B11" s="103"/>
      <c r="C11" s="103"/>
      <c r="D11" s="103"/>
      <c r="E11" s="103"/>
      <c r="F11" s="104"/>
      <c r="G11" s="105"/>
      <c r="H11" s="103"/>
      <c r="I11" s="103"/>
      <c r="J11" s="103"/>
      <c r="K11" s="106"/>
      <c r="L11" s="106"/>
      <c r="M11" s="106"/>
      <c r="N11" s="107"/>
      <c r="O11" s="108"/>
      <c r="P11" s="109"/>
      <c r="Q11" s="110"/>
      <c r="R11" s="111"/>
      <c r="S11" s="109"/>
      <c r="T11" s="109"/>
      <c r="U11" s="112"/>
      <c r="V11" s="112"/>
      <c r="W11" s="113"/>
      <c r="X11" s="105"/>
      <c r="Y11" s="103"/>
      <c r="Z11" s="105"/>
      <c r="AA11" s="103"/>
      <c r="AB11" s="103"/>
      <c r="AC11" s="103"/>
      <c r="AD11" s="103"/>
      <c r="AE11" s="103"/>
      <c r="AF11" s="103"/>
      <c r="AG11" s="122"/>
      <c r="AH11" s="115"/>
      <c r="AI11" s="116"/>
      <c r="AJ11" s="117"/>
      <c r="AK11" s="118"/>
      <c r="AL11" s="119"/>
      <c r="AM11" s="119"/>
      <c r="AN11" s="120"/>
    </row>
    <row r="12" ht="67.5" customHeight="1">
      <c r="A12" s="45"/>
      <c r="B12" s="103"/>
      <c r="C12" s="103"/>
      <c r="D12" s="103"/>
      <c r="E12" s="103"/>
      <c r="F12" s="104"/>
      <c r="G12" s="105"/>
      <c r="H12" s="103"/>
      <c r="I12" s="103"/>
      <c r="J12" s="103"/>
      <c r="K12" s="106"/>
      <c r="L12" s="106"/>
      <c r="M12" s="106"/>
      <c r="N12" s="107"/>
      <c r="O12" s="108"/>
      <c r="P12" s="109"/>
      <c r="Q12" s="110"/>
      <c r="R12" s="111"/>
      <c r="S12" s="109"/>
      <c r="T12" s="109"/>
      <c r="U12" s="112"/>
      <c r="V12" s="112"/>
      <c r="W12" s="113"/>
      <c r="X12" s="105"/>
      <c r="Y12" s="103"/>
      <c r="Z12" s="105"/>
      <c r="AA12" s="103"/>
      <c r="AB12" s="103"/>
      <c r="AC12" s="103"/>
      <c r="AD12" s="103"/>
      <c r="AE12" s="103"/>
      <c r="AF12" s="103"/>
      <c r="AG12" s="122"/>
      <c r="AH12" s="115"/>
      <c r="AI12" s="116"/>
      <c r="AJ12" s="117"/>
      <c r="AK12" s="118"/>
      <c r="AL12" s="119"/>
      <c r="AM12" s="119"/>
      <c r="AN12" s="120"/>
    </row>
    <row r="13" ht="67.5" customHeight="1">
      <c r="A13" s="45"/>
      <c r="B13" s="103"/>
      <c r="C13" s="103"/>
      <c r="D13" s="103"/>
      <c r="E13" s="103"/>
      <c r="F13" s="104"/>
      <c r="G13" s="105"/>
      <c r="H13" s="103"/>
      <c r="I13" s="103"/>
      <c r="J13" s="103"/>
      <c r="K13" s="106"/>
      <c r="L13" s="106"/>
      <c r="M13" s="106"/>
      <c r="N13" s="107"/>
      <c r="O13" s="108"/>
      <c r="P13" s="109"/>
      <c r="Q13" s="110"/>
      <c r="R13" s="111"/>
      <c r="S13" s="109"/>
      <c r="T13" s="109"/>
      <c r="U13" s="112"/>
      <c r="V13" s="112"/>
      <c r="W13" s="113"/>
      <c r="X13" s="105"/>
      <c r="Y13" s="103"/>
      <c r="Z13" s="105"/>
      <c r="AA13" s="103"/>
      <c r="AB13" s="103"/>
      <c r="AC13" s="103"/>
      <c r="AD13" s="103"/>
      <c r="AE13" s="103"/>
      <c r="AF13" s="103"/>
      <c r="AG13" s="122"/>
      <c r="AH13" s="115"/>
      <c r="AI13" s="116"/>
      <c r="AJ13" s="117"/>
      <c r="AK13" s="118"/>
      <c r="AL13" s="119"/>
      <c r="AM13" s="119"/>
      <c r="AN13" s="120"/>
    </row>
    <row r="14" ht="67.5" customHeight="1">
      <c r="A14" s="45"/>
      <c r="B14" s="103"/>
      <c r="C14" s="103"/>
      <c r="D14" s="103"/>
      <c r="E14" s="103"/>
      <c r="F14" s="104"/>
      <c r="G14" s="105"/>
      <c r="H14" s="103"/>
      <c r="I14" s="103"/>
      <c r="J14" s="103"/>
      <c r="K14" s="106"/>
      <c r="L14" s="106"/>
      <c r="M14" s="106"/>
      <c r="N14" s="107"/>
      <c r="O14" s="108"/>
      <c r="P14" s="109"/>
      <c r="Q14" s="110"/>
      <c r="R14" s="111"/>
      <c r="S14" s="109"/>
      <c r="T14" s="109"/>
      <c r="U14" s="112"/>
      <c r="V14" s="112"/>
      <c r="W14" s="113"/>
      <c r="X14" s="105"/>
      <c r="Y14" s="103"/>
      <c r="Z14" s="105"/>
      <c r="AA14" s="103"/>
      <c r="AB14" s="103"/>
      <c r="AC14" s="103"/>
      <c r="AD14" s="103"/>
      <c r="AE14" s="103"/>
      <c r="AF14" s="103"/>
      <c r="AG14" s="122"/>
      <c r="AH14" s="115"/>
      <c r="AI14" s="116"/>
      <c r="AJ14" s="117"/>
      <c r="AK14" s="118"/>
      <c r="AL14" s="119"/>
      <c r="AM14" s="119"/>
      <c r="AN14" s="120"/>
    </row>
    <row r="15" ht="67.5" customHeight="1">
      <c r="A15" s="45"/>
      <c r="B15" s="103"/>
      <c r="C15" s="103"/>
      <c r="D15" s="103"/>
      <c r="E15" s="103"/>
      <c r="F15" s="104"/>
      <c r="G15" s="105"/>
      <c r="H15" s="103"/>
      <c r="I15" s="103"/>
      <c r="J15" s="103"/>
      <c r="K15" s="106"/>
      <c r="L15" s="106"/>
      <c r="M15" s="106"/>
      <c r="N15" s="107"/>
      <c r="O15" s="108"/>
      <c r="P15" s="109"/>
      <c r="Q15" s="110"/>
      <c r="R15" s="111"/>
      <c r="S15" s="109"/>
      <c r="T15" s="109"/>
      <c r="U15" s="112"/>
      <c r="V15" s="112"/>
      <c r="W15" s="113"/>
      <c r="X15" s="105"/>
      <c r="Y15" s="103"/>
      <c r="Z15" s="105"/>
      <c r="AA15" s="103"/>
      <c r="AB15" s="103"/>
      <c r="AC15" s="103"/>
      <c r="AD15" s="103"/>
      <c r="AE15" s="103"/>
      <c r="AF15" s="103"/>
      <c r="AG15" s="122"/>
      <c r="AH15" s="115"/>
      <c r="AI15" s="116"/>
      <c r="AJ15" s="117"/>
      <c r="AK15" s="118"/>
      <c r="AL15" s="119"/>
      <c r="AM15" s="119"/>
      <c r="AN15" s="120"/>
    </row>
    <row r="16" ht="67.5" customHeight="1">
      <c r="A16" s="45"/>
      <c r="B16" s="103"/>
      <c r="C16" s="103"/>
      <c r="D16" s="103"/>
      <c r="E16" s="103"/>
      <c r="F16" s="104"/>
      <c r="G16" s="105"/>
      <c r="H16" s="103"/>
      <c r="I16" s="103"/>
      <c r="J16" s="103"/>
      <c r="K16" s="106"/>
      <c r="L16" s="106"/>
      <c r="M16" s="106"/>
      <c r="N16" s="107"/>
      <c r="O16" s="108"/>
      <c r="P16" s="109"/>
      <c r="Q16" s="110"/>
      <c r="R16" s="111"/>
      <c r="S16" s="109"/>
      <c r="T16" s="109"/>
      <c r="U16" s="112"/>
      <c r="V16" s="112"/>
      <c r="W16" s="113"/>
      <c r="X16" s="105"/>
      <c r="Y16" s="103"/>
      <c r="Z16" s="105"/>
      <c r="AA16" s="103"/>
      <c r="AB16" s="103"/>
      <c r="AC16" s="103"/>
      <c r="AD16" s="103"/>
      <c r="AE16" s="103"/>
      <c r="AF16" s="103"/>
      <c r="AG16" s="122"/>
      <c r="AH16" s="115"/>
      <c r="AI16" s="116"/>
      <c r="AJ16" s="117"/>
      <c r="AK16" s="118"/>
      <c r="AL16" s="119"/>
      <c r="AM16" s="119"/>
      <c r="AN16" s="120"/>
    </row>
    <row r="17" ht="67.5" customHeight="1">
      <c r="A17" s="45"/>
      <c r="B17" s="103"/>
      <c r="C17" s="103"/>
      <c r="D17" s="103"/>
      <c r="E17" s="103"/>
      <c r="F17" s="104"/>
      <c r="G17" s="105"/>
      <c r="H17" s="103"/>
      <c r="I17" s="103"/>
      <c r="J17" s="103"/>
      <c r="K17" s="106"/>
      <c r="L17" s="106"/>
      <c r="M17" s="106"/>
      <c r="N17" s="107"/>
      <c r="O17" s="108"/>
      <c r="P17" s="109"/>
      <c r="Q17" s="110"/>
      <c r="R17" s="111"/>
      <c r="S17" s="109"/>
      <c r="T17" s="109"/>
      <c r="U17" s="112"/>
      <c r="V17" s="112"/>
      <c r="W17" s="113"/>
      <c r="X17" s="105"/>
      <c r="Y17" s="103"/>
      <c r="Z17" s="105"/>
      <c r="AA17" s="103"/>
      <c r="AB17" s="103"/>
      <c r="AC17" s="103"/>
      <c r="AD17" s="103"/>
      <c r="AE17" s="103"/>
      <c r="AF17" s="103"/>
      <c r="AG17" s="122"/>
      <c r="AH17" s="115"/>
      <c r="AI17" s="116"/>
      <c r="AJ17" s="117"/>
      <c r="AK17" s="118"/>
      <c r="AL17" s="119"/>
      <c r="AM17" s="119"/>
      <c r="AN17" s="120"/>
    </row>
    <row r="18" ht="15.75" customHeight="1"/>
  </sheetData>
  <autoFilter ref="$A$3:$AN$6"/>
  <mergeCells count="2">
    <mergeCell ref="B1:C1"/>
    <mergeCell ref="AG2:AM2"/>
  </mergeCells>
  <conditionalFormatting sqref="AK4:AK17">
    <cfRule type="cellIs" dxfId="2" priority="1" operator="greaterThan">
      <formula>0</formula>
    </cfRule>
  </conditionalFormatting>
  <conditionalFormatting sqref="AK4: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formula1>0.0</formula1>
      <formula2>5000000.0</formula2>
    </dataValidation>
  </dataValidations>
  <hyperlinks>
    <hyperlink display="Home" location="Home!A1" ref="B1"/>
    <hyperlink r:id="rId1" ref="AI4"/>
  </hyperlinks>
  <printOptions gridLines="1" horizontalCentered="1"/>
  <pageMargins bottom="0.75" footer="0.0" header="0.0" left="0.7" right="0.7" top="0.75"/>
  <pageSetup cellComments="atEnd" orientation="portrait" pageOrder="overThenDown"/>
  <drawing r:id="rId2"/>
</worksheet>
</file>