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23.xml"/>
  <Override ContentType="application/vnd.openxmlformats-officedocument.spreadsheetml.worksheet+xml" PartName="/xl/worksheets/sheet10.xml"/>
  <Override ContentType="application/vnd.openxmlformats-officedocument.spreadsheetml.worksheet+xml" PartName="/xl/worksheets/sheet15.xml"/>
  <Override ContentType="application/vnd.openxmlformats-officedocument.spreadsheetml.worksheet+xml" PartName="/xl/worksheets/sheet19.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20.xml"/>
  <Override ContentType="application/vnd.openxmlformats-officedocument.spreadsheetml.worksheet+xml" PartName="/xl/worksheets/sheet1.xml"/>
  <Override ContentType="application/vnd.openxmlformats-officedocument.spreadsheetml.worksheet+xml" PartName="/xl/worksheets/sheet24.xml"/>
  <Override ContentType="application/vnd.openxmlformats-officedocument.spreadsheetml.worksheet+xml" PartName="/xl/worksheets/sheet9.xml"/>
  <Override ContentType="application/vnd.openxmlformats-officedocument.spreadsheetml.worksheet+xml" PartName="/xl/worksheets/sheet4.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25.xml"/>
  <Override ContentType="application/vnd.openxmlformats-officedocument.spreadsheetml.worksheet+xml" PartName="/xl/worksheets/sheet8.xml"/>
  <Override ContentType="application/vnd.openxmlformats-officedocument.spreadsheetml.worksheet+xml" PartName="/xl/worksheets/sheet2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8.xml"/>
  <Override ContentType="application/vnd.openxmlformats-officedocument.spreadsheetml.worksheet+xml" PartName="/xl/worksheets/sheet26.xml"/>
  <Override ContentType="application/vnd.openxmlformats-officedocument.spreadsheetml.worksheet+xml" PartName="/xl/worksheets/sheet3.xml"/>
  <Override ContentType="application/vnd.openxmlformats-officedocument.spreadsheetml.worksheet+xml" PartName="/xl/worksheets/sheet22.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26.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25.xml"/>
  <Override ContentType="application/vnd.openxmlformats-officedocument.drawing+xml" PartName="/xl/drawings/drawing21.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22.xml"/>
  <Override ContentType="application/vnd.openxmlformats-officedocument.drawing+xml" PartName="/xl/drawings/drawing10.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23.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19.xml"/>
  <Override ContentType="application/vnd.openxmlformats-officedocument.drawing+xml" PartName="/xl/drawings/drawing5.xml"/>
  <Override ContentType="application/vnd.openxmlformats-officedocument.drawing+xml" PartName="/xl/drawings/drawing24.xml"/>
  <Override ContentType="application/vnd.openxmlformats-officedocument.drawing+xml" PartName="/xl/drawings/drawing11.xml"/>
  <Override ContentType="application/vnd.openxmlformats-officedocument.drawing+xml" PartName="/xl/drawings/drawing20.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me" sheetId="1" r:id="rId4"/>
    <sheet state="hidden" name="Alertas" sheetId="2" r:id="rId5"/>
    <sheet state="hidden" name="Consolidado" sheetId="3" r:id="rId6"/>
    <sheet state="hidden" name="Resumen publicado" sheetId="4" r:id="rId7"/>
    <sheet state="visible" name="Administrativa" sheetId="5" r:id="rId8"/>
    <sheet state="visible" name="A_Ciudadano" sheetId="6" r:id="rId9"/>
    <sheet state="visible" name="Contratos" sheetId="7" r:id="rId10"/>
    <sheet state="visible" name="Comunicaciones" sheetId="8" r:id="rId11"/>
    <sheet state="visible" name="C_Interno" sheetId="9" r:id="rId12"/>
    <sheet state="visible" name="Financiera" sheetId="10" r:id="rId13"/>
    <sheet state="visible" name="CI_Disciplinario" sheetId="11" r:id="rId14"/>
    <sheet state="visible" name="DTAF" sheetId="12" r:id="rId15"/>
    <sheet state="visible" name="DTIV" sheetId="13" r:id="rId16"/>
    <sheet state="visible" name="G_Documental" sheetId="14" r:id="rId17"/>
    <sheet state="visible" name="OA_Juridica" sheetId="15" r:id="rId18"/>
    <sheet state="visible" name="OGCI" sheetId="16" r:id="rId19"/>
    <sheet state="visible" name="Planeación" sheetId="17" r:id="rId20"/>
    <sheet state="visible" name="Sistemas" sheetId="18" r:id="rId21"/>
    <sheet state="visible" name="T_Humano" sheetId="19" r:id="rId22"/>
    <sheet state="visible" name="R_Barrancabermeja" sheetId="20" r:id="rId23"/>
    <sheet state="visible" name="R_Bogota" sheetId="21" r:id="rId24"/>
    <sheet state="visible" name="R_Barranquilla" sheetId="22" r:id="rId25"/>
    <sheet state="visible" name="R_Cali" sheetId="23" r:id="rId26"/>
    <sheet state="visible" name="R_Magangue" sheetId="24" r:id="rId27"/>
    <sheet state="visible" name="R_Medellin" sheetId="25" r:id="rId28"/>
    <sheet state="visible" name="R_Villavicencio" sheetId="26" r:id="rId29"/>
  </sheets>
  <definedNames>
    <definedName hidden="1" localSheetId="2" name="_xlnm._FilterDatabase">Consolidado!$A$2:$BI$162</definedName>
    <definedName hidden="1" localSheetId="4" name="_xlnm._FilterDatabase">Administrativa!$A$3:$AN$8</definedName>
    <definedName hidden="1" localSheetId="5" name="_xlnm._FilterDatabase">A_Ciudadano!$A$3:$AN$8</definedName>
    <definedName hidden="1" localSheetId="6" name="_xlnm._FilterDatabase">Contratos!$A$3:$AN$12</definedName>
    <definedName hidden="1" localSheetId="7" name="_xlnm._FilterDatabase">Comunicaciones!$A$3:$AN$12</definedName>
    <definedName hidden="1" localSheetId="8" name="_xlnm._FilterDatabase">C_Interno!$A$3:$AN$6</definedName>
    <definedName hidden="1" localSheetId="9" name="_xlnm._FilterDatabase">Financiera!$A$3:$AN$8</definedName>
    <definedName hidden="1" localSheetId="10" name="_xlnm._FilterDatabase">CI_Disciplinario!$A$3:$AN$8</definedName>
    <definedName hidden="1" localSheetId="11" name="_xlnm._FilterDatabase">DTAF!$A$3:$AN$18</definedName>
    <definedName hidden="1" localSheetId="12" name="_xlnm._FilterDatabase">DTIV!$A$3:$AN$12</definedName>
    <definedName hidden="1" localSheetId="13" name="_xlnm._FilterDatabase">G_Documental!$A$3:$AN$8</definedName>
    <definedName hidden="1" localSheetId="14" name="_xlnm._FilterDatabase">OA_Juridica!$A$3:$AN$15</definedName>
    <definedName hidden="1" localSheetId="15" name="_xlnm._FilterDatabase">OGCI!$A$3:$AN$17</definedName>
    <definedName hidden="1" localSheetId="16" name="_xlnm._FilterDatabase">'Planeación'!$A$3:$AN$13</definedName>
    <definedName hidden="1" localSheetId="17" name="_xlnm._FilterDatabase">Sistemas!$A$3:$AN$10</definedName>
    <definedName hidden="1" localSheetId="18" name="_xlnm._FilterDatabase">T_Humano!$A$3:$AN$9</definedName>
    <definedName hidden="1" localSheetId="19" name="_xlnm._FilterDatabase">R_Barrancabermeja!$A$3:$AN$13</definedName>
    <definedName hidden="1" localSheetId="20" name="_xlnm._FilterDatabase">R_Bogota!$A$3:$AN$15</definedName>
    <definedName hidden="1" localSheetId="21" name="_xlnm._FilterDatabase">R_Barranquilla!$A$3:$AN$23</definedName>
    <definedName hidden="1" localSheetId="22" name="_xlnm._FilterDatabase">R_Cali!$A$3:$AN$17</definedName>
    <definedName hidden="1" localSheetId="23" name="_xlnm._FilterDatabase">R_Magangue!$A$3:$AN$11</definedName>
    <definedName hidden="1" localSheetId="24" name="_xlnm._FilterDatabase">R_Medellin!$A$3:$AN$15</definedName>
    <definedName hidden="1" localSheetId="25" name="_xlnm._FilterDatabase">R_Villavicencio!$A$3:$AN$13</definedName>
  </definedNames>
  <calcPr/>
</workbook>
</file>

<file path=xl/comments1.xml><?xml version="1.0" encoding="utf-8"?>
<comments xmlns:r="http://schemas.openxmlformats.org/officeDocument/2006/relationships" xmlns="http://schemas.openxmlformats.org/spreadsheetml/2006/main">
  <authors>
    <author/>
  </authors>
  <commentList>
    <comment authorId="0" ref="AX43">
      <text>
        <t xml:space="preserve">======
ID#AAAALXFhJQs
Financiera    (2021-02-08 19:22:28)
https://www.aunap.gov.co/index.php/secretraria-general/financiera#estados-financieros
https://www.aunap.gov.co/index.php/secretraria-general/financiera#ejecucion-presupuesto-2019</t>
      </text>
    </comment>
    <comment authorId="0" ref="BE43">
      <text>
        <t xml:space="preserve">======
ID#AAAALXFhJQg
Financiera    (2021-02-08 19:22:28)
https://www.aunap.gov.co/index.php/secretraria-general/financiera#estados-financieros
https://www.aunap.gov.co/index.php/secretraria-general/financiera#ejecucion-presupuesto-2019</t>
      </text>
    </comment>
  </commentList>
</comments>
</file>

<file path=xl/sharedStrings.xml><?xml version="1.0" encoding="utf-8"?>
<sst xmlns="http://schemas.openxmlformats.org/spreadsheetml/2006/main" count="5103" uniqueCount="803">
  <si>
    <t>x</t>
  </si>
  <si>
    <t>Administrativa</t>
  </si>
  <si>
    <t>Financiera</t>
  </si>
  <si>
    <t>R_Barrancabermeja</t>
  </si>
  <si>
    <t>A_Ciudadano</t>
  </si>
  <si>
    <t>G_Documental</t>
  </si>
  <si>
    <t>R_Barranquilla</t>
  </si>
  <si>
    <t>Comunicaciones</t>
  </si>
  <si>
    <t>OA_Juridica</t>
  </si>
  <si>
    <t>R_Bogota</t>
  </si>
  <si>
    <t>Contratos</t>
  </si>
  <si>
    <t>OGCI</t>
  </si>
  <si>
    <t>R_Cali</t>
  </si>
  <si>
    <t>C_Interno</t>
  </si>
  <si>
    <t>Planeación</t>
  </si>
  <si>
    <t>R_Magangue</t>
  </si>
  <si>
    <t>CI_Disciplinario</t>
  </si>
  <si>
    <t>Sistemas</t>
  </si>
  <si>
    <t>R_Medellin</t>
  </si>
  <si>
    <t>DTAF</t>
  </si>
  <si>
    <t>T_Humano</t>
  </si>
  <si>
    <t>R_Villavicencio</t>
  </si>
  <si>
    <t>DTIV</t>
  </si>
  <si>
    <t>Consolidado</t>
  </si>
  <si>
    <t xml:space="preserve">La ejecución de la meta registrada se encuentra por debajo de la meta programada en la formulación del plan de acción para el cuarto trimestre, su porcentaje de cumplimiento es </t>
  </si>
  <si>
    <t>, lo cual indica un incumplimiento que puede ser entendido por los entes de control como falencias en el proceso de planeación. se recomienda tomar este antecedente como insumo para disminuir la meta en la próxima vigencia</t>
  </si>
  <si>
    <t>La ejecución de la meta registrada se encuentra acorde a la meta programada en la formulación del plan de acción para el cuarto trimestre</t>
  </si>
  <si>
    <t xml:space="preserve">La ejecución de la meta registrada se encuentra por encima de la meta programada en la formulación del plan de acción para el cuarto trimestre, su porcentaje de cumplimiento es </t>
  </si>
  <si>
    <t>, lo cual indica una sobre ejecución que puede ser entendido por los entes de control como falencias en el proceso de planeación. se recomienda tomar este antecedente como insumo para incrementar la meta en la próxima vigencia</t>
  </si>
  <si>
    <t>TRIMESTRE III</t>
  </si>
  <si>
    <t>TRIMESTRE II</t>
  </si>
  <si>
    <t>TRIMESTRE IV</t>
  </si>
  <si>
    <t>MONITOREO PLAN DE ACCIÓN 2020 IV TRIMESTRE</t>
  </si>
  <si>
    <t>-</t>
  </si>
  <si>
    <t>No.</t>
  </si>
  <si>
    <t>PROCESO ASOCIADO</t>
  </si>
  <si>
    <t>ÁREA LÍDER</t>
  </si>
  <si>
    <t>NOMBRE DEL PROYECTO</t>
  </si>
  <si>
    <t>CÓDIGO BPIN</t>
  </si>
  <si>
    <t>NOMBRE CORTO</t>
  </si>
  <si>
    <t>OBJETIVO ESPECÍFICO</t>
  </si>
  <si>
    <t>PRODUCTO</t>
  </si>
  <si>
    <t>ACTIVIDAD</t>
  </si>
  <si>
    <t>TIPO INDICADOR</t>
  </si>
  <si>
    <t>CATEGORÍA</t>
  </si>
  <si>
    <t>UNIDAD DE MEDIDA</t>
  </si>
  <si>
    <t>INDICADOR PRINCIPAL</t>
  </si>
  <si>
    <t>META RESTANTE</t>
  </si>
  <si>
    <t>META VIGENCIA</t>
  </si>
  <si>
    <t>ACCIÓN/ACTIVIDAD</t>
  </si>
  <si>
    <t>PERIODICIDAD</t>
  </si>
  <si>
    <t>I TRIMESTRE</t>
  </si>
  <si>
    <t>II TRIMESTRE</t>
  </si>
  <si>
    <t>III TRIMESTRE</t>
  </si>
  <si>
    <t>IV TRIMESTRE</t>
  </si>
  <si>
    <t>ÁREA RESPONSABLE</t>
  </si>
  <si>
    <t>NOMBRE RESPONSABLE</t>
  </si>
  <si>
    <t>CARGO RESPONSABLE</t>
  </si>
  <si>
    <t>CORREO RESPONSABLE</t>
  </si>
  <si>
    <t>RECURSOS REQUERIDOS</t>
  </si>
  <si>
    <t>CLASIFICADOR POR PLAN</t>
  </si>
  <si>
    <t>OBJETIVO INSTITUCIONAL</t>
  </si>
  <si>
    <t>DIMENSIONES DEL MIPG</t>
  </si>
  <si>
    <t>POLÍTICAS DE GESTIÓN Y DESEMPEÑO INSTITUCIONAL</t>
  </si>
  <si>
    <t>OBJETIVO DE DESARROLLO SOSTENIBLE</t>
  </si>
  <si>
    <t>EJECUCIÓN DEL TRIMESTRE</t>
  </si>
  <si>
    <t>JUSTIFICACIÓN DEL AVANCE</t>
  </si>
  <si>
    <t>EVIDENCIA (INCLUIR EL LINK DEL REGISTRO)</t>
  </si>
  <si>
    <t>FECHA LIMITE PARA EL REPORTE</t>
  </si>
  <si>
    <t>CUMPLIMIENTO DE META %</t>
  </si>
  <si>
    <t>OBSERVACIONES DE PLANEACIÓN</t>
  </si>
  <si>
    <t>ENLACE DE PLANEACIÓN</t>
  </si>
  <si>
    <t>EJECUCIÓN DEL SEMESTRE</t>
  </si>
  <si>
    <t xml:space="preserve">DIAS ANTES DEL VENCIMIENTO </t>
  </si>
  <si>
    <t>AREA</t>
  </si>
  <si>
    <t>ACTIVIDADES DE VIGENCIA</t>
  </si>
  <si>
    <t>ACTIVIDADES DE TRIMESTRE</t>
  </si>
  <si>
    <t>REPORTE TRIMESTRAL REALIZADO</t>
  </si>
  <si>
    <t>PORCENTAJE  DE CUMPLIMIENTO</t>
  </si>
  <si>
    <t>ESTADO DE CUMPLIMIENTO</t>
  </si>
  <si>
    <t>META NO PROGRAMADA</t>
  </si>
  <si>
    <t>BAJA EJECUCIÓN</t>
  </si>
  <si>
    <t>META EJECUTADA AL 100%</t>
  </si>
  <si>
    <t>SOBRE EJECUCIÓN</t>
  </si>
  <si>
    <t>ADMINISTRATIVA</t>
  </si>
  <si>
    <t>COMUNICACIONES</t>
  </si>
  <si>
    <t>ATENCIÓN AL CIUDADANO</t>
  </si>
  <si>
    <t>CONTRATOS</t>
  </si>
  <si>
    <t>CONTROL INTERNO</t>
  </si>
  <si>
    <t>DIRECCIÓN TÉCNICA DE ADMINISTRACIÓN Y FOMENTO</t>
  </si>
  <si>
    <t>CONTROL INTERNO DISCIPLINARIO</t>
  </si>
  <si>
    <t>DIRECCIÓN TÉCNICA DE INSPECCIÓN Y VIGILANCIA</t>
  </si>
  <si>
    <t>FINANCIERA</t>
  </si>
  <si>
    <t>GESTIÓN DOCUMENTAL</t>
  </si>
  <si>
    <t>OFICINA ASESOR JURÍDICA</t>
  </si>
  <si>
    <t>OFICINA DE GENERACIÓN DEL CONOCIMIENTO Y LA INFORMACIÓN</t>
  </si>
  <si>
    <t>PLANEACIÓN</t>
  </si>
  <si>
    <t>SISTEMAS</t>
  </si>
  <si>
    <t>TALENTO HUMANO</t>
  </si>
  <si>
    <t>REGIONAL BARRANCABERMEJA</t>
  </si>
  <si>
    <t>REGIONAL BARRANQUILLA</t>
  </si>
  <si>
    <t>REGIONAL BOGOTÁ</t>
  </si>
  <si>
    <t>REGIONAL CALI</t>
  </si>
  <si>
    <t>REGIONAL MAGANGUÉ</t>
  </si>
  <si>
    <t>REGIONAL MEDELLÍN</t>
  </si>
  <si>
    <t>REGIONAL VILLAVICENCIO</t>
  </si>
  <si>
    <t>Home</t>
  </si>
  <si>
    <t>Avance de la vigencia</t>
  </si>
  <si>
    <t>Fecha inicial</t>
  </si>
  <si>
    <t>TRIMESTRE I</t>
  </si>
  <si>
    <t>DIAS ANTES DEL VENCIMIENTO</t>
  </si>
  <si>
    <t>Gestión administrativa</t>
  </si>
  <si>
    <t>Fortalecimiento de la capacidad de gestión de la autoridad nacional de acuicultura y pesca - aunap nacional</t>
  </si>
  <si>
    <t>Fortalecimiento</t>
  </si>
  <si>
    <t>Mejorar las condiciones en la infraestructura física de las sedes de la AUNAP</t>
  </si>
  <si>
    <t>Sedes adecuadas</t>
  </si>
  <si>
    <t>Adecuar locativamente las sedes de la AUNAP, para ofrecer mejores condiciones a los servidores públicos y brindar una adecuada prestación del servicios</t>
  </si>
  <si>
    <t>Producto</t>
  </si>
  <si>
    <t>Eficacia</t>
  </si>
  <si>
    <t>Número</t>
  </si>
  <si>
    <t>Hacer una intervencion de Adecuación a un bien inmueble de la AUNAP</t>
  </si>
  <si>
    <t>Anual</t>
  </si>
  <si>
    <t>Coordinación Administrativa</t>
  </si>
  <si>
    <t>Gustavo Polo</t>
  </si>
  <si>
    <t>Coordinador Administrativa</t>
  </si>
  <si>
    <t>gustavo.polo@aunap.gov.co</t>
  </si>
  <si>
    <t>Humanos, fisicos, financieros</t>
  </si>
  <si>
    <t>Plan Anual de Adquisiciones - PAA</t>
  </si>
  <si>
    <t>Llegar con actividades de pesca y acuicultura a todas las regiones</t>
  </si>
  <si>
    <t>Direccionamiento Estratégico</t>
  </si>
  <si>
    <t>Gestión Presupuestal y Eficiencia del Gasto Público</t>
  </si>
  <si>
    <t>16. Paz, justicia e instituciones sólidas</t>
  </si>
  <si>
    <t xml:space="preserve">Ya se tiene el CDP para la ejecucion de las obras, sin embargo estamos haciendo las gestiones para la utilizacion y verificacion de las adecuaciones a realizar </t>
  </si>
  <si>
    <t>Sedes mantenidas</t>
  </si>
  <si>
    <t>Realizar mantenimiento preventivo y correctivo a las sedes de AUNAP, para brindar una mejor prestación del servicios de atención a la ciudadanía</t>
  </si>
  <si>
    <t>Realizar un mantenimiento a un bien inmueble de la AUNAP</t>
  </si>
  <si>
    <t xml:space="preserve">Ya se tiene el CDP para la ejecucion de las obras, sin embargo estamos haciendo las gestiones para la utilizacion y verificacion de las mantenimientos a realizar </t>
  </si>
  <si>
    <t>https://drive.google.com/drive/folders/1YOZ2PHz_hMEngA2fzScM4Y-CxRFGQgLi?usp=sharing</t>
  </si>
  <si>
    <t>Fortalecer los sistemas de gestión de la Entidad</t>
  </si>
  <si>
    <t>Servicio de Implementación Sistemas de Gestión</t>
  </si>
  <si>
    <t>Optimizar la gestión administrativa, operativa, de planeación, seguimiento y control de la Entidad, para mejorar el desempeño institucional y la prestación del servicio a nivel nacional</t>
  </si>
  <si>
    <t>Gestión del área</t>
  </si>
  <si>
    <t>Porcentaje</t>
  </si>
  <si>
    <t>Inventarios nivel central realizados / Total de inventarios nivel central programados</t>
  </si>
  <si>
    <t>Hacer inventario de los bienes muebles a las oficinas Buenaventura, Magangue y Villavicencio</t>
  </si>
  <si>
    <t>Se solicitaron los insumos, es decir los reportes de los bienes asignados a estas oficinas, para iniciar labores de inventario en el mes de mayo</t>
  </si>
  <si>
    <t>Atención al ciudadano</t>
  </si>
  <si>
    <t>Implementar y mantener el Modelo Integrado de Planeación y Gestión V2, con sus siete (7) dimensiones operativas</t>
  </si>
  <si>
    <t>Número de actividades de la estrategia de Servicio al Ciudadano ejecutadas/Número de actividades de la estrategia de Servicio al Ciudadano * 100</t>
  </si>
  <si>
    <t>Ejecutar las actividades de la estrategia de  Servicio al Ciudadano.</t>
  </si>
  <si>
    <t>Semestral</t>
  </si>
  <si>
    <t>Coordinador Administrativo</t>
  </si>
  <si>
    <t>Humanos, Físicos, Financieros, Tecnológicos</t>
  </si>
  <si>
    <t>Plan Anticorrupción y de Atención al Ciudadano - PAAC</t>
  </si>
  <si>
    <t>Gestión con valores para resultados</t>
  </si>
  <si>
    <t>Servicio al Ciudadano</t>
  </si>
  <si>
    <t>Dicha estrategia fue contruido y actualizada hasta el presente mes de abril y su reporte es semestral.</t>
  </si>
  <si>
    <t>Cantidad de PQRD´s con seguimiento atendidas en los terminos establecidos/cantidad total de PQRDs recibidas</t>
  </si>
  <si>
    <t>Hacer Seguimiento a las diferentes areas de la entidad con el fin de dar respuesta oportuna a las PQRD’s</t>
  </si>
  <si>
    <t>Se diligencio dentro de una matriz propia, el seguimiento a las diferentes pqrsd que ingresaron a la entidad.</t>
  </si>
  <si>
    <t>https://drive.google.com/drive/u/0/folders/1ueDHg43A1arq0Yd7PUg_Yhmh0C1BhZwL</t>
  </si>
  <si>
    <t>Numero de actividades que realice la entidad donde se interactue con los ciudadanos apoyadas</t>
  </si>
  <si>
    <t>Apoyar en las diferentes actividades que haga la entidad donde se interactue conforme al plan de Participacion ciudadana</t>
  </si>
  <si>
    <t>Trimestral</t>
  </si>
  <si>
    <t>Plan de Participación Ciudadana</t>
  </si>
  <si>
    <t>No se a requerido apoyo por parte delas àreas y no se han otorgado los medios para este cumplimineto por parte de la entidad.</t>
  </si>
  <si>
    <t>Gestión de contratación</t>
  </si>
  <si>
    <t>Eficiencia</t>
  </si>
  <si>
    <t>N° documentos revisados/N° documentos recibidos que cumplan con la totalidad los requisitos</t>
  </si>
  <si>
    <t>Revisar los estudios y documentos previos que elaboran las áreas ejecutoras, de tal forma que se ajusten a la normativa vigente</t>
  </si>
  <si>
    <t>Milton Cuervo</t>
  </si>
  <si>
    <t>Asesor</t>
  </si>
  <si>
    <t>milton.cuervo@aunap.gov.co</t>
  </si>
  <si>
    <t>No asociado</t>
  </si>
  <si>
    <t>Talento Humano</t>
  </si>
  <si>
    <t>De 295 documentos de estudios previos radicados y revisados, 295 documentos cumplían con la totalidad de requisitos para iniciar el trámite.</t>
  </si>
  <si>
    <r>
      <rPr>
        <rFont val="Arial"/>
        <color rgb="FF1155CC"/>
        <sz val="10.0"/>
      </rPr>
      <t xml:space="preserve">Hoja </t>
    </r>
    <r>
      <rPr>
        <rFont val="Arial"/>
        <i/>
        <color rgb="FF1155CC"/>
        <sz val="10.0"/>
      </rPr>
      <t>"INDICADOR 1 ESTUDIOS PREVIOS</t>
    </r>
    <r>
      <rPr>
        <rFont val="Arial"/>
        <color rgb="FF1155CC"/>
        <sz val="10.0"/>
      </rPr>
      <t xml:space="preserve">"  </t>
    </r>
    <r>
      <rPr>
        <rFont val="Arial"/>
        <color rgb="FF1155CC"/>
        <sz val="10.0"/>
        <u/>
      </rPr>
      <t>https://drive.google.com/file/d/1jTKzep60VFDcXnxmz-wbsU3QeyeU-41i/view?usp=sharing</t>
    </r>
  </si>
  <si>
    <t>N° de procesos publicados / N° de procesos radicados que cumplan con la totalidad los requisitos.</t>
  </si>
  <si>
    <t>Desarrollar los procesos públicos de selección de acuerdo con las modalidades de selección establecidas en la ley.</t>
  </si>
  <si>
    <t>De 9 solicitudes de procesos públicos de selección radicadas que cumplían con la totalidad de requisitos, se desarrollaron 9 procesos públicos de selección en SECOP II.</t>
  </si>
  <si>
    <r>
      <rPr>
        <rFont val="Arial"/>
        <color rgb="FF1155CC"/>
        <sz val="10.0"/>
      </rPr>
      <t>Hoja</t>
    </r>
    <r>
      <rPr>
        <rFont val="Arial"/>
        <i/>
        <color rgb="FF1155CC"/>
        <sz val="10.0"/>
      </rPr>
      <t xml:space="preserve"> "INDICADOR 2 PROCESOS PUBLICADOS"</t>
    </r>
    <r>
      <rPr>
        <rFont val="Arial"/>
        <color rgb="FF1155CC"/>
        <sz val="10.0"/>
      </rPr>
      <t xml:space="preserve"> </t>
    </r>
    <r>
      <rPr>
        <rFont val="Arial"/>
        <color rgb="FF1155CC"/>
        <sz val="10.0"/>
        <u/>
      </rPr>
      <t>https://drive.google.com/file/d/1jTKzep60VFDcXnxmz-wbsU3QeyeU-41i/view?usp=sharing</t>
    </r>
  </si>
  <si>
    <t>N° contratos suscritos/N° contratos adjudicados.</t>
  </si>
  <si>
    <t>Elaborar y/o estructurar los contratos con todas las condiciones para su formalización</t>
  </si>
  <si>
    <t>se suscribieron y estructuraron 290 contratos de 290 que cumplían con todas las condiciones para su formalización.</t>
  </si>
  <si>
    <r>
      <rPr>
        <rFont val="Arial"/>
        <i/>
        <color rgb="FF1155CC"/>
        <sz val="10.0"/>
      </rPr>
      <t>Hoja "INDICADOR 3 CONTRATOS SUSCRITOS"</t>
    </r>
    <r>
      <rPr>
        <rFont val="Arial"/>
        <i/>
        <color rgb="FF1155CC"/>
        <sz val="10.0"/>
        <u/>
      </rPr>
      <t>https://drive.google.com/file/d/1jTKzep60VFDcXnxmz-wbsU3QeyeU-41i/view?usp=sharing</t>
    </r>
  </si>
  <si>
    <t>N° de contratos y/o convenios liquidados/N°contratos y/o convenios con solicitud de liquidación con la totalidad los requisitos..</t>
  </si>
  <si>
    <t>Revisar y aprobar actas de liquidación de contratos y convenios</t>
  </si>
  <si>
    <t>En el primer trimestre 2021,se liquidaron 9 contratos y convenios, de los 9 solicitudes radicadas que cumplían con la totalidad de requisitos.</t>
  </si>
  <si>
    <r>
      <rPr>
        <rFont val="Arial"/>
        <color rgb="FF1155CC"/>
        <sz val="10.0"/>
      </rPr>
      <t>Hoja "INDICADOR 4 CTO LIQUIDADOS"</t>
    </r>
    <r>
      <rPr>
        <rFont val="Arial"/>
        <color rgb="FF1155CC"/>
        <sz val="10.0"/>
        <u/>
      </rPr>
      <t>https://drive.google.com/file/d/1jTKzep60VFDcXnxmz-wbsU3QeyeU-41i/view?usp=sharing</t>
    </r>
  </si>
  <si>
    <t>N° de procesos publicados / N° de procesos desarrollados</t>
  </si>
  <si>
    <t>Publicar los procesos de contratación con la documentación derivada del mismo en el sistema electrónico de contratación pública</t>
  </si>
  <si>
    <t>En el primer trimestre 2021, se publicaron 295 procesos junto con la documentación derivada del mismo, de los 295 procesos que se estaban desarrollando, esto incluyendo los procesos públicos de selección y los de contratación directa.</t>
  </si>
  <si>
    <r>
      <rPr>
        <rFont val="Arial"/>
        <i/>
        <color rgb="FF1155CC"/>
        <sz val="10.0"/>
      </rPr>
      <t xml:space="preserve">Hoja "INDICADOR 5 PROCESOS " </t>
    </r>
    <r>
      <rPr>
        <rFont val="Arial"/>
        <i/>
        <color rgb="FF1155CC"/>
        <sz val="10.0"/>
        <u/>
      </rPr>
      <t>https://drive.google.com/file/d/1jTKzep60VFDcXnxmz-wbsU3QeyeU-41i/view?usp=sharing</t>
    </r>
  </si>
  <si>
    <t>N° de trámites adelantados /N° de solicitudes de incumplimiento</t>
  </si>
  <si>
    <t>Adelantar los trámites de incumplimientos de acuerdo con la normatividad vigente</t>
  </si>
  <si>
    <t>No se recibieron solicitudes de incumplimiento. Por ello no se ha tramitado ninguno</t>
  </si>
  <si>
    <t>No se reporta evidencia por lo expuesto en la justificación del avance</t>
  </si>
  <si>
    <t>N° de certificaciones expedidas / N° de certificaciones solicitadas</t>
  </si>
  <si>
    <t>Expedir certificaciones de los contratos</t>
  </si>
  <si>
    <t>De 221 solicitudes recibidas al grupo de gestión contractual en el primer trimestre ( donde se requerían la expedición de 267 certificados contractuales) se dio respuesta a 214 solicitudes en las que se certificaban 255 contratos. Nota 1: Hay peticiones donde a veces piden la certificación de más de 1 contrato.  Nota 2: Las otras solicitudes restantes, donde requirieron la certificación de 12 contratos aproximadamente, se les ha ido dando respuesta oportuna conforme a los términos que exige la ley, sin embargo esta respuesta se dio excediendo el primer trimestre, esto es, en abril de 2021.</t>
  </si>
  <si>
    <r>
      <rPr>
        <rFont val="Arial"/>
        <i/>
        <color rgb="FF1155CC"/>
        <sz val="10.0"/>
      </rPr>
      <t>Hoja "INDICADOR 7 CERTIFICADOS"</t>
    </r>
    <r>
      <rPr>
        <rFont val="Arial"/>
        <i/>
        <color rgb="FF1155CC"/>
        <sz val="10.0"/>
        <u/>
      </rPr>
      <t>https://drive.google.com/file/d/1jTKzep60VFDcXnxmz-wbsU3QeyeU-41i/view?usp=sharing</t>
    </r>
  </si>
  <si>
    <t>Comunicación estratégica</t>
  </si>
  <si>
    <t>Numero</t>
  </si>
  <si>
    <t>Documento con el componente de comunicaciones para la estrategia de rendición de cuentas.</t>
  </si>
  <si>
    <t>Elaborar e implementar el componente de comunicaciones para la estrategia de rendición de cuentas adoptada por la entidad.</t>
  </si>
  <si>
    <t>Leidy Hidalgo</t>
  </si>
  <si>
    <t>Profesional Especializado</t>
  </si>
  <si>
    <t>leidy.hidalgo@aunap.gov.co</t>
  </si>
  <si>
    <t>Información y comunicación</t>
  </si>
  <si>
    <t>Transparencia, acceso a la información pública y lucha contra la corrupción</t>
  </si>
  <si>
    <t>12. Producción y consumo responsable</t>
  </si>
  <si>
    <t>No aplica para I trimestre</t>
  </si>
  <si>
    <t>Publicaciones en medios Free Press información de gestión institucional para los diferentes grupos de interés</t>
  </si>
  <si>
    <t>Publicar en medios Free Press información de gestión institucional para los diferentes grupos de interés</t>
  </si>
  <si>
    <t>Acciones de comunicaciones en alianza con cooperantes, aliados y entiades adscritas</t>
  </si>
  <si>
    <t>Desarrolar acciones de comunicacion en alianza con cooperantes, aliados, entidades del sector para dar un mayor alcance de la gestion institucional</t>
  </si>
  <si>
    <t>Planeación Institucional</t>
  </si>
  <si>
    <t>Publicaciones de contenido institucional divulgado en alguno de los canales dispuestos por la entidad</t>
  </si>
  <si>
    <t>Editar, adaptar y divulgar contenido institucional de la gestión realizada por la entidad para su posicionamiento externo ante los diferentes grupos de interés</t>
  </si>
  <si>
    <t>Mensual</t>
  </si>
  <si>
    <t xml:space="preserve">
Durante el I trimestre se Editó, adaptó y divulgó (4) contenido institucional de la gestión realizada por la entidad para su posicionamiento externo ante los diferentes grupos de interés. En esta oportunidad el insumo fue brindado por la DTAF, la DTIV y la Regional Barrancabermeja. 
</t>
  </si>
  <si>
    <t>https://drive.google.com/drive/folders/1rv1j4N0nvkRSFU_GqlOupFWq8yBuYrIx?usp=sharing</t>
  </si>
  <si>
    <t>Número de piezas de comunicación interna diseñadas y divulgadas/Número de piezas de comunicación interna solicitadas</t>
  </si>
  <si>
    <t>Diseñar y divulgar piezas de comunicación internas con base a la información allegada por las diferentes dependencias de la entidad</t>
  </si>
  <si>
    <t xml:space="preserve">
Durante el I trimestre de 2021, el proceso de comunicaciones elaboró piezas para la divulgación de información interna, acorde a las solicitudes allegadas por las diferentes áreas. El canal de recepción de dichas solicitudes fue el formulario para la divulgación de contenidos institucionales establecido en el procedimiento de Comunicaciones, el cual se encuentra publicado en la intranet y fue socializado con los colaboradores. 
</t>
  </si>
  <si>
    <t>https://drive.google.com/drive/folders/1pkJEPm6aJeQPLPo56xqLUXDhlTkX18fL?usp=sharing</t>
  </si>
  <si>
    <t>Espacios de comunicaciòn desarrollados</t>
  </si>
  <si>
    <t>Realizar espacios de comunicacion que faciliten la interlocucion de la entidad con los diferentes usuarios para mejorar la gestión pública</t>
  </si>
  <si>
    <t>eficacia</t>
  </si>
  <si>
    <t>Productos comunicativos (revistas, newletter, infografias, etc)</t>
  </si>
  <si>
    <t>Crear y divulgar productos comunicativos internos y externos que permitan ampliar la difusión de la informacion institucional a través de los diferentes canales de comunicación.</t>
  </si>
  <si>
    <t>Durante el I trimestre de 2021 el proceso de comunicación estratégica creó y divulgó (3) productos comunicativos internos y externos que permiten ampliar la difusión de la información institucional a través de los diferentes canales de comunicación</t>
  </si>
  <si>
    <t>https://drive.google.com/drive/folders/1I_FaeZflhwGVBGU_9hu1BReDg9a4ppzo?usp=sharing</t>
  </si>
  <si>
    <t>Evaluación Seguimiento y Control</t>
  </si>
  <si>
    <t>Control Interno</t>
  </si>
  <si>
    <t>Implementar y mantener el Sistema de Gestión de la Calidad (SGC) y Modelo Estándar de Control Interno (MECI)</t>
  </si>
  <si>
    <t>Eficiente</t>
  </si>
  <si>
    <t>Número de Acciones del plan anual de auditorias ejecutadas/Número de Acciones del plan anual de auditorias programadas</t>
  </si>
  <si>
    <t>Ejecución del plan Anual de Auditorias</t>
  </si>
  <si>
    <t>Control interno</t>
  </si>
  <si>
    <t>Euripides Gonzalez</t>
  </si>
  <si>
    <t>Asesor de control interno</t>
  </si>
  <si>
    <t>Euripides.gonzalez@aunap.gov.co</t>
  </si>
  <si>
    <t>humanos, Físicos, Financieros, Tecnológicos</t>
  </si>
  <si>
    <t>No se tiene programado avance para este trimestre</t>
  </si>
  <si>
    <t>Gestión financiera</t>
  </si>
  <si>
    <t>Número de estados financieros elaborados, presentados, transmitidos y publicados/Número de Estados financieros programados para elaboración, presentación, transmición y publicación</t>
  </si>
  <si>
    <t>Elaboración, presentación, transmisión y publicación de estados financieros con la periodicidad requerida, de conformidad con el nuevo Marco Normativo y Conceptual para Entidades de Gobierno, entes de control o terceros que lo requieran. Será publicado en pagina web. (Publicaciones)</t>
  </si>
  <si>
    <t>Sharol Natalia Mora</t>
  </si>
  <si>
    <t>Coordinador Financiero</t>
  </si>
  <si>
    <t>natalia.mora@aunap.gov.co</t>
  </si>
  <si>
    <t>Se identificó con el área financiera que este Plan de acción es un error que debe corregirse en la próxima versión del Plan de Acción.</t>
  </si>
  <si>
    <t>Número de publicaciones  de estados financieros realizadas</t>
  </si>
  <si>
    <t>En el trimestre del 2021, se publicaron en la pagina web de la Entidad los estado financieros con corte al 31 dic 2020</t>
  </si>
  <si>
    <t>https://www.aunap.gov.co/images/2021/financiera/estados_financieros_diciembre_2020_publicacion-1.pdf</t>
  </si>
  <si>
    <t>Número de controles de ejecución presupuestal realizados</t>
  </si>
  <si>
    <t>Realizar el  control y registro de las operaciones financieras de acuerdo con los recursos disponibles de la entidad. Integra las actividades relacionadas con la adquisición de bienes y servicios, la gestión de proyectos de inversión  y el registro de la ejecución del presupuesto.(publicaciones )</t>
  </si>
  <si>
    <t>En el trimestre del 2021, se publicaron en la pagina web de la Entidad la ejecucion presupuestal correspondiente al 2021</t>
  </si>
  <si>
    <t>https://docs.google.com/document/d/1Fqb6H3iC7eDJd2IXgDo9GehVlxO0pqzy/edit</t>
  </si>
  <si>
    <t>Gestión de control interno disciplinario</t>
  </si>
  <si>
    <t>Control Interno Disciplinario</t>
  </si>
  <si>
    <t>Número de informe sobre el estado de los procesos disciplinarios vigencia 2020 realizados/Número de informe sobre el estado de los procesos disciplinarios vigencia 2020 programados</t>
  </si>
  <si>
    <t>Elaboracion de un informe sobre el estado de los procesos disciplinarios vigencia 2020</t>
  </si>
  <si>
    <t>Secretaria General</t>
  </si>
  <si>
    <t>Daniel Ariza Heredia</t>
  </si>
  <si>
    <t>Secretario General</t>
  </si>
  <si>
    <t>daniel.ariza@aunap.gov.co</t>
  </si>
  <si>
    <t xml:space="preserve">A la fecha no es exigible esta actividad, la cual se ejecuta en el último trimestre del año. </t>
  </si>
  <si>
    <t>Edilberto Gutierrez</t>
  </si>
  <si>
    <t>Relación de la Ley 734 de 2002 y las normas que lo complementan en el 100% de las actuaciones generadas por CID.</t>
  </si>
  <si>
    <t>Aplicación de la Ley 734 de 2002 y las normas que lo complementan</t>
  </si>
  <si>
    <t>Se han impulsado los procesos equivalentes al 25% de los activos en la Oficina de Control Interno Disciplinario</t>
  </si>
  <si>
    <t>https://drive.google.com/file/d/1NwgyL-_6KlS_IxCa8v5e3msqy6Dz6R3o/view?usp=sharing</t>
  </si>
  <si>
    <t>Número de actividades de divulgación sobre derecho disciplinario realizadas/Número de actividades de divulgación sobre derecho disciplinario programadas</t>
  </si>
  <si>
    <t>Realizar actividades de divulgación sobre derecho disciplinario</t>
  </si>
  <si>
    <t xml:space="preserve">Se remitieron dos correos masivos a los funcionarios y contratistas de la entidad con información relevante sobre derecho disciplinario </t>
  </si>
  <si>
    <t>https://drive.google.com/file/d/1ZPzlp8BgCB5Ja1acIybuTU0IUukKR-F1/view?usp=sharing</t>
  </si>
  <si>
    <t>Gestión de la administración y fomento</t>
  </si>
  <si>
    <t>Dirección Técnica de Administración y Fomento</t>
  </si>
  <si>
    <t>Fortalecimiento de la sostenibilidad del sector pesquero y de la acuicultura en el territorio nacional</t>
  </si>
  <si>
    <t>Sostenibilidad</t>
  </si>
  <si>
    <t>Mejorar la explotación de los recursos pesqueros y de la acuicultura.</t>
  </si>
  <si>
    <t>Servicios de administración de los recurso pesqueros y de la acuicultura</t>
  </si>
  <si>
    <t>Regular el manejo y el ejercicio de la actividad pesquera y de la acuicultura.</t>
  </si>
  <si>
    <t>Tramites atendidos</t>
  </si>
  <si>
    <t>Atender Tramites</t>
  </si>
  <si>
    <t>Jhon Jairo Restrepo</t>
  </si>
  <si>
    <t>Director Jhon Jairo Restrepo</t>
  </si>
  <si>
    <t>jhon.restrepo@aunap.gov.co</t>
  </si>
  <si>
    <t>Humano, físico, financiero, tecnológico</t>
  </si>
  <si>
    <t>Propiciar la formalización de la pesca y la acuicultura</t>
  </si>
  <si>
    <t>Fortalecimiento Organizacional y Simplificación de Procesos</t>
  </si>
  <si>
    <t xml:space="preserve">No se reporta para el trimestre 1 </t>
  </si>
  <si>
    <t>Servicio de ordenación pesquera y de la acuicultura</t>
  </si>
  <si>
    <t>Generar acuerdos de ordenación de la actividad pesquera y de la acuicultura.</t>
  </si>
  <si>
    <t>Acuerdos de ordenacion atendidos</t>
  </si>
  <si>
    <t>Mejorar las prácticas de pesca y de acuicultura.</t>
  </si>
  <si>
    <t>Servicios de apoyo al fomento de la pesca y la acuicultura</t>
  </si>
  <si>
    <t>Generar acciones de fomento para la pesca, la acuicultura y sus actividades conexas.</t>
  </si>
  <si>
    <t>Organizaciones atendidas</t>
  </si>
  <si>
    <t>Apoyar a asociaciones con acciones de fomento de la pesca y la acuicultura en el territorio nacional</t>
  </si>
  <si>
    <t>1-Servicios de apoyo a las estaciones de acuicultura</t>
  </si>
  <si>
    <t>Producir alevinos para el sector productivo y/o con fines de repoblamiento.</t>
  </si>
  <si>
    <t>Estaciones de acuicultura apoyadas</t>
  </si>
  <si>
    <t xml:space="preserve">Apoyar a tres estaciones de acuicultura
</t>
  </si>
  <si>
    <t>Desarrollar acciones de extensión rural a través de las estaciones de acuicultura</t>
  </si>
  <si>
    <t>Gestión</t>
  </si>
  <si>
    <t>Efectividad</t>
  </si>
  <si>
    <t>Realizar eventos informativas y divulgativos de acuicultura a traves de las estaciones</t>
  </si>
  <si>
    <t>Desarrollar campañas informativas y divulgadas de acciones de acuicultura a traves de las estaciones</t>
  </si>
  <si>
    <t>Realizar seguimiento a los acuerdos de ordenación</t>
  </si>
  <si>
    <t>Seguimiento a los acuerdos de ordenación pesquera</t>
  </si>
  <si>
    <t>Realizar seguimiento a los acuerdos de ordenación pesquera</t>
  </si>
  <si>
    <t>Generar estrategias de comercialización y consumo responsable de los productos de la pesca y la acuicultura</t>
  </si>
  <si>
    <t>Número de productores con acuerdos comerciales suscritos beneficiados/Número de productores con acuerdos comerciales suscritos programados para beneficiar</t>
  </si>
  <si>
    <t>Beneficiar a productores con estrategias de inclusión productiva</t>
  </si>
  <si>
    <t>Actos Administrativos de caracter general publicados y comunicados</t>
  </si>
  <si>
    <t>Expedir actos administrativos de caracter general publicados y comunicados</t>
  </si>
  <si>
    <t>Número de reportes realizados/Número de reporte programado</t>
  </si>
  <si>
    <t>Reportar información relacionada con las acciones de administración, ordenación y fomento de la pesca</t>
  </si>
  <si>
    <t xml:space="preserve">Se reporta información relacionada con las acciones de administración relacionada con tramites realizado en un instagram live el 22 de febrero de 2021 </t>
  </si>
  <si>
    <t>https://drive.google.com/drive/folders/11Pc94eKGXRO6tHbn1Gl9tjhrmlVNlrDP?usp=sharing</t>
  </si>
  <si>
    <t>Número de carnés de pescadores artesanales expedidos /Número de carnés de pescadores artesanales programados</t>
  </si>
  <si>
    <t>Formalizar pescadores artesanales.</t>
  </si>
  <si>
    <t>Realizar acciones de divulgación y formalización de la actividad pesquera y de la acuicultura.</t>
  </si>
  <si>
    <t>Número de congresos de pescadores realizados/Número de congresos de pescadores programados</t>
  </si>
  <si>
    <t>Realizar el Congreso de pescadores</t>
  </si>
  <si>
    <t>Número de estrategia de informacion realizadas</t>
  </si>
  <si>
    <t>Generar estrategia de informacion en los diferentes medios de comunicación, tradicionales, alternativos y digitales, que propendan por el fortalecimiento y la sostenibilidad de los recursos pesqueros y acuicolas en el territorio nacional</t>
  </si>
  <si>
    <t>Número de Documentos técnico realizados/Número de documentos técnicos programados</t>
  </si>
  <si>
    <t>Caracterizar a pescadores artesanales</t>
  </si>
  <si>
    <t>Gestión de la inspección y vigilancia</t>
  </si>
  <si>
    <t>Dirección Técnica de Inspección y Vigilancia</t>
  </si>
  <si>
    <t>Desarrollo de las actividades de inspección y vigilancia para el mejoramiento del ejercicio de la actividad pesquera y la acuicultura a nivel nacional</t>
  </si>
  <si>
    <t>Inspección</t>
  </si>
  <si>
    <t>Aumentar el conocimiento de la normatividad pesquera y de la acuicultura por parte de la comunidad.</t>
  </si>
  <si>
    <t>Servicio de divulgación y socialización</t>
  </si>
  <si>
    <t>Implementar las estrategias de socialización y Divulgación a la comunidad</t>
  </si>
  <si>
    <t>Eventos realizados</t>
  </si>
  <si>
    <t>Realizar eventos de socialización y divulgación dirigidos a grupos de interés para disminuir las malas prácticas de pesca y de la acuicultura a nivel nacional.</t>
  </si>
  <si>
    <t>Nelcy Villa</t>
  </si>
  <si>
    <t>Directora técnica de inspección y vigilancia</t>
  </si>
  <si>
    <t>nelcy.villa@aunap.gov.co</t>
  </si>
  <si>
    <t>Hacer ordenación de la actividad pesquera a nivel nacional fomentando la legalidad de la actividad pesquera y acuícola</t>
  </si>
  <si>
    <t>En el I Trimestre no se tenia programado la realización de la actividad.</t>
  </si>
  <si>
    <t>Fortalecer los mecanismos de seguimiento y control de la actividad pesquera y de la acuicultura.</t>
  </si>
  <si>
    <t>Servicio de inspección, vigilancia y control de la pesca y la acuicultura</t>
  </si>
  <si>
    <t>Realizar los operativos de inspección, vigilancia y control.</t>
  </si>
  <si>
    <t>Operativos de inspección, vigilancia y control realizados</t>
  </si>
  <si>
    <t>Realizar los operativos de inspección, vigilancia y control realizados por la DTIV a nivel nacional</t>
  </si>
  <si>
    <t>Los operativos fueron desarrollados de la Siguiente manera:
Enero: 2 operativos
Febrero: 28 Operativos
Marzo: 44 Operativos</t>
  </si>
  <si>
    <t>https://drive.google.com/file/d/1vQ1BTgGyiKHZjEfmJbwS8_v47obtxq1Y/view?usp=sharing</t>
  </si>
  <si>
    <t>Realizar seguimiento a los procesos y procedimientos del área.</t>
  </si>
  <si>
    <t>Informes de seguimiento realizados sobre la implementación de los procesos de la DTIV para el control de la pesca y de la acuicultura a nivel nacional</t>
  </si>
  <si>
    <t>Realizar informe de seguimiento a la implementación de los procesos de la DTIV para el control de la pesca y de la acuicultura a nivel nacional</t>
  </si>
  <si>
    <t>Participar en la elaboración de las medidas de ordenación y control.</t>
  </si>
  <si>
    <t>Documento propuesta de las cuotas globales de pesca realizados</t>
  </si>
  <si>
    <t>Elaborar documento propuesta de las cuotas globales de pesca como insumo para la emisión del acto administrativo.</t>
  </si>
  <si>
    <t>Realizar seguimiento y actualización al registro general de pesca.</t>
  </si>
  <si>
    <t xml:space="preserve">Actualizaciones realizadas a la base de datos del Registro General de Pesca.
</t>
  </si>
  <si>
    <t>Actualizar las bases de datos para el seguimiento de los permisionarios en el registro general de pesca - RGP</t>
  </si>
  <si>
    <t>Se realizó las públicaciones en los meses de Enero, Febrero y Marzo.</t>
  </si>
  <si>
    <t>https://drive.google.com/drive/folders/1NqwvakIwTQ0RUDTAyakAAISrcvHRwFOb?usp=sharing</t>
  </si>
  <si>
    <t>Fortalecimiento del servicio estadístico pesquero colombiano a nivel nacional</t>
  </si>
  <si>
    <t>Sepec</t>
  </si>
  <si>
    <t>Fortalecer los mecanismos de recolección y análisis de la información estadística de la actividad pesquera y de la acuicultura.</t>
  </si>
  <si>
    <t>_Servicio de análisis de Información para la planificación pesquera y de la acuicultura</t>
  </si>
  <si>
    <t>Analizar la información estadística de la pesca y la acuicultura.</t>
  </si>
  <si>
    <t>Análisis generados</t>
  </si>
  <si>
    <t>Realizar el seguimiento de la actualización a las bases de datos, análisis generados de los componentes del Servicio Estadístico Pesquero Colombiano - SEPEC</t>
  </si>
  <si>
    <t>Bimestral</t>
  </si>
  <si>
    <t>Seguimiento de las bases de datos SEPEC</t>
  </si>
  <si>
    <t>https://drive.google.com/file/d/1XeY6QjlYWJW69Ve4NoP0JeA08B4SeNbv/view?usp=sharing</t>
  </si>
  <si>
    <t>Informes reportados a la oficina de comunicaciones sobre los operativos de inspección, vigilancia y control realizados.</t>
  </si>
  <si>
    <t>Reportar la información de los operativos de inspección, vigilancia y control realizados para su divulgacion.</t>
  </si>
  <si>
    <t>Publicación en fecebook operativo de inspección y vigilancia en el Aeropuerto.</t>
  </si>
  <si>
    <t>https://drive.google.com/file/d/1cGcl2BztV3iesjREq6VADTbIIy1eoSGy/view?usp=sharing</t>
  </si>
  <si>
    <t>Gestión documental</t>
  </si>
  <si>
    <t>Gestión Documental</t>
  </si>
  <si>
    <t>Servicio de Gestión Documental</t>
  </si>
  <si>
    <t>Actualizar y mantener el Sistema de Gestión Documental</t>
  </si>
  <si>
    <t>Numero de intervenciones realizadas/Numero de intervenciones programadas</t>
  </si>
  <si>
    <t>Realizar los inventarios de Archivo de Nivel Central</t>
  </si>
  <si>
    <t>Funcionario</t>
  </si>
  <si>
    <t>Talento humano</t>
  </si>
  <si>
    <t>Plan Institucional de Archivos de la Entidad -PINAR</t>
  </si>
  <si>
    <t>Se realizo reunión de trabajo con las nuevas contratistas para realizar el inicio de las actividades de inventario con las areas de la entidad.</t>
  </si>
  <si>
    <t>Se realizo unicamente una reunion</t>
  </si>
  <si>
    <t>Realizar la organizacion de los archivos de Gestion</t>
  </si>
  <si>
    <t>Se realizó la organización de los expedientes de la oficina de financiera en la ordenación y descripción</t>
  </si>
  <si>
    <t>Sensibilizacion a las areas de la AUNAP</t>
  </si>
  <si>
    <t xml:space="preserve">Se realizó la inducción del 08 de marzo del 2021, sobre temas referentes de gestión documental y de la territorial de Barrancabermeja </t>
  </si>
  <si>
    <t>https://docs.google.com/document/d/1Yn7BB4t4cg1IyDiYpervfEwHp4u9jHUY/edit, https://drive.google.com/drive/u/0/folders/1OPjn5_iIQQIEYjzE5mmCBQEr7t5rEINU</t>
  </si>
  <si>
    <t>Gestión jurídica</t>
  </si>
  <si>
    <t>Oficina Asesor Jurídica</t>
  </si>
  <si>
    <t>(Número de respuestas atendidas oportunamente a las diferentes acciones de tutela, requirimientos a derechos de petición, consultas, actuaciónes judiciales ./Número de las diferentes acciones de tutela, requirimientos a derechos de petición, consultas, actuaciónes judiciales raicadas en la OAJ o recibidas mediante el correo de notificaciones judiciales)*100</t>
  </si>
  <si>
    <t>Atención oportuna de las respuestas de las diferentes acciones de tutela, requirimientos a derechos de petición, consultas, actuaciónes judiciales raicadas en la OAJ o recibidas mediante el correo de notificaciones judiciales.</t>
  </si>
  <si>
    <t>Oficina Asesoria Juridica</t>
  </si>
  <si>
    <t>Miguel Angel Ardila</t>
  </si>
  <si>
    <t>Jefe Oficina Asesora Juridica</t>
  </si>
  <si>
    <t>miguel.ardila@aunap.gov.co</t>
  </si>
  <si>
    <t>Defensa Jurídica</t>
  </si>
  <si>
    <t>OPORTUNIDAD EN LAS RESPUESTAS DE LOS DERECHOS DE PETICION EN LOS TERMINOS ESTABLECIDOS LEGALMENTE</t>
  </si>
  <si>
    <t>https://drive.google.com/drive/folders/1FDqahgPr-iMvvO86Lo32gihinGDQyC4M</t>
  </si>
  <si>
    <t>Número de cobro persuasivo y/o coactivo atendidos/Número de sanciones administrativas allegadas por parte la DTIV para tal fin *100</t>
  </si>
  <si>
    <t>Tramite del cobro persuasivo y/o coactivo de conformidad con el procedimiento adelantado por la Oficina Asesora Jurídica y la respuesta del mismo respecto  a las sanciones administrativas allegadas por parte la DTIV.</t>
  </si>
  <si>
    <t>REALIZACION DE CADA UNA DE LAS ETAPAS EN EL PROCESO DE COBRO COACTIVO DE LA ENTIDAD</t>
  </si>
  <si>
    <t>Número de actos administrativos y resoluciones revisados y Proyectados/ Número de solicitudes de revisión y proyección de actos administrativos y resoluciones por parte de la Dirección General y las Direcciones Tecnicas *100</t>
  </si>
  <si>
    <t>Revisión y Proyección de actos administrativos y resoluciones de conformidad con la solicitud de la Dirección General y las Direcciones Tecnicas.</t>
  </si>
  <si>
    <t>REVISIÓN, AJUSTES Y SEGUIMIENTOS A LOS ACTOS ADMINISTRATIVOS RADICADOS EN LA OAJ</t>
  </si>
  <si>
    <t>Número de procesos judiciales representados/Número de procesos en los que sea parte la entidad  *100</t>
  </si>
  <si>
    <t>Representación judicial y extrajudicial en los procesos judiciales en los que sea o llegara a ser parte la entidad</t>
  </si>
  <si>
    <t>ASISTENCIA Y SEGUIMIENTO EN LOS PORCESOS JUDICIALES DONDE LA AUNAP HACE PARTE</t>
  </si>
  <si>
    <t>https://ekogui.defensajuridica.gov.co/Pages/inicio.aspx</t>
  </si>
  <si>
    <t>Número de seguimiento a las acciones administrativas y constitucionales realizadas/ número de acciones administrativas y constitucionales en las que la entidad se encuentra vinculada * 100</t>
  </si>
  <si>
    <t>Seguimiento a las acciones administrativas y constitucionales en las que la entidad se encuentre vinculada</t>
  </si>
  <si>
    <t>SEGUIMIENTO A LAS ACCIONES ADMIISTRATIVAS Y CONSTITUCIONALES</t>
  </si>
  <si>
    <t>Número de investigaciones administrativas con acciones de sustanciación y proyección por infracción al estatuto pesquero/Número de investigaciones administrativas que avoque la Dirección General en segunda instancia, por infracción al estatuto pesquero *100</t>
  </si>
  <si>
    <t>Sustanciación y proyección de las investigaciones administrativas que avoque la Dirección General en segunda instancia, por infracción al estatuto pesquero</t>
  </si>
  <si>
    <t>NO SE HA PRESENTADO EN LA OAJ PROCESOS DE SEGUNDA INSTANCIA</t>
  </si>
  <si>
    <t>Número de proyectos de ley, reglamentos, estatutos y manuales elaborados/Número de proyectos de ley, reglamentos, estatutos y manuales requeridos desde la Direcciones Tecnicas * 100</t>
  </si>
  <si>
    <t>Elaboración de proyectos de ley, reglamentos, estatutos y manuales, que se requeiran desde la Direcciones Tecnicas</t>
  </si>
  <si>
    <t>PARTICIPACION EN ESTUDIO DE PROYECCION DE LEYES CUANDO LAS DIRECCIONES TECNICAS LO REQUIERAN</t>
  </si>
  <si>
    <t>Número de procedimientos para la realización de audiencias, para imposición de multas, sanciones y declaratorias de incumplmiento apoyadas/Número de procedimientos para la realización de audiencias, para imposición de multas, sanciones y declaratorias de incumplmiento apoyadas requetidos.*100</t>
  </si>
  <si>
    <t>Apoyo a las Direcciones Tecnicas, en el procedimiento para la realización de audiencias, para imposición de multas, sanciones y declaratorias de incumplmiento</t>
  </si>
  <si>
    <t>NO HAY SOLICITUDES DE PRESENCIA DE ACOMPAÑAMIENTO A AUDIENCIAS SOLICITADAS POR LAS AREAS DE LA ENTIDAD</t>
  </si>
  <si>
    <t>Número de conceptos y sustanciaciones emitidos / Número de procesos solicitados por las Direcciones Tecnicas</t>
  </si>
  <si>
    <t>Conceptualización y sustanciación en los procesos que se adelantan en la Direcciones Tecnicas</t>
  </si>
  <si>
    <t>ELABORACION DE CONCEPTOS INTERNOS Y EXTERNOS, CON EL ACOMPAÑAMIENTO DE LAS DIRECCIONES TECNICAS</t>
  </si>
  <si>
    <t>Porcentaje del Sistema Unico de Gestión e Información de Actividad Litigiosa del Estado - eKOGUI actualizado con las piezas procesales.</t>
  </si>
  <si>
    <t>Actualizar con las piezas procesales el Sistema Unico de Gestión e Información de Actividad Litigiosa del Estado - eKOGUI</t>
  </si>
  <si>
    <t>ACTUALIZACION Y SEGUIMIENTO DE LOSPROCESOS JUDICIALES EN LA PLATAFORMA EKOGUI</t>
  </si>
  <si>
    <t>Gestión de la información y generación del conocimiento</t>
  </si>
  <si>
    <t>Oficina de Generación del Conocimiento y la Información</t>
  </si>
  <si>
    <t>Desarrollo de actividades de investigación para la generación de conocimiento científico, técnico, social y económico de la pesca y la acuicultura a nivel nacional</t>
  </si>
  <si>
    <t>Investigación</t>
  </si>
  <si>
    <t>Incrementar el conocimiento científico y técnico del estado de los recursos pesqueros y de la actividad pesquera</t>
  </si>
  <si>
    <t>Documentos de investigación</t>
  </si>
  <si>
    <t>Realizar cruceros de prospección, ubicación y potencialidad de recursos pesqueros marinos pelágicos y demersales en el pacífico y mar caribe</t>
  </si>
  <si>
    <t>Documentos de investigación elaborados</t>
  </si>
  <si>
    <t>Construcción de documentos de investigacion con el fin de generar conocimiento sobre la evaluacion del recurso pesquero y de la actividad pesquera, realizadas desde la OGCI</t>
  </si>
  <si>
    <t>Maria Angarita Peñaranda</t>
  </si>
  <si>
    <t>Jefe Oficina</t>
  </si>
  <si>
    <t>maria.angarita@aunap.gov.co</t>
  </si>
  <si>
    <t>Humanos, fisicos, financieros y tecnologicos</t>
  </si>
  <si>
    <t>Gestión del conocimiento</t>
  </si>
  <si>
    <t>Gestión del Conocimiento y la Innovación</t>
  </si>
  <si>
    <t>El reporte de esta actividad es anual, por ende no se reporta en este trimestre</t>
  </si>
  <si>
    <t>Evaluar el estado de aprovechamiento de los recursos pesqueros marinos, continentales y ornamentales en las cuencas hidrográficas del país</t>
  </si>
  <si>
    <t>Conceptos técnicos atendidos/Conceptos tecnicos solicitados</t>
  </si>
  <si>
    <t>Emitir conceptos técnicos relacionados con la pesca, atendidos de acuerdo con las solicitudes recibidas.</t>
  </si>
  <si>
    <t xml:space="preserve">Para este trimestre se solicitaron 5 conceptos tecnicos y se atendieron todos estos 5 conceptos, lo cual se puede evidenciar en el siguiente Link : </t>
  </si>
  <si>
    <t>https://drive.google.com/drive/folders/1ycZDWBH4ZJXCQv6xuvfJSoXZIAgR8JC1?usp=sharing</t>
  </si>
  <si>
    <t>Aumentar el desarrollo de la acuicultura asociado a la optimización de los procesos productivos.</t>
  </si>
  <si>
    <t>Documentos de lineamientos técnicos</t>
  </si>
  <si>
    <t>Determinar las condiciones de bioecología, aclimatación, nutrición y alimentación, reproducción, larvicultura, alevinaje, engorde, patología, etc. en especies nativas y domesticadas de consumo y ornamentales, marinas y continentales</t>
  </si>
  <si>
    <t>Documentos de lineamientos técnicos elaborados</t>
  </si>
  <si>
    <t>Construcción de documentos de lineamientos técnicos generados de las investigaciones en acuicultura realizadas desde la OGCCI</t>
  </si>
  <si>
    <t>Evaluar sistemas de producción y nuevas tecnologías en la acuicultura de especies nativas de consumo y ornamentales marinas y continentales</t>
  </si>
  <si>
    <t>Emitir conceptos técnicos relacionados con la acuicultura, atendidos de acuerdo con las solicitudes recibidas.</t>
  </si>
  <si>
    <t xml:space="preserve">Para este trimestre se solicitaron 7 conceptos tecnicos y se atendieron todos estos 7 conceptos, lo cual se puede evidenciar en el siguiente Link : </t>
  </si>
  <si>
    <t>https://drive.google.com/drive/folders/1Vw6safvew57rjBFKddk1coyr4RPtPGM8?usp=sharing</t>
  </si>
  <si>
    <t>Especies animales y vegetales mejoradas</t>
  </si>
  <si>
    <t>Obtener información para el mejoramiento genético de especies nativas con fines de cultivo y repoblamiento y especies exóticas domesticadas con fines de cultivo</t>
  </si>
  <si>
    <t>Especies trabajadas a nivel genético</t>
  </si>
  <si>
    <t>Ejecutar investigaciones en especies acuícolas para trabajos a nivel genético desarrollados desde la OGCI</t>
  </si>
  <si>
    <t>Fortalecer la generación de insumos de planificación pesquera y de la acuicultura</t>
  </si>
  <si>
    <t>Servicio de análisis de Información para la planificación pesquera y de la acuicultura</t>
  </si>
  <si>
    <t>Realizar la caracterización socioeconómica de pescadores artesanales, acuicultores continentales y marinos y otros eslabones de la cadena productiva con inclusión de género</t>
  </si>
  <si>
    <t>Elaborar análisis con el uso de herramienta tecnológica ó cartografia, para la recolección, caracterización, almacenamiento, o interpretación de datos e información de recursos pesqueros y  acuicolas, que contribuya a procesos de planificación de estas actividades.</t>
  </si>
  <si>
    <t>Recolectar información de la cadena productiva, relacionada con los procesos de comercialización y mercadeo</t>
  </si>
  <si>
    <t>Analizar y procesar la información geográfica de la pesca y de la acuicultura</t>
  </si>
  <si>
    <t>Eventos de divulgación de resultados</t>
  </si>
  <si>
    <t>Realización de conferencias o conversatorios para la divulgacion de resultados de investigaciones en pesca,  para personal interno de la AUNAP ó para publico externo de la AUNAP</t>
  </si>
  <si>
    <t>Para este trimestre no se reporta ninguna meta</t>
  </si>
  <si>
    <t>Realización de conferencias o conversatorios para la divulgacion de resultados de investigaciones en acuicultura,  para personal interno de la AUNAP ó para publico externo de la AUNAP</t>
  </si>
  <si>
    <t>Direccionamiento estratégico</t>
  </si>
  <si>
    <t>Número de planes de acción elaborado y publicado/Número de planes de acción programados para elaboración y publicación.</t>
  </si>
  <si>
    <t>Elaborar conjuntamente con la áreas y publicar el Plan de Acción de la AUNAP</t>
  </si>
  <si>
    <t>Ulver Triviño Hermida</t>
  </si>
  <si>
    <t>Profesional Especializado con Funciones de Planeación</t>
  </si>
  <si>
    <t>ulver.trivino@aunap.gov.co</t>
  </si>
  <si>
    <t>Se realizo la elaboración y publicación del Plan de Acción de la AUNAP</t>
  </si>
  <si>
    <t>https://www.aunap.gov.co/index.php/direccion-general/planeacion</t>
  </si>
  <si>
    <t>Número de Plan de Acción del Plan Anticorrupción y Atención a la Ciudadanía - PAAC  elaborados y publicados/Número de planes de Plan de Acción del Plan Anticorrupción y Atención a la Ciudadanía - PAAC programados para elaboración y publicación.</t>
  </si>
  <si>
    <t>Elaborar conjuntamente con las áreas y publicar el Plan de Acción del Plan Anticorrupción y Atención a la Ciudadanía - PAAC</t>
  </si>
  <si>
    <t>Se realizo la elaboración y publicación del Plan Anticorrupción y Atención a la Ciudadanía - PAAC</t>
  </si>
  <si>
    <t>Número de informes realizados y publicados/Número de informes programados.</t>
  </si>
  <si>
    <t>Realizar  y publicar cuatro (4) análisis de la gestión de: Plan de Acción, Plan Anticorrupción y Atención a la Ciudadanía - PAAC y Gestión de riesgos dirigido a los líderes de procesos.</t>
  </si>
  <si>
    <t>Evaluación de Resultados</t>
  </si>
  <si>
    <t>Seguimiento y evaluación del desempeño institucional</t>
  </si>
  <si>
    <t>Se realizo y Publico el análisis de la gestión de: Plan de Acción y Gestión de riesgos dirigido a los líderes de procesos.</t>
  </si>
  <si>
    <t>https://docs.google.com/spreadsheets/d/1-XzNK4aE4gTcVJgK8Z33yOMgMTv12bp9OzNnvYJj_D0/edit#gid=1942166271</t>
  </si>
  <si>
    <t>Número de solicitudes atendidas/número de solicitudes recibidas.</t>
  </si>
  <si>
    <t>Dar respuesta al 100% de las solicitudes de creación, modificación o eliminacion de documentos SIG que llegan al Profesional Especializado con Funciones de planeación en horario y dias laborales.</t>
  </si>
  <si>
    <t>Se han atendido las solicitudes de creación, modificación o eliminacion de documentos SIG, sin embargo, la medición de esta acción se realiza de manera Anual.</t>
  </si>
  <si>
    <t>N/A</t>
  </si>
  <si>
    <t>Número de talleres realizados en regionales/Número de talleres programados en regionales</t>
  </si>
  <si>
    <t>Realizar cinco (5) talleres de manera presencial o virtual en temas de Planeación dirigido a las Direcciones Regionales.</t>
  </si>
  <si>
    <t>Durante el periodo de seguimiento no se realizo ninguna capacitación en temas de Planeación dirigida a las Direcciones Regionales, teniendo en cuenta los cambios de funcionario que se han realizado en el área de planeación.</t>
  </si>
  <si>
    <t>Número de talleres realizados en nivel central/Número de talleres programados en nivel central</t>
  </si>
  <si>
    <t>Realizar cinco (5) talleres de manera presencial o virtual, dirigidos a funcionarios y contratistas en temas de Planeación de Nivel Central</t>
  </si>
  <si>
    <t>Durante el periodo de seguimiento no se realizo ninguna capacitación en temas de Planeación dirigida a funcionarios y contratistas de Nivel Central, sin embargo, no se tiene contemplado avance de meta para este trimestre.</t>
  </si>
  <si>
    <t>Implementar y mantener el Sistema de Gestión Ambiental de la Entidad, acorde a la normatividad vigente</t>
  </si>
  <si>
    <t>Número de Diagnósticos ambientales realizados/Número de diagnósticos programados</t>
  </si>
  <si>
    <t>Realizar el Diagnóstico Ambiental de las tres (3) estaciones pesqueras de la AUNAP.</t>
  </si>
  <si>
    <t>Se están adelantando acciones para garantizar el realizar el Diagnóstico Ambiental de las tres (3) estaciones pesqueras de la AUNAP, sin embargo, no se tiene contemplado avance de meta para este trimestre.</t>
  </si>
  <si>
    <t>Número de informes de gestión realizados/Número de informes de gestión programados</t>
  </si>
  <si>
    <t>Elaborar un informe de gestion de la entidad.</t>
  </si>
  <si>
    <t>No se ha Elaborado el informe de gestion de la entidad, sin embargo, no se tiene contemplado avance de meta para este trimestre.</t>
  </si>
  <si>
    <t>}</t>
  </si>
  <si>
    <t>Fortalecer la Infraestructura Tecnológica de la entidad</t>
  </si>
  <si>
    <t>Servicios tecnológicos</t>
  </si>
  <si>
    <t>Implementar y gestionar los procesos de soporte y mantenimiento de los servicios Tecnológicos de la Entidad.</t>
  </si>
  <si>
    <t>Lista de activos tangibles e intangibles operando</t>
  </si>
  <si>
    <t>Mantener actualizado el inventario de activos de las TICs que facilite el plan de mantenimiento.</t>
  </si>
  <si>
    <t>Jefe de Oficina</t>
  </si>
  <si>
    <t>Plan Estratégico de Tecnologías de la Información y las Comunicaciones -PETIT</t>
  </si>
  <si>
    <t>Seguridad Digital</t>
  </si>
  <si>
    <t>9. Industria, innovación e infraestructura</t>
  </si>
  <si>
    <t>El reporte de esta actividad es anual, por ende no se debe reportar en este trimestre</t>
  </si>
  <si>
    <t>Actualizar la infraestructura (hardware y software) de servicios, para soportar la gestión de los procesos de entidad</t>
  </si>
  <si>
    <t>Lista de equipos adquiridos que fortalecen la operación de la AUNAP</t>
  </si>
  <si>
    <t>Continuar con el fortalecemiento de la infraestructura de TICs para atender los requerimientos tecnológicos de las diferentes dependencias y oficinas de la AUNAP a nivel central y regional y su DATACENTER</t>
  </si>
  <si>
    <t>Documentos técnicos fortalecidos</t>
  </si>
  <si>
    <t>Fortalecer la formulación del manual del sistema de gestión de seguridad de la información-SGSI y del Plan Estrategico de Tecnologias de la Informacion-PETI</t>
  </si>
  <si>
    <t>Documentos técnicos actualizados</t>
  </si>
  <si>
    <t>Conforme a los resultados de la socializacion y retroalimentacion de los planes de tecnologias de la AUNAP, se actualizara el plan estratégicos de seguridad de la información - PESI  y el plan de tratamiento de riesgos de seguridad y privacidad de la Información</t>
  </si>
  <si>
    <t>Formatos</t>
  </si>
  <si>
    <t>Fortalecer el compromiso de confidencialidad para ser diligenciado por los funcionarios y contratistas, y crear formato de paz y salvo   para la entrega de la documentacion trabajada durante el vinculo contractual, y solicitar a la coordinación de gestión contractual, incluir esto como obligación general en los estudios previos, con el fin de dar cumplimiento con lo estipulado en el Plan Estratégico de Seguridad de la Información</t>
  </si>
  <si>
    <t>Se fortalecio el compromiso de confidencialidad para ser diligenciado por los funcionarios y contratistas, el cual fue publicado en la plataforma de sistema integrado de gestion de la AUNAP</t>
  </si>
  <si>
    <t>https://drive.google.com/file/d/1_9epKIacFLDSAe7HUqeXr4_5kXAdzTh5/view</t>
  </si>
  <si>
    <t>Gestión del talento humano</t>
  </si>
  <si>
    <t>Numero de actividades desarrolladas Vs Numero de actividades propuestas en el plan de Bienestar e incentivos</t>
  </si>
  <si>
    <t>Ejecutar las actividades propuestas en el plan de Bienestar e incentivos</t>
  </si>
  <si>
    <t>Helmuth Bettin</t>
  </si>
  <si>
    <t>Coordinador del Area</t>
  </si>
  <si>
    <t>helmuth.bettin@aunap.gov.co</t>
  </si>
  <si>
    <t>Plan de Incentivos Institucionales</t>
  </si>
  <si>
    <t>El avance proyectado para el primer trimestre estaba dirigido a la publicación y divulgación del respectivo Plan
Adicional a ello ya se inicio la ejecución de actividades para cada uno de los Planes</t>
  </si>
  <si>
    <t>https://drive.google.com/drive/u/4/folders/1R9b7_7SE4iA0CimBa2qexD6XSAofr_wl
https://www.aunap.gov.co/index.php/secretraria-general/talento-humano#documentos-de-interes</t>
  </si>
  <si>
    <t>Numero de actividades realizadas Vs Numero de actividades establecidas en el Plan de Seguridad y Salud en el Trabajo PTASST</t>
  </si>
  <si>
    <t>Ejecutar las actividades establecidas el Plan de Seguridad y Salud en el Trabajo PTASST</t>
  </si>
  <si>
    <t>Plan de Trabajo Anual en Seguridad y Salud en el Trabajo PTASST</t>
  </si>
  <si>
    <t>https://drive.google.com/drive/u/4/folders/1s3FB80LqvI8SPwr9S_0BieGYn5TwHs9q
https://www.aunap.gov.co/index.php/secretraria-general/talento-humano#documentos-de-interes</t>
  </si>
  <si>
    <t>Servicio de Educación Informal para la Gestión Administrativa</t>
  </si>
  <si>
    <t>Capacitar a los servidores públicos, en los procesos de gestión institucional de la entidad</t>
  </si>
  <si>
    <t>Numero de capacitaciones realizadas Vs Numero de capacitaciones programadas en el PNFC</t>
  </si>
  <si>
    <t>Ejecutar las capacitaciones programadas en el Plan Nacional de Formación Capacitación</t>
  </si>
  <si>
    <t>Plan Institucional de Capacitación</t>
  </si>
  <si>
    <t>https://drive.google.com/drive/u/4/folders/1YiqM_h7N_dbsy6gEfFMdFil7EWI2gKbW
https://www.aunap.gov.co/index.php/secretraria-general/talento-humano#documentos-de-interes</t>
  </si>
  <si>
    <t>Numero de actividades  realizadas Vs Numero de actividades programadas</t>
  </si>
  <si>
    <t>Cumplir con el 100% de las actividades propuestas en el Procedimiento de Vinculacion de Vacantes en cada uno de los nombramientos.</t>
  </si>
  <si>
    <t>Plan Anual de Vacantes</t>
  </si>
  <si>
    <t>Durante el primer trimestre se realizó la publicación del respectivo Plan
Adicional a ello se realizó la inscripción de las vacantes en la pagina AGENCIA PUBLICA DE EMPLEO</t>
  </si>
  <si>
    <t>https://drive.google.com/drive/u/4/folders/1QgtKoKaJ98AShUnji_IZm1vNbXCbqXT2
https://www.aunap.gov.co/index.php/secretraria-general/talento-humano#documentos-de-interes</t>
  </si>
  <si>
    <t>Regional Barrancabermeja</t>
  </si>
  <si>
    <t>Realizar operativos de control y sensibilización</t>
  </si>
  <si>
    <t>JAVIER JESUS OVALLE MARTINEZ</t>
  </si>
  <si>
    <t>DIRECTOR REGIONAL</t>
  </si>
  <si>
    <t>javier.ovalle@aunap.gov.co</t>
  </si>
  <si>
    <t>Personal, viaticos, transporte</t>
  </si>
  <si>
    <r>
      <rPr>
        <rFont val="Arial"/>
        <color rgb="FF000000"/>
        <sz val="10.0"/>
      </rPr>
      <t xml:space="preserve">Durante el Primer Trimestre del año 2021, se realizó un total de sesenta y dos (62) Operativos, distribuidos de la siguiente manera: 
</t>
    </r>
    <r>
      <rPr>
        <rFont val="Arial"/>
        <b/>
        <color rgb="FF000000"/>
        <sz val="10.0"/>
      </rPr>
      <t xml:space="preserve">6 Operativos Acuícolas: </t>
    </r>
    <r>
      <rPr>
        <rFont val="Arial"/>
        <color rgb="FF000000"/>
        <sz val="10.0"/>
      </rPr>
      <t xml:space="preserve"> Barrancabermeja: vereda Tenerife Finca Vista Hermosa y Finca La Florida; Sabana de Torres: Club de Pesca El Lago; Piedecuesta: Vereda San Isidro-Finca El Pomarroso. Puerto Boyacá: Vereda La Ceiba. 
</t>
    </r>
    <r>
      <rPr>
        <rFont val="Arial"/>
        <b/>
        <color rgb="FF000000"/>
        <sz val="10.0"/>
      </rPr>
      <t xml:space="preserve">33 Operativos de Establecimientos comerciales: </t>
    </r>
    <r>
      <rPr>
        <rFont val="Arial"/>
        <color rgb="FF000000"/>
        <sz val="10.0"/>
      </rPr>
      <t xml:space="preserve">Barrancabermeja: Sector El Muelle y La Rampa. Bucaramanga en Centro de abastos, Plaza Guarín, Café Madrid. Piedecuesta en Central abastos, Plaza de Mercado. Cúcuta en Nueva Sexta y cenabastos.  Puerto Wilches, San Gil, Socorro en Plazas de Mercado. Puerto Berrio, Landázuri, Puerto Boyacá, Puerto Serviez en Sector Urbano y Plazas de Mercado. 
</t>
    </r>
    <r>
      <rPr>
        <rFont val="Arial"/>
        <b/>
        <color rgb="FF000000"/>
        <sz val="10.0"/>
      </rPr>
      <t>23 Operativo de Pesca Artesanal:</t>
    </r>
    <r>
      <rPr>
        <rFont val="Arial"/>
        <color rgb="FF000000"/>
        <sz val="10.0"/>
      </rPr>
      <t xml:space="preserve"> Barrancabermeja: Sector La Represa, La Rampa, El Muelle, Ciénaga El Llanito, Ciénaga San Silvestre, Sector  La Represa, Caño San Silvestre. Sabana de Torres: Rio Lebrija.   Simiti: Ciénaga de Simiti. San Pablo: Ciénaga de Tabacuru, Canaletal y Vija. Puerto Wilches: Puertos de desembarco: Vereda Curumuta, Corregimiento La 37, Vereda Italia, Muelle. Puerto Boyacá: Puertos de desembarco. 
Es importante resaltar que de los sesenta y dos (62) operativos realizados durante el primer trimestre, se efectuaron treinta y nueve (39) informes técnicos de decomiso. 
Debido a las solicitudes recibidas por vía telefónica de Comerciantes, Pescadores y Policía Nacional se refleja un aumento en la meta programada.
</t>
    </r>
  </si>
  <si>
    <t>https://drive.google.com/drive/folders/1OQNUW9PAdoX51ZGgD-6EbBchiEL9Wj2z?usp=sharing</t>
  </si>
  <si>
    <t>Número de eventos realizados/número de eventos desarrollados.</t>
  </si>
  <si>
    <t>Realizar eventos de divulgación y socialización a nivel nacional en pro de disminuir las malas prácticas, en el ejercicio del control y vigilancia preventiva de la actividad pesquera y acuícola.</t>
  </si>
  <si>
    <t xml:space="preserve">Durante el primer trimestre, se realizaron nueve (9) eventos de divulgación en pro de disminuir las malas prácticas pesqueras dirigidas a:        
                                                                                                                                                                                                                  * Integrantes de la Policía Nacional Ambiental y Carabineros de los municipios de Puerto Berrio (Ant); San Gil, Socorro, Bucaramanga (Santander), Cantagallo, Simiti, Santa Rosa del Sur (Bolívar), Puerto Boyacá (Boyacá).                                                                                                                                                                                    * Gremio de Pescadores artesanales eFELCOLPAA.
* Gremio de Comercializadores de Productos Pesqueros de la Central de Abastos de Bucaramanga
Debido a la atención de solicitudes por parte de la Fuerza Pública y gremio de pescadores, se aumentó la meta programada.
</t>
  </si>
  <si>
    <t>https://drive.google.com/drive/folders/1T41vEfXDip-fYJ8BUx_doTxa_O8ufCuD?usp=sharing</t>
  </si>
  <si>
    <t>Trámites atendidos</t>
  </si>
  <si>
    <t>Atender Trámites</t>
  </si>
  <si>
    <t xml:space="preserve">
Durante el primer trimestre, la Dirección Regional Barrancabermeja atendió y gestionó: 
*Tres (3) Permisos Arel:
Santander: Cimitarra. No. 2738. Aureliana Ardila; No. 2902. María Helena Hurtado. Norte De Santander: Zulia: No. 2803. Dimas Edel Del Quintero.
*Veintinueve (29) Conceptos Técnicos correspondientes a:
(10) Prórrogas de Permisos de Comercialización: 
Antioquia: Puerto Triunfo: Bar 008. Pesquera Jose Gallo. 
Norte de Santander: Cúcuta: Cuc 002. Distribuciones Pastor Julio Delgado Y Cia Ltda; Cuc 003. Supermercado Ebenezer Cucuta Sas. Cuc 004. Pirarucu Acuicultura Co Sas. Cuc 011.Rigomarpez; Cuc 012. Operadora Universal S.A.S. Cuc 014. Impormar De Colombia S.A.S.; Cuc 015. Ancizar Martínez.
Santander: Bucaramanga: Buc 005. Pesquera Mar Adentro Bucaramanga. Socorro: Buc 001. Pescados Y Mariscos Valery
(5) Prórrogas de Permisos de Cultivos: 
Santander:  Barrancabermeja: Bar 003. Asociación De Productores Piscícolas De Barrancabermeja-Asoppibar. 
Norte de Santander: Mutiscua: Cuc 001. Pesquemos; Cuc 013. Misael Gamboa Rojas.   El Zulia: Cuc 006. Piscícola Los Pavos; Cuc 007. Criadero De Cachama Hermanos Jj. 
(5) Otorgamiento de Permisos de Comercialización y (1) Otorgamiento de Repoblamiento: 
Norte de Santander: Cúcuta: Cuc 009. Andicar Internacional Sas. Cuc 016. Pescadería &amp; Charcuteria Fay Pez.
Santander: Barbosa: Bar 004. Ardila González Ivan"Mercaexpress". Bucaramanga: Repoblamiento. Bar 006. Electrificadora De Santander S.A.S.. San Gil: Bar 001. Pesquera Rios Mar. Buc 004. Pesquera Leomar Del Valle.
(2) Otorgamiento de Permiso de Cultivo:
Santander: Enciso: Buc 002. Piscícola Aquavera S.A.S; Bar 007. Piscicola El Tesoro. 
(3) Inclusión o Modificación de Permiso de Comercialización
Bucaramanga: Buc 003. Compañía Pesquera Del Mar S.A.S. Girón: Bar 002. Pesquera Del Mar; Bar 005. Compañía Pesquera Del Mar Mostrador 18. 
(1) Inclusión o Modificación de Permiso de Cultivo
Norte de Santander: San Cayetano: Cuc 010. Acuicultura Del Nororiente Sas.
(2) Cancelación de Permisos de Cultivo: 
Norte de Santander: Zulia: Cuc 005. Piscícola La Gaviota; Cuc 008. El Manantial.  
*Un (1) Otoramiento Permiso Pequeño Comerciante. 
Puerto Berrio: Ptb 001. La Estación Del Agro Sas
Cabe anotar que la cancelación de los permisos no se cuenta. Por consiguiente, se dio trámite a 31 solicitudes, reflejando a su vez, un aumento en la meta programada.
</t>
  </si>
  <si>
    <t>https://drive.google.com/drive/folders/1cwQvV2uIQ3qdrPGasWP7xPy57HlAaBKU?usp=sharing</t>
  </si>
  <si>
    <t>Número de Asociones capacitadas/Número de asociaciones programadas para capacitar</t>
  </si>
  <si>
    <t>Capacitar asociaciones en temas de pesca y acuicutura</t>
  </si>
  <si>
    <t xml:space="preserve">Durante el primer trimestre, se realizaron tres (3) capacitaciones en temas de normatividad pesquera, proyectos productivos, actividades conexas. Se atendieron cincuenta y cinco (55) asistentes. 
Barrancabermeja: APESTERGAL- APACCO
Cimitarra- Puerto Olaya: RIVERS
</t>
  </si>
  <si>
    <t>https://drive.google.com/drive/folders/1fCgNH6Qfa0LsOSc6uE5Sse8FzKJSqHt2?usp=sharing</t>
  </si>
  <si>
    <t>Formalizar pescadores artesanales</t>
  </si>
  <si>
    <r>
      <rPr>
        <rFont val="Arial"/>
        <color rgb="FF000000"/>
        <sz val="10.0"/>
      </rPr>
      <t xml:space="preserve">Durante el Primer Trimestre, se diligenciaron trescientos treinta y un (331) Registros de Pesca Artesanal correspondientes a los consecutivos desde el CA2021040001- CA2021040331, las zonas atendidas fueron: 
</t>
    </r>
    <r>
      <rPr>
        <rFont val="Arial"/>
        <b/>
        <color rgb="FF000000"/>
        <sz val="10.0"/>
      </rPr>
      <t>ANTIOQUIA:</t>
    </r>
    <r>
      <rPr>
        <rFont val="Arial"/>
        <color rgb="FF000000"/>
        <sz val="10.0"/>
      </rPr>
      <t xml:space="preserve"> Puerto Boyacá: APARSANÁ (13). Cimitarra: RIVER S (11). Yondó: ASPRECY (10) 
</t>
    </r>
    <r>
      <rPr>
        <rFont val="Arial"/>
        <b/>
        <color rgb="FF000000"/>
        <sz val="10.0"/>
      </rPr>
      <t>BOLIVAR:</t>
    </r>
    <r>
      <rPr>
        <rFont val="Arial"/>
        <color rgb="FF000000"/>
        <sz val="10.0"/>
      </rPr>
      <t xml:space="preserve"> Arenal: ASOPASAR (15). Cantagallo: APCORO (14). Morales: ASOPEBOC (24). AGROPESQUEROS (21); ASOAGROPEZ (20). ASOARCEPEMOBO (1). Simiti: INDEPENDIENTE: 1 
</t>
    </r>
    <r>
      <rPr>
        <rFont val="Arial"/>
        <b/>
        <color rgb="FF000000"/>
        <sz val="10.0"/>
      </rPr>
      <t>BOYACÁ:</t>
    </r>
    <r>
      <rPr>
        <rFont val="Arial"/>
        <color rgb="FF000000"/>
        <sz val="10.0"/>
      </rPr>
      <t xml:space="preserve"> Puerto Boyacá: ASOPESCAR (48); ASOPESPALAGUA (7); INDEPENDIENTE (11). 
</t>
    </r>
    <r>
      <rPr>
        <rFont val="Arial"/>
        <b/>
        <color rgb="FF000000"/>
        <sz val="10.0"/>
      </rPr>
      <t>CESAR:</t>
    </r>
    <r>
      <rPr>
        <rFont val="Arial"/>
        <color rgb="FF000000"/>
        <sz val="10.0"/>
      </rPr>
      <t xml:space="preserve"> Aguachica: INDEPENDIENTE (11). Gamarra: RIO YUMA (12); ASOPESAGRO (13). ASOPESAG (10). 
</t>
    </r>
    <r>
      <rPr>
        <rFont val="Arial"/>
        <b/>
        <color rgb="FF000000"/>
        <sz val="10.0"/>
      </rPr>
      <t xml:space="preserve">SANTANDER: </t>
    </r>
    <r>
      <rPr>
        <rFont val="Arial"/>
        <color rgb="FF000000"/>
        <sz val="10.0"/>
      </rPr>
      <t xml:space="preserve">Barrancabermeja: ASOPROAMPREB (2); APACCO (13); ASOPENOR (2); ASOPESBOCAR (1); INDEPENDIENTE (3); ASOQUIQUELANDIA (1); PEZCOMAGDA (1); ASODESBA (9); ASOPESGRUN (1); APESTERGAL (18). Betulia: INDEPENDIENTE (2); ASOPERISO (2). Girón: CORTURPIALHES: 17. Lebrija: ASOMIPEL (15). Puerto Wilches: INDEPENDIENTE (2).
Se atendieron solicitudes de renovación de carnés para la participación de proyectos de iniciativa productiva, y vinculación de nuevas asociaciones. Por tanto, hubo un aumento en la meta programada. 
</t>
    </r>
  </si>
  <si>
    <t>https://drive.google.com/drive/folders/13lr-pNGyKzulNThk-O8P3BL8DtmKSFvh?usp=sharing</t>
  </si>
  <si>
    <t>Número de capacitaciones realizadas/Número de capacitaciones programadas</t>
  </si>
  <si>
    <t>Capacitar a los grupos de interes en asociatividad y normatividad para el ejercicio de la acuicultura, pesca, y actividades conexas</t>
  </si>
  <si>
    <t>Durante el primer Trimestre del año, se realizaron trece (13) Capacitaciones dirigidas a las asociaciones de pescadores artesanales que hacen parte de la jurisdicción Regional Barrancabermeja, capacitando en el marco del Nodo de Pesca y Acuicultura año 2021, la socialización del programa de fomento vigencia tanto en modo virtual como presencial,   desde Gamarra, Aguachica, San Martín  (Cesar), Cantagallo, Morales, Arenal, San Pablo (Bolívar), Puerto Boyacá (Boyacá), Ocaña (Norte de Santander),  Barrancabermeja, Cimitarra, Puerto Wilches, Sabana de Torres (Santander). Atendiendo doscientos ocho (208) pescadores artesanales cumpliendo con los protocolos de bioseguridad ante COVID 19.  Se aumentó la meta programada debia al interes de participar en la convocatoria de proyectos 2021.</t>
  </si>
  <si>
    <t>https://drive.google.com/drive/folders/1Gl9Gulp4AMK1HsmgOwYkza9eNNjU-xlh?usp=sharing</t>
  </si>
  <si>
    <t xml:space="preserve">La ejecución de esta actividad esta programada para el II Trimestre, está en proceso. Por tanto no se adjunta evidencia. </t>
  </si>
  <si>
    <t>No se ha generado carpeta de evidencias sobre esta actividad</t>
  </si>
  <si>
    <t>Generar acuerdos de ordenación de la actividad pesquera y de la acuicultura</t>
  </si>
  <si>
    <t xml:space="preserve">La ejecución de esta actividad esta programada para el IV Trimestre, está en proceso. Por tanto no se adjunta evidencia. </t>
  </si>
  <si>
    <t xml:space="preserve">oooi </t>
  </si>
  <si>
    <t>Regional Bogotá</t>
  </si>
  <si>
    <t>Atender los Trámites</t>
  </si>
  <si>
    <t>Regional Bogota</t>
  </si>
  <si>
    <t>Carlos Augusto Borda Rodriguez</t>
  </si>
  <si>
    <t>Director Regional Bogotá</t>
  </si>
  <si>
    <t>carlos.borda@aunap.gov.co</t>
  </si>
  <si>
    <t>La gestion de tramites, especialmente en region se vio afectada por la demora en el proceso de contratación de los contratistas</t>
  </si>
  <si>
    <t>https://drive.google.com/drive/folders/1k_0LKjHzDRDwTQMiLw5rSUAp3KfLmBcm</t>
  </si>
  <si>
    <t>2-Servicios de apoyo a las estaciones de acuicultura</t>
  </si>
  <si>
    <t>Alevinos producidos</t>
  </si>
  <si>
    <t>Producir Alevinos</t>
  </si>
  <si>
    <t>A la fecha se estan adelantando los tramites para la generacipon del convenio para el suministro de alimento e insumos para el correcto desempeño de la estación</t>
  </si>
  <si>
    <t>3-Servicios de apoyo a las estaciones de acuicultura</t>
  </si>
  <si>
    <t>Realizar Eventos de Extención Rural</t>
  </si>
  <si>
    <t>Realizar capacitaciones a los grupos de interés en asociatividad y normatividad para el ejercicio de la acuicultura, pesca y actividades conexas</t>
  </si>
  <si>
    <t>Las acciones realizadas se hicieron de acuerdo con las solicitudes recibidas y en cumplimiento con las normas de bioseguridad establecidas</t>
  </si>
  <si>
    <t>Número de asociaciones capacitadas/Número de asociaciones programadas para capacitar.</t>
  </si>
  <si>
    <t>Realizar capacitaciones a las asociaciones en temas de pesca y acuicultura</t>
  </si>
  <si>
    <t xml:space="preserve">https://drive.google.com/drive/folders/1k_0LKjHzDRDwTQMiLw5rSUAp3KfLmBcm
</t>
  </si>
  <si>
    <t>Pescadores artesanales formalizados/pescadores artesanales programados para formalizar</t>
  </si>
  <si>
    <t>Realizar la formalización de Pescadores Artesanales</t>
  </si>
  <si>
    <t>Racionalización de Trámites</t>
  </si>
  <si>
    <t>se emitieron 100 carné de pesca artesanal atendiendo con las solicitudes allegadas</t>
  </si>
  <si>
    <t>Realizar Operativos de Control</t>
  </si>
  <si>
    <t>La dificultades en la vinvulacion de los contratistas, asomcomo las restricciones de movilización de algunos funcionarios de planta afecto el desarrollo de estas actividades</t>
  </si>
  <si>
    <t>Numero de Repoblamientos realizados sobre Numero de Repoblamientos programados</t>
  </si>
  <si>
    <t>Generar los Repoblamientos Misionales - Bocachico</t>
  </si>
  <si>
    <t>Esta actividad no se ha podido desarrollar por no contar con buen estado nutricional de los animales por fata de alimento balanceado, apesar de ya haber adelantado gestiones pertinentes, identificando lugares, colaboradores, asi como cantidades a repoblar</t>
  </si>
  <si>
    <t>Numero de Especies Nativas realizadas sobre Numero de Especies Nativas Programadas</t>
  </si>
  <si>
    <t>Generar el Repoblamiento de otras especies nativas</t>
  </si>
  <si>
    <t>GESTIÓN DE LA ADMINISTRACIÓN Y FOMENTO</t>
  </si>
  <si>
    <t>Apoyo a estaciones de acuicultura (Gigante-Huila)</t>
  </si>
  <si>
    <t xml:space="preserve"> </t>
  </si>
  <si>
    <t>Regional Barranquilla</t>
  </si>
  <si>
    <t>Gestionar las solicitudes de los tramites de permisos de para el ejercicio de la pesca y la acuicultura</t>
  </si>
  <si>
    <t>Jorge Roa</t>
  </si>
  <si>
    <t>Director Regional</t>
  </si>
  <si>
    <t>jorge.roa@aunap.gov.co</t>
  </si>
  <si>
    <t xml:space="preserve">Se realizaron 131 tramites para permisos entre conceptos tecnicos e inspecciones oculares que dieron como resultados resoluciones y carnet de pequeño comerciantes </t>
  </si>
  <si>
    <t>https://drive.google.com/drive/folders/1NLOdQGu5O30TyesGLK8OYYO37715_9Z8?usp=sharing</t>
  </si>
  <si>
    <t>Producir alevinos en las estaciones Piscicolas a nivel nacional  en las estaciones y centros de la AUNAP con fines de repoblamiento y fomento de la actividad pesquera y acuicola</t>
  </si>
  <si>
    <t xml:space="preserve">Se logro la produccion de 106.000 individuos de diferentes especies </t>
  </si>
  <si>
    <t>https://drive.google.com/drive/folders/10Z-f6zaOdZ800I7n5tX4ipyhbMNhDvvQ?usp=sharing</t>
  </si>
  <si>
    <t>Número de alevines rescatados y trasladados a areas de guarderias/Número de alevines programados para  rescate y traslado a areas de guarderia</t>
  </si>
  <si>
    <t>Rescate y traslado de alevines de las especies migratorias y nativas en temporada de subienda a areas cenagosas dentro de la DRBQ</t>
  </si>
  <si>
    <t xml:space="preserve">Se logro realizar el salvamento y traslado de mas de nueve millones de especies de mugilidos lisa, lebranche, anchovas, asi como de bagre de mar, chivo, robalo y otras especies </t>
  </si>
  <si>
    <t>https://drive.google.com/drive/folders/1WMLAuc7-Yx_tQoWfuzhAUhsikwNM4Esb?usp=sharing</t>
  </si>
  <si>
    <t>Campañas divulgativas</t>
  </si>
  <si>
    <t>Apoyar en el desarrollo de campañas informativas y divulgadas de acciones de acuicultura a través de las estaciones </t>
  </si>
  <si>
    <t>Asociaciones instruidas en  buenas practicas pesqueras y acuicolas para el ejercicio de la pesca y la acuicultura y asociatividad</t>
  </si>
  <si>
    <t>Instruir a las comunidades en asociatividad, buenas practicas pesqueras y acuicolas para  el ejercicio de la pesca y la acuicultura</t>
  </si>
  <si>
    <t xml:space="preserve">se relaizaron 7 capacitaciones en buenas practicas pesqueras </t>
  </si>
  <si>
    <t>https://drive.google.com/drive/folders/1BSRlOVMwffdTwxg9XjChEpNigxipiGrV?usp=sharing</t>
  </si>
  <si>
    <t>Grupos de interes instruidos en  buenas practicas pesqueras y acuicolas para el ejercicio de la pesca y la acuicultura y asociatividad</t>
  </si>
  <si>
    <t>Instruir a grupos de interes en buenas practicas pesqueras y acuicolas para  el ejercicio de la pesca y la acuicultura</t>
  </si>
  <si>
    <t>Numero de censo realizados / No municipios visitados</t>
  </si>
  <si>
    <t>Realizar censo de embarcaciones y motonaves en algunas comunidades de pescadores de la DRBQ</t>
  </si>
  <si>
    <t>realizar censo de cultivos en algunos municipios de los departamentos de la region Caribe</t>
  </si>
  <si>
    <t>Número de acuerdos pesqueros gestionados/Número de acuerdos pesqueros programados para ser gestionados</t>
  </si>
  <si>
    <t>Impulsar la construccion y/o actuaizar e implementar los acuerdo pesqueros en algunos sistemas hidricos de</t>
  </si>
  <si>
    <t>Número de vallas informativas en relación a normatividad de pesca y acuicultura en puertos, muelles de desembarques marinas y áreas de pesca implementadas/Número de vallas programadas para informativar en relación a normatividad de pesca y acuicultura en puertos, muelles de desembarques marinas y áreas de pesca implementadas.</t>
  </si>
  <si>
    <t>Implementar vayas informativas en relacion a normatividad de pesca y acuicultra en puertos, mulles de desembarques marinas y areas de pesca</t>
  </si>
  <si>
    <t xml:space="preserve">Se realizo la implementacion de vallas informativa sobre normatividad de tallas </t>
  </si>
  <si>
    <t>https://drive.google.com/drive/folders/1JSqC2JKpfv7xDqTIIIt-gVXtCNuYR608?usp=sharing</t>
  </si>
  <si>
    <t>Registro de desembarcos</t>
  </si>
  <si>
    <t>Realizar el registro de desembarco de algunas de las asociaciones pesquera que estan dentro de la jurisdiccion de la Regional Barranquilla</t>
  </si>
  <si>
    <t>Entrega de elemento e insumos a las asociaciones</t>
  </si>
  <si>
    <t>Apoyar en la entregas de insumos y elementos a asociones de pescadores y acuicultores</t>
  </si>
  <si>
    <t>Numero pescadores artesanales formalizados/ No de pescadores</t>
  </si>
  <si>
    <t>Expedir carnets, para el ejercicio de la actividad pesquera</t>
  </si>
  <si>
    <t xml:space="preserve">Se relizaron mas de 2800 carnet esto por relacion de la solicitudes y volumenes que tenia represado el PNUD ademas del aumento de solicitud dado que el periodo de vigencia en la mayoria se ha vencido por lo que se estan haciendo las renovaciones </t>
  </si>
  <si>
    <t>https://drive.google.com/drive/folders/1436rpEgDQn8lDUZxH00qw5VfUvTFd9zJ?usp=sharing</t>
  </si>
  <si>
    <t>Numero de operativos de control a la actividad pesquera y acuicola realizados</t>
  </si>
  <si>
    <t>Realizar acciones de sensibilizacion (operativos) para el ejercio de las actividades de pesca y acuicultura dentro de la normatividad</t>
  </si>
  <si>
    <t xml:space="preserve">Por el tema semana santa se supero la meta establecida </t>
  </si>
  <si>
    <t>https://drive.google.com/drive/folders/1xIVOjTQ96sf3wmCeRxVDY7qn-qNb2b8z?usp=sharing</t>
  </si>
  <si>
    <t>No seguimientos a entrega de elementos</t>
  </si>
  <si>
    <t>Realizar acciones para verificacion del buen uso de los elementos, equipos e insumos entregados a las asociaciones</t>
  </si>
  <si>
    <t>Se realizo el seguimiento a los beneficiados establecidos</t>
  </si>
  <si>
    <t>https://drive.google.com/drive/folders/1CS31yWr5VVz87_U1ppvPqznWDC-TqZyz?usp=sharing</t>
  </si>
  <si>
    <t>Asociaciones instruidas en implementacion de normatividad pesqueras y acuicola</t>
  </si>
  <si>
    <t>Instruir a las asociaciones en el conocimiento y aplicación de la normatividad pesquera y acuicola del pais para el ejercicio de la pesca y la acuicultura</t>
  </si>
  <si>
    <t>Se realizo la capacitaciones a comunidades en torno a los temas establecidos</t>
  </si>
  <si>
    <t>https://drive.google.com/drive/folders/1TIio7jOkYbj3hY_tPxKL74c6h_MY-J8x?usp=sharing</t>
  </si>
  <si>
    <t>Grupo de interes instruidas en implementacion de normatividad pesqueras y acuicola</t>
  </si>
  <si>
    <t>Instruir a los grupos de interes en el conocimiento y aplicación de la normatividad pesquera y acuicola del pais para el ejercicio de la pesca y la acuicultura</t>
  </si>
  <si>
    <t xml:space="preserve">Dada la situacion de pandemia las capacitaciones a las grupos de interes escuelas, universidades y sena entre otras se han visto disminuida </t>
  </si>
  <si>
    <t>https://drive.google.com/drive/folders/118Ruwcu_YuB0TJCQ_krB9jTo4Z8JeVUf?usp=sharing</t>
  </si>
  <si>
    <t>Regional Cali</t>
  </si>
  <si>
    <t>Atención de trámites</t>
  </si>
  <si>
    <t>Sandra Amgulo</t>
  </si>
  <si>
    <t>sandra.angulo@aunap.gov.co</t>
  </si>
  <si>
    <t xml:space="preserve">ESTAS  ACTIVIDADES   SE EJECUTARON EN SU TOTALIDAD,, SUPERANDO LA META ESTABLECIDA  EN UN 63% MAS DE LA   ESTABLECIDA,   YA QUE  SE  ATENDIERON  TODOS LOS TRAMITES  DE LAS SOLICITUDES DE PERMISOS Y PRORROGAS  PRESENTASOS   POR PARTE LOS DIFERENTES PERMISIONARIOS  PARA EL EJERCICIO DE LAACTIVIDAD PESQUERA  DE EXTRACCION,  PROCESO Y COMERCIALIZACION </t>
  </si>
  <si>
    <r>
      <rPr>
        <rFont val="Arial"/>
        <color rgb="FF1155CC"/>
        <u/>
      </rPr>
      <t>https://drive.google.com/file/d/1es4qBrUQ_9hRoy_ky79PHEGf3hxGGDEy/view?usp=sharing</t>
    </r>
    <r>
      <rPr>
        <rFont val="Arial"/>
        <color rgb="FF000000"/>
        <u/>
      </rPr>
      <t>|</t>
    </r>
  </si>
  <si>
    <t>producción de alevinos</t>
  </si>
  <si>
    <t>NO HABIAN METAS  PLANTEADAS  PARA ESTA ACTIVIDAD  DURANTE ESTE PERIODO</t>
  </si>
  <si>
    <t>Desarrollar campañas informativas y Divulgadas de acciones de acuicultura a través de las estaciones</t>
  </si>
  <si>
    <t>Numero de capacitaciones realizadasNumero de capacitaciones programadas</t>
  </si>
  <si>
    <t>Capacitación a los grupos de interés en asociatividad y normatividad para el ejercicio de la acuicultura, pesca y actividades conexas</t>
  </si>
  <si>
    <t>Número de asociaciones capacitadas/Número de asociaciones programadas</t>
  </si>
  <si>
    <t>Asociaciones capacitadas en temas de pesca y acuicultura</t>
  </si>
  <si>
    <t>NO HABIAN METAS  PLANTEADAS  PARA ESTA ACTIVIDAD    PARA EL PRIMER TRIMESTRE</t>
  </si>
  <si>
    <t>Número de pescadores artesanales formalizados/Número de pescadores artesanales programados para formalizar</t>
  </si>
  <si>
    <t>Formalizar Pescadores artesanales</t>
  </si>
  <si>
    <t>ESTA  META  SE SUPERO EN UN 273%   YA QUE  POR PARTE DE LA DRC SE ATENDIERON TODAS   LAS SOLICITUDES PARA LA FORMALIZACION DE  LOS PESCADORES ARTESANALES  INCLUIDOS LA EXPEDICION DE CARNET CONVENIO PNUD-AUNAP 2019</t>
  </si>
  <si>
    <t>Realizar operativos de control y vigilancia de la actividad pesquera y de la acuicultura y verificar el cumplimiento de  la normatividad pesquera y acuícola en:(Centros de acopio, Puntos de venta, Plazas principales, Muelles de desembarque, Aeropuertos, Vías terrestres y fluviales (incluidos cuerpos de agua) de la regional.</t>
  </si>
  <si>
    <t xml:space="preserve">SE SUPERO  ESTA META EN UN  69%  MAS DE LA  ESTABLECIDA YA QUE SE INCREMENTARON LOS  CONTROLES  POR PARTE DE LA DRC,  A  LA ACTIVIDAD PESQUERA  DURANTE EL PERIODO DE  LA VEDA DEL CAMARON   </t>
  </si>
  <si>
    <t>https://drive.google.com/drive/folders/1M0I6BwFb9kiHxV7l6_ig9QPG0fSdHT34?usp=sharing</t>
  </si>
  <si>
    <t>Número de eventos realizados/Número de eventos programados</t>
  </si>
  <si>
    <t>Eventos de divulgación y socialización apoyados a nivel nacional en pro de disminuir las malas prácticas, en el ejercicio del control y vigilancia preventiva de la actividad pesquera y acuícola.</t>
  </si>
  <si>
    <t>LAS ACTIVIDADES SE EJECUTARON  EN UN 100%, YA SE REALIZARON 10 EVENTOS DE DIVULGACION  EN PRO DE DISMINUIR LAS MALAS PRACTICAS EN EL EEJERCICIO CONTROL Y VIGILANCIA PREVENTIVA DE LA ACTIVIDAD  PESQUERA Y ACUICOLA , ESTAS ACTIVIDADES FUERON DIRIGIDAS A  PESCADORES ARTESANALES, PIANGUERAS Y ACUICULTORES</t>
  </si>
  <si>
    <t>https://drive.google.com/file/d/1wD3W3_6vAwX-uTvkJ--wGibW4wwv_OIj/view?usp=sharing</t>
  </si>
  <si>
    <t>Reportes de monitoreo que aportan a documentos de investigación</t>
  </si>
  <si>
    <t xml:space="preserve">Realizar Realizar salidas de campo  para la recopilación de información biológico pesquera del camarón blanco (L. penaeus spp) en caladeros de pesca
</t>
  </si>
  <si>
    <t>LAS ACTIVIDADES SE EJECUTARON  EN UN 100%, YA QUE SE REALIZARON 4 SALIDAS DE CAMPO A LOS CALADEROS DE PESCA DE TUMACO (ZONA NORTE Y SUR )Y BUENAVENTURA (GOLFO FE TORTUGAS)  PARA LA RECOPILACION DE INFORMACION BIOLOGICO PESQUERA DEL RECURSO CAMARON (L.penaeus) EN LAS  EMBARCACIONES DE PESCA ARTESANAL</t>
  </si>
  <si>
    <t>https://drive.google.com/drive/folders/1ZaosN-BeD1dyjbcmLOsOpmni3kptsjnK?usp=sharing</t>
  </si>
  <si>
    <t xml:space="preserve">Realizar visitas a plantas de proceso  para la recopilación de información  de Talla y Peso  del recurso Camarón blanco (L. penaeus spp )proveniente de  la pesca artesanal
</t>
  </si>
  <si>
    <t>SE DIO CUMPLIMIENTO Al 100% DE LA META ESTABLECIDA, YA QUE SE REALIZARON 7 VIDITAS A LAS PLANTAS DE PROCESO EN TUMACO, BUENAVENTURA Y GUAPI PARA LA  RECOPILACION DE INFORMACION DE TALLA Y PESO DEL CAMARON  BLANCO ( L penaeus spp)) PROVENIENTE DE LA PESCA ARTESANAL</t>
  </si>
  <si>
    <t>https://drive.google.com/drive/folders/1HCBsZekkYY_os8fzoPC9TdLnCJrrUsew?usp=sharing</t>
  </si>
  <si>
    <t xml:space="preserve">Realizar salidas de campo  para la recopilación de información biológica pesquera.sel recurso piangua (anadara)
</t>
  </si>
  <si>
    <t xml:space="preserve">ACTIVIDADES EJECUTADA EN UN 100%, SE REALIZARON  2 SALIDAS DE CAMPO UNA EN TUMACO Y OTRA EN BUENAVENTURA A LOS SITIOS DE ACOPIO Y EXTRACCION DEL RECURSO PIANGUA (anadara) , PARA LA RECOPILACION DE INFORMACION  BIOLOGICA Y PESQUERA  </t>
  </si>
  <si>
    <t>https://drive.google.com/file/d/1E6tlBnW52awSazvChc4b7SGhIgMR_PRI/view?usp=sharing</t>
  </si>
  <si>
    <t xml:space="preserve">Realizar salidas de campo realizadas para la recopilación de información biológica pesquera en la Laguna de Sonso
</t>
  </si>
  <si>
    <t>NO HABIAN METAS  PLANTEADAS  PARA ESTA ACTIVIDAD  DURANTE ESTE TRIMESTRE</t>
  </si>
  <si>
    <t>Regional Magangué</t>
  </si>
  <si>
    <t>Realizar operativos de control</t>
  </si>
  <si>
    <t>Regional Magangue</t>
  </si>
  <si>
    <t>Alfredo De Avila</t>
  </si>
  <si>
    <t>Director regional Magangue</t>
  </si>
  <si>
    <t>alfredo.deavila@aunap.gov.co</t>
  </si>
  <si>
    <t>8. Trabajo decente y crecimiento económico</t>
  </si>
  <si>
    <t>Durante el primer trimestre del 2021 se hizo un total de 40 operativos (9 operativos a Comerciantes, 5 operativos a embarcaciones y 26 operativos de decomiso) Mes de Enero: 10 operativos, 5 a comerciantes Pesqueros y 5 a embarcaciones en los diferentes puertos de Magangue (Albarrada, Fundepesca y corregimiento Panseguita. Mes de Febrero: 14 Operativos de Control en los Puertos Mercado barrió Sur, Puesto de Control El Retiro, Puesto de Control de la Armada Nacional.  Mes de Marzo: 16 operativos; 4 operativos a comerciantes y 12 operativos de Decomiso, en los diferentes puestos de control de Magangue y puertos de desembarque.</t>
  </si>
  <si>
    <t>https://drive.google.com/drive/folders/1GfBCyHhqvb6WjKbHt6PHxZqeV7FAMk_A?usp=sharing</t>
  </si>
  <si>
    <t>Numero de eventos de divulgacion y socializacion nivel nacional en pro de disminuir las malas practicas,en el ejercicio del control y vigilancia preventiva de la actividad pesquera y acuicula</t>
  </si>
  <si>
    <t>trimestral</t>
  </si>
  <si>
    <r>
      <rPr>
        <rFont val="Arial"/>
        <b/>
        <color rgb="FF000000"/>
        <sz val="10.0"/>
      </rPr>
      <t>Mes de enero:</t>
    </r>
    <r>
      <rPr>
        <rFont val="Arial"/>
        <color rgb="FF000000"/>
        <sz val="10.0"/>
      </rPr>
      <t xml:space="preserve"> se hizo un total de 6 charlas en divulgacion Pesquera; 3 en el Banco y 3 en Magangue.  </t>
    </r>
    <r>
      <rPr>
        <rFont val="Arial"/>
        <b/>
        <color rgb="FF000000"/>
        <sz val="10.0"/>
      </rPr>
      <t xml:space="preserve">Mes de Febrero: </t>
    </r>
    <r>
      <rPr>
        <rFont val="Arial"/>
        <color rgb="FF000000"/>
        <sz val="10.0"/>
      </rPr>
      <t xml:space="preserve">total 6 de Divulgacion; 4 en el municipio de Magangue, 1 en Margarita , 1 en el Banco-Magdalena.  </t>
    </r>
    <r>
      <rPr>
        <rFont val="Arial"/>
        <b/>
        <color rgb="FF000000"/>
        <sz val="10.0"/>
      </rPr>
      <t>Mes de Marzo:</t>
    </r>
    <r>
      <rPr>
        <rFont val="Arial"/>
        <color rgb="FF000000"/>
        <sz val="10.0"/>
      </rPr>
      <t xml:space="preserve"> se realizo 2 divulgacion; 1 en el municipio de Achi y 1 en el municipio de Santa Barbara de Pinto-Magdalena </t>
    </r>
  </si>
  <si>
    <t>https://drive.google.com/drive/folders/1XZRIvmDgs3aRD2UnqC1aEjH9QRseKO0l?usp=sharing</t>
  </si>
  <si>
    <t>Numero de pescadores formalizados</t>
  </si>
  <si>
    <r>
      <rPr>
        <rFont val="Arial"/>
        <color rgb="FF000000"/>
        <sz val="10.0"/>
      </rPr>
      <t xml:space="preserve">El total de carnet en primer  trimestre fue de 448.  </t>
    </r>
    <r>
      <rPr>
        <rFont val="Arial"/>
        <b/>
        <color rgb="FF000000"/>
        <sz val="10.0"/>
      </rPr>
      <t>Mes de enero:</t>
    </r>
    <r>
      <rPr>
        <rFont val="Arial"/>
        <color rgb="FF000000"/>
        <sz val="10.0"/>
      </rPr>
      <t xml:space="preserve"> 98 Carnet; en los municipios de Pinillos 15, Achi 1, Montecristo 1, Cicuco 13,, Cordoba-Bolivar 21, Guaranda 46, Altos del Rosario 1.</t>
    </r>
    <r>
      <rPr>
        <rFont val="Arial"/>
        <b/>
        <color rgb="FF000000"/>
        <sz val="10.0"/>
      </rPr>
      <t xml:space="preserve"> Mes de Febrero:</t>
    </r>
    <r>
      <rPr>
        <rFont val="Arial"/>
        <color rgb="FF000000"/>
        <sz val="10.0"/>
      </rPr>
      <t xml:space="preserve"> 125 carnet, en los Municipios de Magangue 27 Montecristo 8, San Jacinto del Cauca 48, Guaranda 2, Cicuco 1, Barranco de Loba 25, Achi 14.</t>
    </r>
    <r>
      <rPr>
        <rFont val="Arial"/>
        <b/>
        <color rgb="FF000000"/>
        <sz val="10.0"/>
      </rPr>
      <t xml:space="preserve">  Mes de Marzo:</t>
    </r>
    <r>
      <rPr>
        <rFont val="Arial"/>
        <color rgb="FF000000"/>
        <sz val="10.0"/>
      </rPr>
      <t xml:space="preserve"> Total 225 carnet en los municipios de Magangue 84, San Marcos 38, Mompox 16, San Benito 17, Montecristo 34, Cicuco 29, Sucre 1, Talaigua 5, Margarita 1</t>
    </r>
  </si>
  <si>
    <t>https://drive.google.com/file/d/1oWB5XOELuXazamPIjZshLoxEvsaGqZvj/view?usp=sharing</t>
  </si>
  <si>
    <t>Capacitacion a los grupos de interes en asociatividad y normatividad para el ejercicio de la acuicultura, pesca y actividades conexas</t>
  </si>
  <si>
    <t>John Jairo Restrepo</t>
  </si>
  <si>
    <t>Director tecnico de Administracion y Fomento</t>
  </si>
  <si>
    <r>
      <rPr>
        <rFont val="Arial"/>
        <color rgb="FF000000"/>
        <sz val="10.0"/>
      </rPr>
      <t xml:space="preserve">En total se realizaron </t>
    </r>
    <r>
      <rPr>
        <rFont val="Arial"/>
        <b/>
        <color rgb="FF000000"/>
        <sz val="10.0"/>
      </rPr>
      <t xml:space="preserve">18 charlas </t>
    </r>
    <r>
      <rPr>
        <rFont val="Arial"/>
        <color rgb="FF000000"/>
        <sz val="10.0"/>
      </rPr>
      <t xml:space="preserve">en Asociatividad  y Normatividad para el ejercio de  la Acuícultura, Pesca Artesanal y Actividades Conexas.  </t>
    </r>
    <r>
      <rPr>
        <rFont val="Arial"/>
        <b/>
        <color rgb="FF000000"/>
        <sz val="10.0"/>
      </rPr>
      <t>Mes de Enero:  2</t>
    </r>
    <r>
      <rPr>
        <rFont val="Arial"/>
        <color rgb="FF000000"/>
        <sz val="10.0"/>
      </rPr>
      <t xml:space="preserve"> charlas en el municipio de Magangue.  </t>
    </r>
    <r>
      <rPr>
        <rFont val="Arial"/>
        <b/>
        <color rgb="FF000000"/>
        <sz val="10.0"/>
      </rPr>
      <t xml:space="preserve">Mes de Febrero: 6 </t>
    </r>
    <r>
      <rPr>
        <rFont val="Arial"/>
        <color rgb="FF000000"/>
        <sz val="10.0"/>
      </rPr>
      <t xml:space="preserve">charlas en los municipios de Margarita 2, Cicuco 1, Magangue 2, Talaigua 1.  </t>
    </r>
    <r>
      <rPr>
        <rFont val="Arial"/>
        <b/>
        <color rgb="FF000000"/>
        <sz val="10.0"/>
      </rPr>
      <t>Mes de Marzo: total 10</t>
    </r>
    <r>
      <rPr>
        <rFont val="Arial"/>
        <color rgb="FF000000"/>
        <sz val="10.0"/>
      </rPr>
      <t xml:space="preserve"> en los municipios de Pinillos 3, Mompox 4, Magangue 2 y Santa barbara de Pinto 1</t>
    </r>
  </si>
  <si>
    <t>https://drive.google.com/drive/folders/1QMQoJduEwalnC434eGRvKhy8GfhIhyas?usp=sharing</t>
  </si>
  <si>
    <t>Actos Administrativos Notificados</t>
  </si>
  <si>
    <t>Regular el manejo y el ejercicio de la actividad pesquera y de la acuicultura</t>
  </si>
  <si>
    <t xml:space="preserve">Durante el primer  trimestre la Regional Recepcionó 10 solicitudes de permisos distribuidos asi:
Mes de Febrero: 2 solicitudes de Cultivo con los radicados No E2021DRM000041 de 18/02/2021
, Asociación Renacer Campesina de Juan Arias – ASORECAMJA y Resolución No 440 del 15/3/2021; Radicado No E2021DRM000059 de E2021DRM000059 de JEORGINA FLOREZ MARTINEZ, proceso en subsanación por documentación incompleta.
Mes de Marzo: 8 solicitudes (1 Nuevo de pesca Artesanal y 7 de Cultivo, 3 Prorrogas y 4 permisos nuevo).  Radicado E2021DRM000060 de 1/03/2021, prorroga  ASOCIACION DE PRODUCTORES DE LOS NISPEROS-ASOPRONIS , en trámite Bogotá., Radicado E2021DRM000068 de 1/03/2021, prorroga  ASOCIACION MUJERES PISCICOLAS,ACUICOLAS NUEVO HORIZONTE CORREGIMIENTO LOS NISPEROS-ASOMUNIS, en trámite Bogotá; Radicado E2021DRM000069 de  2/3/2021, Nuevo ASOPEISGRA-LIMNANI HERNANDEZ ESPINOZA, en subsanación por DTAF; Radicado E2021DRM000085 16/3/2021, nuevo ASOCIACION DE PRODUCTORES  AGROPECUARIOS Y PISCICOLAS DEL SAN JORGE, en trámite Bogotá; Radicado E2021DRM000088 de 17/3/2021 ASOCIACION DE CAMPESINOS Y PESCADORES DE ARMENIA MUNICIPIO DE PINILLOS, en trámite., Radicado E2021DRM0000118 de 25/3/2021,  ASOCIACION DE PESCADORES Y AGRICULTORES DE TALAIGUA VIEJO- ASAPATAV En Trámite; Radicado E2021DRM0000119 de 30/03/2021 , prorroga ASOCIACION DE PEQUEÑOS PRODUCTORES AGROPECUARIOS DE EL PORVENIR, en trámite.
</t>
  </si>
  <si>
    <r>
      <rPr>
        <rFont val="Arial"/>
        <color rgb="FF1155CC"/>
        <sz val="10.0"/>
        <u/>
      </rPr>
      <t>https://drive.google.com/drive/folders/1jG7uuWa0susUWIoodqE5ikLrGrfQZgvp?usp=sharing</t>
    </r>
    <r>
      <rPr>
        <rFont val="Arial"/>
        <color rgb="FF000000"/>
        <sz val="10.0"/>
      </rPr>
      <t xml:space="preserve"> </t>
    </r>
    <r>
      <rPr>
        <rFont val="Arial"/>
        <color rgb="FF1155CC"/>
        <sz val="10.0"/>
        <u/>
      </rPr>
      <t>https://drive.google.com/file/d/1D7SlbqFKMUfkCcKnW61TUiZWg0_xn1Zc/view?usp=sharing</t>
    </r>
  </si>
  <si>
    <t>Numero de asociaciones capacitadas/Numero asociaciones programadas</t>
  </si>
  <si>
    <t>Numero de personas Capacitadas en Pesca y Acuícultura las cuales corresponde 2500</t>
  </si>
  <si>
    <t>En este trimestre se cumplió en un en un 125,4% que corresponde a 439 personas capacitadas en Pesca y Acuiculta; lo cual supero la meta programada, debido a la demanda de solicitudes pidiendo capacitaciones de parte de las asociaciones y al cumplimiento que ha tenido la entidad en los diferentes  programas de Pesca y Acuicultura y actividades conexas en estos últimos años.</t>
  </si>
  <si>
    <t>https://drive.google.com/file/d/1JEKV34wvF7JSVNs-OPHkf9cFo75ksfHe/view?usp=sharing</t>
  </si>
  <si>
    <t>Regional Medellín</t>
  </si>
  <si>
    <t>Operativos de control a la actividad pesquera realizados</t>
  </si>
  <si>
    <t>Realizar eventos de divulgación y socialización apoyados en pro de disminuir las malas prácticas , en el ejercicio del control y vigilancia preventiva de la actividad pesquera y acuícola.</t>
  </si>
  <si>
    <t>Regional Medellin</t>
  </si>
  <si>
    <t>CARLOS MARIO ZAPATA MORALES</t>
  </si>
  <si>
    <t>DIRECTOR REGIONAL MEDILLIN</t>
  </si>
  <si>
    <t>CARLOS.ZAPATA@AUNAP.GOV.CO</t>
  </si>
  <si>
    <t>SE APROVECHARON LOS ESPACIOS PARA LA DIVULGACION Y FROTALECIMIENTO DE LAS MEDIDAS DE CONTROL Y ADMINISTRATIVAS EN LAS LOCALIDADES</t>
  </si>
  <si>
    <t>TRIMESTRE 1 REG MEDELLIN</t>
  </si>
  <si>
    <t>Atender trámites</t>
  </si>
  <si>
    <t>EL INDICADOR SE BASA EN LA DEMANDA DEL SERVICIO POR PARTE DE LOS USUARIOS Y LAS DINAMICAS COMERCIALES EN LAS DIFERENTES REGIONES</t>
  </si>
  <si>
    <t>TRAMITES TRIMESTRE 1 2021</t>
  </si>
  <si>
    <t>Número de asociaciones capacitadas/número de capacitacio a asociaciones programadas.</t>
  </si>
  <si>
    <t>Capacitadar asociaciones en temas de pesca y acuicultura</t>
  </si>
  <si>
    <t>SE ADELANTAN ACCIONES DE ORDENACION EN URABA, CAUCASIA Y BAHIA SOLANO, POR LO QUE SE PERM,ITE CUMPLIR LA META</t>
  </si>
  <si>
    <t>Número de capacitaciones realizadas/número de capacitaciones programadas.</t>
  </si>
  <si>
    <t>Capacitar a los grupos de interés en asociatividad y normatividad para el ejercicio de la acuicultura y pesca y actividades conexas</t>
  </si>
  <si>
    <t>EL TRABAJO SE CONCENTRO EN EL LITORAL PACIFICO, URABA Y BAJO CAUCA POR SUS CONDICIONES SOCIALES, QUEDANDO PROGRAMADO PARA LAS DEMAS AREAS DE COBERTURA DE LA REGIONAL</t>
  </si>
  <si>
    <t>Número de personas capacitadas/número de personas programadas</t>
  </si>
  <si>
    <t>Capacitar a Personas en normatividad y procedimientos para el ejercicio de la acuicultura</t>
  </si>
  <si>
    <t>POR LAS DIFICULTADES DERIVADAS DE LA PANDEMIA SE UTILIZAN LOS ESPACIOS CON LA COMUNIDAD PARA ADELANTAR LAS CAPACITACIONES Y TEMAS INDICADOS EN EL PLAN DE ACCION</t>
  </si>
  <si>
    <t>Número de personas capacitadas en BPM/Número de personas programadas.</t>
  </si>
  <si>
    <t>Capacitar a Personas en buenas practicas pesqueras (BPP) y buenas practicas de manufactura (BPM)</t>
  </si>
  <si>
    <t>SE PRESENTA DIFICULTAD EN LAS CONVOCATORIAS HACIA LA COMUNIDAD POR SITUACIONES DE ORDEN PUBLICO Y PROBLEMAS DERIVADAS DE LA PANDEMIS.</t>
  </si>
  <si>
    <t>Número de capacitaciones realizadas/Número de capacitaciones programadas.</t>
  </si>
  <si>
    <t>Realizar capacitaciones en normatividad y medidas de inspección y vigilancia de la actividad pesquera y acuícola</t>
  </si>
  <si>
    <t xml:space="preserve">SE DESARROLLARON CAPACITACIONES CON AUTORIDADES  Y FUNCIONARIOS DE LAS CORPORACIONES Y DE LAS ADMIISTRACIONES MUNICIPALES Y CONCEJOS COMUNITARIOS COMO AUTORIDADES DE TERRIORORIO </t>
  </si>
  <si>
    <t>Número de campañas de divulgaciones y promoción realizadas/Número de campañas de divulgación y promoción programadas</t>
  </si>
  <si>
    <t>Realizar campañas de divulgación y promoción a nivel nacional, sobre normatividad de pesca y acuicultura</t>
  </si>
  <si>
    <t>POR LA VINCULACION TARDIA DE LOS FUNCIONARIOS, LAS DIFICULTADES LOGISTICAS EN ALGUNOS TERRIOTRIOS, NO FUE POSIBLE EL CUMPLIMIENTO TOTAL DE LO PROGRAMADO</t>
  </si>
  <si>
    <t>TRIMESTRE I REG MEDELLIN</t>
  </si>
  <si>
    <t>Número de pescadores artesanales formalizados/Número de pescadores artesanales programados</t>
  </si>
  <si>
    <t>META ATENDIDA POR DEMANDA DE LOS USUARIOS</t>
  </si>
  <si>
    <t>INCREMENTO DE ACTIVIDADES POR LA VINCULACION DE CONTRATISTAS Y OPERATIVOS DE SEMANA SANTA Y SUBIENDA EN EL RIO ATRATO.</t>
  </si>
  <si>
    <t>EVIDENCIA OPERATIVOS REG MEDELLIN</t>
  </si>
  <si>
    <t>Regional Villavicencio</t>
  </si>
  <si>
    <t>Maritza Casallas Delgado</t>
  </si>
  <si>
    <t>maritza.casallas@aunap.gov.co</t>
  </si>
  <si>
    <t>CUMPLIMIENTO AL 133% DE LOS TRÁMITES DE PERMISOS MEDIANTE EXPEDICIÓN DE CONCEPTOS TÉCNICOS EN LA DRV, DURANTE ENERO, FEBRERO Y MARZO DE 2021</t>
  </si>
  <si>
    <t>https://docs.google.com/spreadsheets/d/1v74tiL7RLM3kTXgc2fCKgyIWqLsacN2e6runuwf-HYo/edit#gid=1957705063</t>
  </si>
  <si>
    <t>CUMPLIMIENTO AL 220% DE CAPACITACIONES REALIZADAS A ASOCIACIONES EN LA DRV DURANTE ENERO, FEBRERO Y MARZO DE 2021</t>
  </si>
  <si>
    <t>https://drive.google.com/drive/folders/1lJta8_iWQrmeCBXaeLtXcaedXwuVzCjf?usp=sharing</t>
  </si>
  <si>
    <t>Capacitación a los grupos de interés</t>
  </si>
  <si>
    <t>CUMPLIMIENTO AL 100% DE CAPACITACIONES REALIZADAS A GRUPOS DE INTERÉS EN LA DRV DURANTE ENERO, FEBRERO Y MARZO DE 2021</t>
  </si>
  <si>
    <t>https://drive.google.com/drive/u/0/folders/1dVDxnwaJ51n1RAgkoq63dyUkEyqckfoq</t>
  </si>
  <si>
    <t>Desarrollar actividades orientadas a sensibilizar a la población dedicada a la actividad pesquera y la acuicultura, en normatividad y medidas de ordenación de la pesca y acuicultura en Colombia.</t>
  </si>
  <si>
    <t>CUMPLIMIENTO AL 100% DE ACTIVIDADES  REALIZADAS DE PREVEDA EN LA DRV DURANTE ENERO, FEBRERO Y MARZO DE 2021</t>
  </si>
  <si>
    <t>https://drive.google.com/drive/u/0/folders/1Ra5euOvAwehRJqTNagnXyhscW99BUtVE</t>
  </si>
  <si>
    <t xml:space="preserve">Realizar operativos de control y vigilancia de la actividad pesquera y de la acuicultura y verificar el cumplimiento de  la normatividad pesquera y acuícola en:(Centros de acopio, Puntos de venta, Plazas principales, Muelles de desembarque, Aeropuertos, Vías terrestres y fluviales (incluidos cuerpos de agua) de la regional.
</t>
  </si>
  <si>
    <t>CUMPLIMIENTO AL 103% DE LOS OPERATIVOS REALIZADOS EN LA DRV DURANTE LOS MESES DE ENERO, FEBRERO Y MARZO DE 2021</t>
  </si>
  <si>
    <t>https://drive.google.com/drive/u/0/folders/1jjMn-PR8jM_gFRKbUkhzud-CKWQlp0YJ</t>
  </si>
  <si>
    <t>Pescadores formalizadas</t>
  </si>
  <si>
    <t>CUMPLIMIENTO AL 176% DE LOS CARNÉS DE PESCA ARTESANAL COMERCIAL EXPEDIDOS, DURANTE LOS MESES DE ENERO, FEBRERO Y MARZO DE 2021, EN LA DRV</t>
  </si>
  <si>
    <t>https://drive.google.com/drive/u/0/folders/133r27BB-bHxNWEU5OzSpaHVfwRZpLo5x</t>
  </si>
  <si>
    <t>No de percadores formalizados</t>
  </si>
  <si>
    <t>Promover la formalización de pescadores mediante la entrega del carnet de pesca deportiva</t>
  </si>
  <si>
    <t>CUMPLIMIENTO AL 234% DE LOS CARNÉS DE PESCA DEPORTIVA EXPEDIDOS EN LA DRV, DURANTE ENERO, FEBRERO Y MARZO DE 2021</t>
  </si>
  <si>
    <t>https://drive.google.com/drive/u/0/folders/1nioNz4GRKVM2IpDstxUxlJ7CvKg7x8K-</t>
  </si>
  <si>
    <t>No. depersonas  con beneficio de inclusion productiva</t>
  </si>
  <si>
    <t>Beneficiarios con estrategias de inclusión productiva</t>
  </si>
  <si>
    <t>CUMPLIMIENTO AL 111% DE LOS BENEFICIARIOS DE CONTRATOS DE COSECHE Y VENDA A LA FIJA EN LA DRV, DURANTE ENERO, FEBRERO Y MARZO DE 2021</t>
  </si>
  <si>
    <t>https://docs.google.com/spreadsheets/d/1IEbYLd9xm15Dfd4332eSqZ2sHrnPohAc/edit#gid=208422635</t>
  </si>
</sst>
</file>

<file path=xl/styles.xml><?xml version="1.0" encoding="utf-8"?>
<styleSheet xmlns="http://schemas.openxmlformats.org/spreadsheetml/2006/main" xmlns:x14ac="http://schemas.microsoft.com/office/spreadsheetml/2009/9/ac" xmlns:mc="http://schemas.openxmlformats.org/markup-compatibility/2006">
  <numFmts count="8">
    <numFmt numFmtId="164" formatCode="dd/mm/yyyy"/>
    <numFmt numFmtId="165" formatCode="D/M/YYYY"/>
    <numFmt numFmtId="166" formatCode="[$ $]#,##0"/>
    <numFmt numFmtId="167" formatCode="d/m/yyyy"/>
    <numFmt numFmtId="168" formatCode="d/M/yyyy"/>
    <numFmt numFmtId="169" formatCode="d/m/yyyy\ h:mm:ss"/>
    <numFmt numFmtId="170" formatCode="#,##0.0"/>
    <numFmt numFmtId="171" formatCode="# &quot;días&quot;"/>
  </numFmts>
  <fonts count="34">
    <font>
      <sz val="11.0"/>
      <color theme="1"/>
      <name val="Arial"/>
      <scheme val="minor"/>
    </font>
    <font>
      <b/>
      <sz val="12.0"/>
      <color rgb="FFFFFFFF"/>
      <name val="Merriweather"/>
    </font>
    <font>
      <b/>
      <sz val="15.0"/>
      <color rgb="FFFFFFFF"/>
      <name val="Calibri"/>
    </font>
    <font>
      <b/>
      <u/>
      <sz val="12.0"/>
      <color rgb="FFFFFFFF"/>
      <name val="Merriweather"/>
    </font>
    <font>
      <color theme="1"/>
      <name val="Arial"/>
    </font>
    <font>
      <sz val="10.0"/>
      <color theme="1"/>
      <name val="Arial"/>
    </font>
    <font>
      <sz val="10.0"/>
      <color rgb="FF000000"/>
      <name val="Calibri"/>
    </font>
    <font>
      <color theme="1"/>
      <name val="Arial"/>
      <scheme val="minor"/>
    </font>
    <font>
      <b/>
      <sz val="10.0"/>
      <color rgb="FF000000"/>
      <name val="Arial"/>
    </font>
    <font>
      <b/>
      <sz val="10.0"/>
      <color rgb="FFFFFFFF"/>
      <name val="Arial"/>
    </font>
    <font/>
    <font>
      <b/>
      <color rgb="FFFFFFFF"/>
      <name val="Arial"/>
    </font>
    <font>
      <sz val="11.0"/>
      <color rgb="FF000000"/>
      <name val="Arial"/>
    </font>
    <font>
      <b/>
      <sz val="10.0"/>
      <color rgb="FFFFFFFF"/>
      <name val="Roboto"/>
    </font>
    <font>
      <b/>
      <sz val="9.0"/>
      <color rgb="FFFFFFFF"/>
      <name val="Arial"/>
    </font>
    <font>
      <sz val="10.0"/>
      <color rgb="FF000000"/>
      <name val="Arial"/>
    </font>
    <font>
      <sz val="11.0"/>
      <color theme="1"/>
      <name val="Arial"/>
    </font>
    <font>
      <color rgb="FF000000"/>
      <name val="Arial"/>
    </font>
    <font>
      <u/>
      <sz val="11.0"/>
      <color rgb="FF0000FF"/>
      <name val="Arial"/>
    </font>
    <font>
      <u/>
      <sz val="11.0"/>
      <color theme="1"/>
      <name val="Arial"/>
    </font>
    <font>
      <b/>
      <sz val="36.0"/>
      <color rgb="FF000000"/>
      <name val="Arial"/>
    </font>
    <font>
      <b/>
      <sz val="14.0"/>
      <color rgb="FF000000"/>
      <name val="Arial"/>
    </font>
    <font>
      <b/>
      <sz val="18.0"/>
      <color rgb="FF000000"/>
      <name val="Arial"/>
    </font>
    <font>
      <color rgb="FFFFFFFF"/>
      <name val="Arial"/>
    </font>
    <font>
      <b/>
      <sz val="11.0"/>
      <color rgb="FFFFFFFF"/>
      <name val="Arial"/>
    </font>
    <font>
      <b/>
      <sz val="12.0"/>
      <color rgb="FFFFFFFF"/>
      <name val="Arial"/>
    </font>
    <font>
      <sz val="10.0"/>
      <color rgb="FF1155CC"/>
      <name val="Arial"/>
    </font>
    <font>
      <sz val="8.0"/>
      <color rgb="FF000000"/>
      <name val="Arial"/>
    </font>
    <font>
      <u/>
      <sz val="10.0"/>
      <color rgb="FF1155CC"/>
      <name val="Arial"/>
    </font>
    <font>
      <sz val="10.0"/>
      <color rgb="FF000000"/>
      <name val="&quot;Arial Narrow&quot;"/>
    </font>
    <font>
      <u/>
      <sz val="10.0"/>
      <color rgb="FF1155CC"/>
      <name val="Arial"/>
    </font>
    <font>
      <i/>
      <u/>
      <sz val="10.0"/>
      <color rgb="FF1155CC"/>
      <name val="Arial"/>
    </font>
    <font>
      <u/>
      <sz val="10.0"/>
      <color rgb="FF1155CC"/>
      <name val="Arial"/>
    </font>
    <font>
      <u/>
      <color rgb="FF1155CC"/>
      <name val="Arial"/>
    </font>
  </fonts>
  <fills count="9">
    <fill>
      <patternFill patternType="none"/>
    </fill>
    <fill>
      <patternFill patternType="lightGray"/>
    </fill>
    <fill>
      <patternFill patternType="solid">
        <fgColor rgb="FF2888F7"/>
        <bgColor rgb="FF2888F7"/>
      </patternFill>
    </fill>
    <fill>
      <patternFill patternType="solid">
        <fgColor rgb="FFFFFFFF"/>
        <bgColor rgb="FFFFFFFF"/>
      </patternFill>
    </fill>
    <fill>
      <patternFill patternType="solid">
        <fgColor rgb="FF3C78D8"/>
        <bgColor rgb="FF3C78D8"/>
      </patternFill>
    </fill>
    <fill>
      <patternFill patternType="solid">
        <fgColor rgb="FFFFF2CC"/>
        <bgColor rgb="FFFFF2CC"/>
      </patternFill>
    </fill>
    <fill>
      <patternFill patternType="solid">
        <fgColor rgb="FFEFEFEF"/>
        <bgColor rgb="FFEFEFEF"/>
      </patternFill>
    </fill>
    <fill>
      <patternFill patternType="solid">
        <fgColor rgb="FFFFE599"/>
        <bgColor rgb="FFFFE599"/>
      </patternFill>
    </fill>
    <fill>
      <patternFill patternType="solid">
        <fgColor rgb="FFCFE2F3"/>
        <bgColor rgb="FFCFE2F3"/>
      </patternFill>
    </fill>
  </fills>
  <borders count="30">
    <border/>
    <border>
      <top style="thin">
        <color rgb="FFFFFFFF"/>
      </top>
      <bottom style="thin">
        <color rgb="FFFFFFFF"/>
      </bottom>
    </border>
    <border>
      <left style="thin">
        <color rgb="FF1155CC"/>
      </left>
      <top style="thin">
        <color rgb="FF1155CC"/>
      </top>
      <bottom style="thin">
        <color rgb="FF1155CC"/>
      </bottom>
    </border>
    <border>
      <top style="thin">
        <color rgb="FF1155CC"/>
      </top>
      <bottom style="thin">
        <color rgb="FF1155CC"/>
      </bottom>
    </border>
    <border>
      <right style="thin">
        <color rgb="FF1155CC"/>
      </right>
      <top style="thin">
        <color rgb="FF1155CC"/>
      </top>
      <bottom style="thin">
        <color rgb="FF1155CC"/>
      </bottom>
    </border>
    <border>
      <left style="thin">
        <color rgb="FFFFFFFF"/>
      </left>
      <top style="thin">
        <color rgb="FF2888F7"/>
      </top>
      <bottom style="thin">
        <color rgb="FFFFFFFF"/>
      </bottom>
    </border>
    <border>
      <top style="thin">
        <color rgb="FF2888F7"/>
      </top>
      <bottom style="thin">
        <color rgb="FFFFFFFF"/>
      </bottom>
    </border>
    <border>
      <right style="thin">
        <color rgb="FFFFFFFF"/>
      </right>
      <top style="thin">
        <color rgb="FF2888F7"/>
      </top>
      <bottom style="thin">
        <color rgb="FFFFFFFF"/>
      </bottom>
    </border>
    <border>
      <right style="medium">
        <color rgb="FF2888F7"/>
      </right>
      <top style="thin">
        <color rgb="FF2888F7"/>
      </top>
      <bottom style="thin">
        <color rgb="FFFFFFFF"/>
      </bottom>
    </border>
    <border>
      <left style="thin">
        <color rgb="FF000000"/>
      </left>
      <right style="thin">
        <color rgb="FF000000"/>
      </right>
      <top style="thin">
        <color rgb="FF000000"/>
      </top>
      <bottom style="thin">
        <color rgb="FF000000"/>
      </bottom>
    </border>
    <border>
      <left style="thin">
        <color rgb="FF1155CC"/>
      </left>
      <right style="thin">
        <color rgb="FF1155CC"/>
      </right>
      <top style="thin">
        <color rgb="FF1155CC"/>
      </top>
      <bottom style="thin">
        <color rgb="FF1155CC"/>
      </bottom>
    </border>
    <border>
      <left style="thin">
        <color rgb="FFFFFFFF"/>
      </left>
      <right style="thin">
        <color rgb="FFFFFFFF"/>
      </right>
      <bottom style="thin">
        <color rgb="FFFFFFFF"/>
      </bottom>
    </border>
    <border>
      <left style="thin">
        <color rgb="FFFFFFFF"/>
      </left>
      <bottom style="thin">
        <color rgb="FFFFFFFF"/>
      </bottom>
    </border>
    <border>
      <left style="thin">
        <color rgb="FFFFFFFF"/>
      </left>
      <right style="medium">
        <color rgb="FF2888F7"/>
      </right>
      <top style="thin">
        <color rgb="FFFFFFFF"/>
      </top>
      <bottom style="thin">
        <color rgb="FFFFFFFF"/>
      </bottom>
    </border>
    <border>
      <left style="thin">
        <color rgb="FFFFFFFF"/>
      </left>
      <right style="thin">
        <color rgb="FFFFFFFF"/>
      </right>
      <top style="thin">
        <color rgb="FFFFFFFF"/>
      </top>
      <bottom style="thin">
        <color rgb="FFFFFFFF"/>
      </bottom>
    </border>
    <border>
      <right style="thin">
        <color rgb="FF000000"/>
      </right>
      <top style="thin">
        <color rgb="FF000000"/>
      </top>
      <bottom style="thin">
        <color rgb="FF000000"/>
      </bottom>
    </border>
    <border>
      <left/>
      <right/>
      <top/>
      <bottom/>
    </border>
    <border>
      <left style="thin">
        <color rgb="FF3C78D8"/>
      </left>
      <right style="thin">
        <color rgb="FF3C78D8"/>
      </right>
      <top style="thin">
        <color rgb="FF3C78D8"/>
      </top>
      <bottom style="thin">
        <color rgb="FF3C78D8"/>
      </bottom>
    </border>
    <border>
      <left style="thin">
        <color rgb="FF3C78D8"/>
      </left>
      <right style="thin">
        <color rgb="FF3C78D8"/>
      </right>
      <bottom style="thin">
        <color rgb="FF3C78D8"/>
      </bottom>
    </border>
    <border>
      <right style="thin">
        <color rgb="FF3C78D8"/>
      </right>
      <bottom style="thin">
        <color rgb="FF3C78D8"/>
      </bottom>
    </border>
    <border>
      <left style="thin">
        <color rgb="FF2888F7"/>
      </left>
      <bottom style="thin">
        <color rgb="FF2888F7"/>
      </bottom>
    </border>
    <border>
      <left style="medium">
        <color rgb="FF2888F7"/>
      </left>
      <right style="thin">
        <color rgb="FF2888F7"/>
      </right>
      <bottom style="thin">
        <color rgb="FF2888F7"/>
      </bottom>
    </border>
    <border>
      <left style="thin">
        <color rgb="FF2888F7"/>
      </left>
      <right style="thin">
        <color rgb="FF2888F7"/>
      </right>
      <bottom style="thin">
        <color rgb="FF2888F7"/>
      </bottom>
    </border>
    <border>
      <right style="thin">
        <color rgb="FF2888F7"/>
      </right>
      <bottom style="thin">
        <color rgb="FF2888F7"/>
      </bottom>
    </border>
    <border>
      <left style="thin">
        <color rgb="FF2888F7"/>
      </left>
      <right style="medium">
        <color rgb="FF2888F7"/>
      </right>
      <bottom style="thin">
        <color rgb="FF2888F7"/>
      </bottom>
    </border>
    <border>
      <right style="thin">
        <color rgb="FF3C78D8"/>
      </right>
      <top style="thin">
        <color rgb="FF3C78D8"/>
      </top>
      <bottom style="thin">
        <color rgb="FF3C78D8"/>
      </bottom>
    </border>
    <border>
      <left/>
      <right/>
      <top style="thin">
        <color rgb="FF3C78D8"/>
      </top>
      <bottom/>
    </border>
    <border>
      <top style="thin">
        <color rgb="FF3C78D8"/>
      </top>
    </border>
    <border>
      <right style="thin">
        <color rgb="FF3C78D8"/>
      </right>
    </border>
    <border>
      <left style="thin">
        <color rgb="FF000000"/>
      </left>
      <right style="thin">
        <color rgb="FF000000"/>
      </right>
      <bottom style="thin">
        <color rgb="FF000000"/>
      </bottom>
    </border>
  </borders>
  <cellStyleXfs count="1">
    <xf borderId="0" fillId="0" fontId="0" numFmtId="0" applyAlignment="1" applyFont="1"/>
  </cellStyleXfs>
  <cellXfs count="153">
    <xf borderId="0" fillId="0" fontId="0" numFmtId="0" xfId="0" applyAlignment="1" applyFont="1">
      <alignment readingOrder="0" shrinkToFit="0" vertical="bottom" wrapText="0"/>
    </xf>
    <xf borderId="0" fillId="0" fontId="1" numFmtId="0" xfId="0" applyAlignment="1" applyFont="1">
      <alignment horizontal="center" vertical="center"/>
    </xf>
    <xf borderId="0" fillId="0" fontId="2" numFmtId="0" xfId="0" applyAlignment="1" applyFont="1">
      <alignment horizontal="center" vertical="center"/>
    </xf>
    <xf borderId="1" fillId="2" fontId="3" numFmtId="0" xfId="0" applyAlignment="1" applyBorder="1" applyFill="1" applyFont="1">
      <alignment horizontal="center" vertical="center"/>
    </xf>
    <xf borderId="0" fillId="0" fontId="2" numFmtId="0" xfId="0" applyAlignment="1" applyFont="1">
      <alignment horizontal="center" shrinkToFit="0" vertical="center" wrapText="1"/>
    </xf>
    <xf borderId="0" fillId="0" fontId="4" numFmtId="0" xfId="0" applyAlignment="1" applyFont="1">
      <alignment horizontal="center" vertical="center"/>
    </xf>
    <xf borderId="0" fillId="0" fontId="5" numFmtId="0" xfId="0" applyAlignment="1" applyFont="1">
      <alignment shrinkToFit="0" vertical="center" wrapText="1"/>
    </xf>
    <xf borderId="0" fillId="0" fontId="5" numFmtId="0" xfId="0" applyAlignment="1" applyFont="1">
      <alignment vertical="center"/>
    </xf>
    <xf borderId="0" fillId="3" fontId="6" numFmtId="0" xfId="0" applyAlignment="1" applyFill="1" applyFont="1">
      <alignment horizontal="left" shrinkToFit="0" vertical="center" wrapText="1"/>
    </xf>
    <xf borderId="0" fillId="0" fontId="5" numFmtId="0" xfId="0" applyAlignment="1" applyFont="1">
      <alignment horizontal="center" vertical="center"/>
    </xf>
    <xf borderId="0" fillId="0" fontId="7" numFmtId="164" xfId="0" applyAlignment="1" applyFont="1" applyNumberFormat="1">
      <alignment readingOrder="0"/>
    </xf>
    <xf borderId="0" fillId="0" fontId="5" numFmtId="0" xfId="0" applyFont="1"/>
    <xf borderId="0" fillId="0" fontId="8" numFmtId="0" xfId="0" applyAlignment="1" applyFont="1">
      <alignment horizontal="center" shrinkToFit="0" wrapText="1"/>
    </xf>
    <xf borderId="0" fillId="0" fontId="8" numFmtId="9" xfId="0" applyAlignment="1" applyFont="1" applyNumberFormat="1">
      <alignment horizontal="center" shrinkToFit="0" wrapText="1"/>
    </xf>
    <xf borderId="2" fillId="4" fontId="9" numFmtId="0" xfId="0" applyAlignment="1" applyBorder="1" applyFill="1" applyFont="1">
      <alignment horizontal="center" shrinkToFit="0" vertical="center" wrapText="1"/>
    </xf>
    <xf borderId="3" fillId="0" fontId="10" numFmtId="0" xfId="0" applyBorder="1" applyFont="1"/>
    <xf borderId="4" fillId="0" fontId="10" numFmtId="0" xfId="0" applyBorder="1" applyFont="1"/>
    <xf borderId="5" fillId="2" fontId="9" numFmtId="0" xfId="0" applyAlignment="1" applyBorder="1" applyFont="1">
      <alignment horizontal="center" shrinkToFit="0" vertical="center" wrapText="1"/>
    </xf>
    <xf borderId="6" fillId="0" fontId="10" numFmtId="0" xfId="0" applyBorder="1" applyFont="1"/>
    <xf borderId="7" fillId="0" fontId="10" numFmtId="0" xfId="0" applyBorder="1" applyFont="1"/>
    <xf borderId="8" fillId="0" fontId="10" numFmtId="0" xfId="0" applyBorder="1" applyFont="1"/>
    <xf borderId="0" fillId="0" fontId="4" numFmtId="0" xfId="0" applyFont="1"/>
    <xf borderId="0" fillId="4" fontId="11" numFmtId="0" xfId="0" applyAlignment="1" applyFont="1">
      <alignment horizontal="center" vertical="center"/>
    </xf>
    <xf borderId="9" fillId="0" fontId="12" numFmtId="0" xfId="0" applyAlignment="1" applyBorder="1" applyFont="1">
      <alignment horizontal="center" shrinkToFit="0" vertical="center" wrapText="0"/>
    </xf>
    <xf borderId="0" fillId="0" fontId="5" numFmtId="0" xfId="0" applyAlignment="1" applyFont="1">
      <alignment horizontal="center" shrinkToFit="0" vertical="center" wrapText="1"/>
    </xf>
    <xf borderId="10" fillId="4" fontId="9" numFmtId="0" xfId="0" applyAlignment="1" applyBorder="1" applyFont="1">
      <alignment horizontal="center" shrinkToFit="0" vertical="center" wrapText="1"/>
    </xf>
    <xf borderId="10" fillId="4" fontId="9" numFmtId="165" xfId="0" applyAlignment="1" applyBorder="1" applyFont="1" applyNumberFormat="1">
      <alignment horizontal="center" shrinkToFit="0" vertical="center" wrapText="1"/>
    </xf>
    <xf borderId="10" fillId="4" fontId="13" numFmtId="0" xfId="0" applyAlignment="1" applyBorder="1" applyFont="1">
      <alignment horizontal="center" shrinkToFit="0" vertical="center" wrapText="1"/>
    </xf>
    <xf borderId="10" fillId="4" fontId="9" numFmtId="3" xfId="0" applyAlignment="1" applyBorder="1" applyFont="1" applyNumberFormat="1">
      <alignment horizontal="center" shrinkToFit="0" vertical="center" wrapText="1"/>
    </xf>
    <xf borderId="10" fillId="4" fontId="9" numFmtId="9" xfId="0" applyAlignment="1" applyBorder="1" applyFont="1" applyNumberFormat="1">
      <alignment horizontal="center" shrinkToFit="0" vertical="center" wrapText="1"/>
    </xf>
    <xf borderId="11" fillId="2" fontId="9" numFmtId="0" xfId="0" applyAlignment="1" applyBorder="1" applyFont="1">
      <alignment horizontal="center" shrinkToFit="0" vertical="center" wrapText="1"/>
    </xf>
    <xf borderId="12" fillId="2" fontId="9" numFmtId="0" xfId="0" applyAlignment="1" applyBorder="1" applyFont="1">
      <alignment horizontal="center" shrinkToFit="0" vertical="center" wrapText="1"/>
    </xf>
    <xf borderId="13" fillId="2" fontId="9" numFmtId="0" xfId="0" applyAlignment="1" applyBorder="1" applyFont="1">
      <alignment horizontal="center" shrinkToFit="0" vertical="center" wrapText="1"/>
    </xf>
    <xf borderId="14" fillId="4" fontId="9" numFmtId="3" xfId="0" applyAlignment="1" applyBorder="1" applyFont="1" applyNumberFormat="1">
      <alignment horizontal="center" shrinkToFit="0" vertical="center" wrapText="1"/>
    </xf>
    <xf borderId="14" fillId="4" fontId="14" numFmtId="3" xfId="0" applyAlignment="1" applyBorder="1" applyFont="1" applyNumberFormat="1">
      <alignment horizontal="center" shrinkToFit="0" vertical="center" wrapText="1"/>
    </xf>
    <xf borderId="15" fillId="4" fontId="9" numFmtId="165" xfId="0" applyAlignment="1" applyBorder="1" applyFont="1" applyNumberFormat="1">
      <alignment horizontal="center" shrinkToFit="0" vertical="center" wrapText="1"/>
    </xf>
    <xf borderId="9" fillId="4" fontId="9" numFmtId="165" xfId="0" applyAlignment="1" applyBorder="1" applyFont="1" applyNumberFormat="1">
      <alignment horizontal="center" shrinkToFit="0" vertical="center" wrapText="1"/>
    </xf>
    <xf borderId="16" fillId="3" fontId="15" numFmtId="0" xfId="0" applyAlignment="1" applyBorder="1" applyFont="1">
      <alignment horizontal="center" shrinkToFit="0" vertical="center" wrapText="1"/>
    </xf>
    <xf borderId="17" fillId="3" fontId="15" numFmtId="0" xfId="0" applyAlignment="1" applyBorder="1" applyFont="1">
      <alignment horizontal="center" shrinkToFit="0" vertical="center" wrapText="1"/>
    </xf>
    <xf borderId="17" fillId="0" fontId="15" numFmtId="165" xfId="0" applyAlignment="1" applyBorder="1" applyFont="1" applyNumberFormat="1">
      <alignment horizontal="center" shrinkToFit="0" vertical="center" wrapText="1"/>
    </xf>
    <xf borderId="17" fillId="0" fontId="15" numFmtId="0" xfId="0" applyAlignment="1" applyBorder="1" applyFont="1">
      <alignment horizontal="center" shrinkToFit="0" vertical="center" wrapText="1"/>
    </xf>
    <xf borderId="17" fillId="0" fontId="15" numFmtId="0" xfId="0" applyAlignment="1" applyBorder="1" applyFont="1">
      <alignment horizontal="center" vertical="center"/>
    </xf>
    <xf borderId="17" fillId="0" fontId="15" numFmtId="166" xfId="0" applyAlignment="1" applyBorder="1" applyFont="1" applyNumberFormat="1">
      <alignment horizontal="center" vertical="center"/>
    </xf>
    <xf borderId="17" fillId="0" fontId="15" numFmtId="4" xfId="0" applyAlignment="1" applyBorder="1" applyFont="1" applyNumberFormat="1">
      <alignment horizontal="center" shrinkToFit="0" vertical="center" wrapText="1"/>
    </xf>
    <xf borderId="17" fillId="0" fontId="15" numFmtId="3" xfId="0" applyAlignment="1" applyBorder="1" applyFont="1" applyNumberFormat="1">
      <alignment horizontal="center" vertical="center"/>
    </xf>
    <xf borderId="18" fillId="0" fontId="15" numFmtId="3" xfId="0" applyAlignment="1" applyBorder="1" applyFont="1" applyNumberFormat="1">
      <alignment horizontal="center" vertical="center"/>
    </xf>
    <xf borderId="17" fillId="0" fontId="15" numFmtId="166" xfId="0" applyAlignment="1" applyBorder="1" applyFont="1" applyNumberFormat="1">
      <alignment horizontal="center" shrinkToFit="0" vertical="center" wrapText="1"/>
    </xf>
    <xf borderId="17" fillId="0" fontId="15" numFmtId="3" xfId="0" applyAlignment="1" applyBorder="1" applyFont="1" applyNumberFormat="1">
      <alignment horizontal="center" shrinkToFit="0" vertical="center" wrapText="1"/>
    </xf>
    <xf borderId="17" fillId="0" fontId="15" numFmtId="49" xfId="0" applyAlignment="1" applyBorder="1" applyFont="1" applyNumberFormat="1">
      <alignment horizontal="center" shrinkToFit="0" vertical="center" wrapText="1"/>
    </xf>
    <xf borderId="17" fillId="0" fontId="15" numFmtId="165" xfId="0" applyAlignment="1" applyBorder="1" applyFont="1" applyNumberFormat="1">
      <alignment horizontal="center" vertical="center"/>
    </xf>
    <xf borderId="18" fillId="5" fontId="16" numFmtId="9" xfId="0" applyAlignment="1" applyBorder="1" applyFill="1" applyFont="1" applyNumberFormat="1">
      <alignment shrinkToFit="0" vertical="center" wrapText="1"/>
    </xf>
    <xf borderId="19" fillId="5" fontId="16" numFmtId="165" xfId="0" applyAlignment="1" applyBorder="1" applyFont="1" applyNumberFormat="1">
      <alignment shrinkToFit="0" vertical="center" wrapText="1"/>
    </xf>
    <xf borderId="19" fillId="6" fontId="17" numFmtId="165" xfId="0" applyAlignment="1" applyBorder="1" applyFill="1" applyFont="1" applyNumberFormat="1">
      <alignment horizontal="center" shrinkToFit="0" vertical="center" wrapText="1"/>
    </xf>
    <xf borderId="19" fillId="0" fontId="16" numFmtId="165" xfId="0" applyAlignment="1" applyBorder="1" applyFont="1" applyNumberFormat="1">
      <alignment shrinkToFit="0" vertical="center" wrapText="1"/>
    </xf>
    <xf borderId="19" fillId="0" fontId="16" numFmtId="9" xfId="0" applyAlignment="1" applyBorder="1" applyFont="1" applyNumberFormat="1">
      <alignment horizontal="center" shrinkToFit="0" vertical="center" wrapText="1"/>
    </xf>
    <xf borderId="20" fillId="6" fontId="5" numFmtId="0" xfId="0" applyAlignment="1" applyBorder="1" applyFont="1">
      <alignment vertical="center"/>
    </xf>
    <xf borderId="21" fillId="7" fontId="5" numFmtId="0" xfId="0" applyAlignment="1" applyBorder="1" applyFill="1" applyFont="1">
      <alignment vertical="center"/>
    </xf>
    <xf borderId="22" fillId="7" fontId="5" numFmtId="0" xfId="0" applyAlignment="1" applyBorder="1" applyFont="1">
      <alignment vertical="center"/>
    </xf>
    <xf borderId="22" fillId="6" fontId="5" numFmtId="164" xfId="0" applyAlignment="1" applyBorder="1" applyFont="1" applyNumberFormat="1">
      <alignment vertical="center"/>
    </xf>
    <xf borderId="22" fillId="8" fontId="5" numFmtId="1" xfId="0" applyAlignment="1" applyBorder="1" applyFill="1" applyFont="1" applyNumberFormat="1">
      <alignment vertical="center"/>
    </xf>
    <xf borderId="22" fillId="6" fontId="5" numFmtId="0" xfId="0" applyAlignment="1" applyBorder="1" applyFont="1">
      <alignment vertical="center"/>
    </xf>
    <xf borderId="23" fillId="7" fontId="5" numFmtId="0" xfId="0" applyAlignment="1" applyBorder="1" applyFont="1">
      <alignment vertical="center"/>
    </xf>
    <xf borderId="22" fillId="6" fontId="5" numFmtId="167" xfId="0" applyAlignment="1" applyBorder="1" applyFont="1" applyNumberFormat="1">
      <alignment vertical="center"/>
    </xf>
    <xf borderId="22" fillId="8" fontId="5" numFmtId="0" xfId="0" applyAlignment="1" applyBorder="1" applyFont="1">
      <alignment vertical="center"/>
    </xf>
    <xf borderId="22" fillId="6" fontId="5" numFmtId="0" xfId="0" applyBorder="1" applyFont="1"/>
    <xf borderId="20" fillId="6" fontId="5" numFmtId="0" xfId="0" applyBorder="1" applyFont="1"/>
    <xf borderId="24" fillId="6" fontId="5" numFmtId="0" xfId="0" applyBorder="1" applyFont="1"/>
    <xf borderId="14" fillId="4" fontId="14" numFmtId="165" xfId="0" applyAlignment="1" applyBorder="1" applyFont="1" applyNumberFormat="1">
      <alignment horizontal="center" shrinkToFit="0" vertical="center" wrapText="1"/>
    </xf>
    <xf borderId="19" fillId="0" fontId="15" numFmtId="3" xfId="0" applyAlignment="1" applyBorder="1" applyFont="1" applyNumberFormat="1">
      <alignment horizontal="center" shrinkToFit="0" vertical="center" wrapText="1"/>
    </xf>
    <xf borderId="18" fillId="0" fontId="15" numFmtId="3" xfId="0" applyAlignment="1" applyBorder="1" applyFont="1" applyNumberFormat="1">
      <alignment horizontal="center" shrinkToFit="0" vertical="center" wrapText="1"/>
    </xf>
    <xf borderId="18" fillId="0" fontId="15" numFmtId="9" xfId="0" applyAlignment="1" applyBorder="1" applyFont="1" applyNumberFormat="1">
      <alignment horizontal="center" shrinkToFit="0" vertical="center" wrapText="1"/>
    </xf>
    <xf borderId="9" fillId="0" fontId="4" numFmtId="0" xfId="0" applyAlignment="1" applyBorder="1" applyFont="1">
      <alignment horizontal="center" vertical="center"/>
    </xf>
    <xf borderId="19" fillId="5" fontId="18" numFmtId="165" xfId="0" applyAlignment="1" applyBorder="1" applyFont="1" applyNumberFormat="1">
      <alignment shrinkToFit="0" vertical="center" wrapText="1"/>
    </xf>
    <xf borderId="25" fillId="0" fontId="15" numFmtId="3" xfId="0" applyAlignment="1" applyBorder="1" applyFont="1" applyNumberFormat="1">
      <alignment horizontal="center" shrinkToFit="0" vertical="center" wrapText="1"/>
    </xf>
    <xf borderId="18" fillId="0" fontId="15" numFmtId="9" xfId="0" applyAlignment="1" applyBorder="1" applyFont="1" applyNumberFormat="1">
      <alignment horizontal="center" vertical="center"/>
    </xf>
    <xf borderId="17" fillId="0" fontId="15" numFmtId="9" xfId="0" applyAlignment="1" applyBorder="1" applyFont="1" applyNumberFormat="1">
      <alignment horizontal="center" shrinkToFit="0" vertical="center" wrapText="1"/>
    </xf>
    <xf borderId="18" fillId="5" fontId="16" numFmtId="3" xfId="0" applyAlignment="1" applyBorder="1" applyFont="1" applyNumberFormat="1">
      <alignment shrinkToFit="0" vertical="center" wrapText="1"/>
    </xf>
    <xf borderId="19" fillId="5" fontId="19" numFmtId="165" xfId="0" applyAlignment="1" applyBorder="1" applyFont="1" applyNumberFormat="1">
      <alignment shrinkToFit="0" vertical="center" wrapText="1"/>
    </xf>
    <xf borderId="18" fillId="5" fontId="16" numFmtId="0" xfId="0" applyAlignment="1" applyBorder="1" applyFont="1">
      <alignment shrinkToFit="0" vertical="center" wrapText="1"/>
    </xf>
    <xf borderId="17" fillId="0" fontId="15" numFmtId="10" xfId="0" applyAlignment="1" applyBorder="1" applyFont="1" applyNumberFormat="1">
      <alignment horizontal="center" vertical="center"/>
    </xf>
    <xf borderId="14" fillId="4" fontId="14" numFmtId="165" xfId="0" applyAlignment="1" applyBorder="1" applyFont="1" applyNumberFormat="1">
      <alignment horizontal="left" shrinkToFit="0" vertical="center" wrapText="1"/>
    </xf>
    <xf borderId="16" fillId="3" fontId="9" numFmtId="0" xfId="0" applyAlignment="1" applyBorder="1" applyFont="1">
      <alignment horizontal="center" shrinkToFit="0" vertical="center" wrapText="1"/>
    </xf>
    <xf borderId="1" fillId="0" fontId="10" numFmtId="0" xfId="0" applyBorder="1" applyFont="1"/>
    <xf borderId="26" fillId="3" fontId="20" numFmtId="0" xfId="0" applyAlignment="1" applyBorder="1" applyFont="1">
      <alignment shrinkToFit="0" vertical="center" wrapText="1"/>
    </xf>
    <xf borderId="27" fillId="0" fontId="5" numFmtId="0" xfId="0" applyBorder="1" applyFont="1"/>
    <xf borderId="0" fillId="0" fontId="21" numFmtId="0" xfId="0" applyAlignment="1" applyFont="1">
      <alignment horizontal="center" shrinkToFit="0" vertical="center" wrapText="1"/>
    </xf>
    <xf borderId="0" fillId="0" fontId="22" numFmtId="9" xfId="0" applyAlignment="1" applyFont="1" applyNumberFormat="1">
      <alignment horizontal="center" vertical="center"/>
    </xf>
    <xf borderId="0" fillId="0" fontId="23" numFmtId="0" xfId="0" applyAlignment="1" applyFont="1">
      <alignment horizontal="center" shrinkToFit="0" wrapText="1"/>
    </xf>
    <xf borderId="0" fillId="0" fontId="23" numFmtId="168" xfId="0" applyAlignment="1" applyFont="1" applyNumberFormat="1">
      <alignment horizontal="center" shrinkToFit="0" wrapText="1"/>
    </xf>
    <xf borderId="0" fillId="0" fontId="23" numFmtId="164" xfId="0" applyAlignment="1" applyFont="1" applyNumberFormat="1">
      <alignment horizontal="center" shrinkToFit="0" wrapText="1"/>
    </xf>
    <xf borderId="0" fillId="0" fontId="24" numFmtId="167" xfId="0" applyFont="1" applyNumberFormat="1"/>
    <xf borderId="0" fillId="0" fontId="25" numFmtId="169" xfId="0" applyFont="1" applyNumberFormat="1"/>
    <xf borderId="16" fillId="3" fontId="8" numFmtId="0" xfId="0" applyAlignment="1" applyBorder="1" applyFont="1">
      <alignment shrinkToFit="0" vertical="top" wrapText="1"/>
    </xf>
    <xf borderId="28" fillId="0" fontId="5" numFmtId="0" xfId="0" applyBorder="1" applyFont="1"/>
    <xf borderId="2" fillId="2" fontId="9" numFmtId="0" xfId="0" applyAlignment="1" applyBorder="1" applyFont="1">
      <alignment horizontal="center" readingOrder="0" shrinkToFit="0" vertical="center" wrapText="1"/>
    </xf>
    <xf borderId="0" fillId="0" fontId="9" numFmtId="165" xfId="0" applyAlignment="1" applyFont="1" applyNumberFormat="1">
      <alignment horizontal="center" shrinkToFit="0" vertical="center" wrapText="1"/>
    </xf>
    <xf borderId="10" fillId="2" fontId="9" numFmtId="0" xfId="0" applyAlignment="1" applyBorder="1" applyFont="1">
      <alignment horizontal="center" shrinkToFit="0" vertical="center" wrapText="1"/>
    </xf>
    <xf borderId="10" fillId="2" fontId="9" numFmtId="165" xfId="0" applyAlignment="1" applyBorder="1" applyFont="1" applyNumberFormat="1">
      <alignment horizontal="center" shrinkToFit="0" vertical="center" wrapText="1"/>
    </xf>
    <xf borderId="10" fillId="2" fontId="13" numFmtId="0" xfId="0" applyAlignment="1" applyBorder="1" applyFont="1">
      <alignment horizontal="center" shrinkToFit="0" vertical="center" wrapText="1"/>
    </xf>
    <xf borderId="10" fillId="2" fontId="9" numFmtId="3" xfId="0" applyAlignment="1" applyBorder="1" applyFont="1" applyNumberFormat="1">
      <alignment horizontal="center" shrinkToFit="0" vertical="center" wrapText="1"/>
    </xf>
    <xf borderId="17" fillId="6" fontId="15" numFmtId="0" xfId="0" applyAlignment="1" applyBorder="1" applyFont="1">
      <alignment horizontal="center" readingOrder="0" shrinkToFit="0" vertical="center" wrapText="1"/>
    </xf>
    <xf borderId="17" fillId="6" fontId="15" numFmtId="0" xfId="0" applyAlignment="1" applyBorder="1" applyFont="1">
      <alignment horizontal="center" readingOrder="0" vertical="center"/>
    </xf>
    <xf borderId="17" fillId="6" fontId="15" numFmtId="166" xfId="0" applyAlignment="1" applyBorder="1" applyFont="1" applyNumberFormat="1">
      <alignment horizontal="center" readingOrder="0" vertical="center"/>
    </xf>
    <xf borderId="17" fillId="6" fontId="15" numFmtId="4" xfId="0" applyAlignment="1" applyBorder="1" applyFont="1" applyNumberFormat="1">
      <alignment horizontal="center" readingOrder="0" shrinkToFit="0" vertical="center" wrapText="1"/>
    </xf>
    <xf borderId="17" fillId="6" fontId="15" numFmtId="3" xfId="0" applyAlignment="1" applyBorder="1" applyFont="1" applyNumberFormat="1">
      <alignment horizontal="center" readingOrder="0" vertical="center"/>
    </xf>
    <xf borderId="18" fillId="6" fontId="15" numFmtId="3" xfId="0" applyAlignment="1" applyBorder="1" applyFont="1" applyNumberFormat="1">
      <alignment horizontal="center" readingOrder="0" vertical="center"/>
    </xf>
    <xf borderId="17" fillId="6" fontId="15" numFmtId="166" xfId="0" applyAlignment="1" applyBorder="1" applyFont="1" applyNumberFormat="1">
      <alignment horizontal="center" readingOrder="0" shrinkToFit="0" vertical="center" wrapText="1"/>
    </xf>
    <xf borderId="17" fillId="6" fontId="15" numFmtId="3" xfId="0" applyAlignment="1" applyBorder="1" applyFont="1" applyNumberFormat="1">
      <alignment horizontal="center" readingOrder="0" shrinkToFit="0" vertical="center" wrapText="1"/>
    </xf>
    <xf borderId="18" fillId="6" fontId="15" numFmtId="170" xfId="0" applyAlignment="1" applyBorder="1" applyFont="1" applyNumberFormat="1">
      <alignment horizontal="center" readingOrder="0" vertical="center"/>
    </xf>
    <xf borderId="17" fillId="6" fontId="15" numFmtId="49" xfId="0" applyAlignment="1" applyBorder="1" applyFont="1" applyNumberFormat="1">
      <alignment horizontal="center" readingOrder="0" shrinkToFit="0" vertical="center" wrapText="1"/>
    </xf>
    <xf borderId="18" fillId="5" fontId="15" numFmtId="9" xfId="0" applyAlignment="1" applyBorder="1" applyFont="1" applyNumberFormat="1">
      <alignment horizontal="center" readingOrder="0" vertical="center"/>
    </xf>
    <xf borderId="17" fillId="5" fontId="15" numFmtId="0" xfId="0" applyAlignment="1" applyBorder="1" applyFont="1">
      <alignment horizontal="center" readingOrder="0" shrinkToFit="0" vertical="center" wrapText="1"/>
    </xf>
    <xf borderId="17" fillId="5" fontId="26" numFmtId="0" xfId="0" applyAlignment="1" applyBorder="1" applyFont="1">
      <alignment horizontal="center" shrinkToFit="0" vertical="center" wrapText="1"/>
    </xf>
    <xf borderId="17" fillId="6" fontId="15" numFmtId="165" xfId="0" applyAlignment="1" applyBorder="1" applyFont="1" applyNumberFormat="1">
      <alignment horizontal="center" shrinkToFit="0" vertical="center" wrapText="1"/>
    </xf>
    <xf borderId="17" fillId="6" fontId="15" numFmtId="171" xfId="0" applyAlignment="1" applyBorder="1" applyFont="1" applyNumberFormat="1">
      <alignment horizontal="center" shrinkToFit="0" vertical="center" wrapText="1"/>
    </xf>
    <xf borderId="17" fillId="6" fontId="27" numFmtId="165" xfId="0" applyAlignment="1" applyBorder="1" applyFont="1" applyNumberFormat="1">
      <alignment horizontal="center" shrinkToFit="0" vertical="center" wrapText="1"/>
    </xf>
    <xf borderId="0" fillId="0" fontId="15" numFmtId="165" xfId="0" applyAlignment="1" applyFont="1" applyNumberFormat="1">
      <alignment horizontal="center" shrinkToFit="0" vertical="center" wrapText="1"/>
    </xf>
    <xf borderId="17" fillId="5" fontId="28" numFmtId="0" xfId="0" applyAlignment="1" applyBorder="1" applyFont="1">
      <alignment horizontal="center" readingOrder="0" shrinkToFit="0" vertical="center" wrapText="1"/>
    </xf>
    <xf borderId="18" fillId="6" fontId="15" numFmtId="9" xfId="0" applyAlignment="1" applyBorder="1" applyFont="1" applyNumberFormat="1">
      <alignment horizontal="center" readingOrder="0" vertical="center"/>
    </xf>
    <xf borderId="17" fillId="6" fontId="15" numFmtId="0" xfId="0" applyAlignment="1" applyBorder="1" applyFont="1">
      <alignment horizontal="center" shrinkToFit="0" vertical="center" wrapText="1"/>
    </xf>
    <xf borderId="17" fillId="6" fontId="15" numFmtId="0" xfId="0" applyAlignment="1" applyBorder="1" applyFont="1">
      <alignment horizontal="center" vertical="center"/>
    </xf>
    <xf borderId="17" fillId="6" fontId="15" numFmtId="166" xfId="0" applyAlignment="1" applyBorder="1" applyFont="1" applyNumberFormat="1">
      <alignment horizontal="center" vertical="center"/>
    </xf>
    <xf borderId="17" fillId="6" fontId="15" numFmtId="4" xfId="0" applyAlignment="1" applyBorder="1" applyFont="1" applyNumberFormat="1">
      <alignment horizontal="center" shrinkToFit="0" vertical="center" wrapText="1"/>
    </xf>
    <xf borderId="17" fillId="6" fontId="15" numFmtId="3" xfId="0" applyAlignment="1" applyBorder="1" applyFont="1" applyNumberFormat="1">
      <alignment horizontal="center" vertical="center"/>
    </xf>
    <xf borderId="18" fillId="6" fontId="15" numFmtId="3" xfId="0" applyAlignment="1" applyBorder="1" applyFont="1" applyNumberFormat="1">
      <alignment horizontal="center" vertical="center"/>
    </xf>
    <xf borderId="17" fillId="6" fontId="15" numFmtId="166" xfId="0" applyAlignment="1" applyBorder="1" applyFont="1" applyNumberFormat="1">
      <alignment horizontal="center" shrinkToFit="0" vertical="center" wrapText="1"/>
    </xf>
    <xf borderId="17" fillId="6" fontId="15" numFmtId="3" xfId="0" applyAlignment="1" applyBorder="1" applyFont="1" applyNumberFormat="1">
      <alignment horizontal="center" shrinkToFit="0" vertical="center" wrapText="1"/>
    </xf>
    <xf borderId="18" fillId="6" fontId="15" numFmtId="170" xfId="0" applyAlignment="1" applyBorder="1" applyFont="1" applyNumberFormat="1">
      <alignment horizontal="center" vertical="center"/>
    </xf>
    <xf borderId="17" fillId="6" fontId="15" numFmtId="49" xfId="0" applyAlignment="1" applyBorder="1" applyFont="1" applyNumberFormat="1">
      <alignment horizontal="center" shrinkToFit="0" vertical="center" wrapText="1"/>
    </xf>
    <xf borderId="17" fillId="5" fontId="15" numFmtId="0" xfId="0" applyAlignment="1" applyBorder="1" applyFont="1">
      <alignment horizontal="center" shrinkToFit="0" vertical="center" wrapText="1"/>
    </xf>
    <xf borderId="18" fillId="6" fontId="15" numFmtId="10" xfId="0" applyAlignment="1" applyBorder="1" applyFont="1" applyNumberFormat="1">
      <alignment horizontal="center" readingOrder="0" vertical="center"/>
    </xf>
    <xf borderId="18" fillId="6" fontId="15" numFmtId="0" xfId="0" applyAlignment="1" applyBorder="1" applyFont="1">
      <alignment horizontal="center" readingOrder="0" vertical="center"/>
    </xf>
    <xf borderId="18" fillId="5" fontId="15" numFmtId="0" xfId="0" applyAlignment="1" applyBorder="1" applyFont="1">
      <alignment horizontal="center" readingOrder="0" vertical="center"/>
    </xf>
    <xf borderId="27" fillId="0" fontId="5" numFmtId="0" xfId="0" applyBorder="1" applyFont="1"/>
    <xf borderId="16" fillId="3" fontId="8" numFmtId="0" xfId="0" applyAlignment="1" applyBorder="1" applyFont="1">
      <alignment shrinkToFit="0" vertical="top" wrapText="1"/>
    </xf>
    <xf borderId="10" fillId="2" fontId="13" numFmtId="0" xfId="0" applyAlignment="1" applyBorder="1" applyFont="1">
      <alignment horizontal="center" shrinkToFit="0" vertical="center" wrapText="1"/>
    </xf>
    <xf borderId="9" fillId="0" fontId="29" numFmtId="0" xfId="0" applyAlignment="1" applyBorder="1" applyFont="1">
      <alignment readingOrder="0" shrinkToFit="0" wrapText="1"/>
    </xf>
    <xf borderId="17" fillId="5" fontId="30" numFmtId="0" xfId="0" applyAlignment="1" applyBorder="1" applyFont="1">
      <alignment horizontal="center" readingOrder="0" shrinkToFit="0" vertical="center" wrapText="1"/>
    </xf>
    <xf borderId="29" fillId="0" fontId="29" numFmtId="0" xfId="0" applyAlignment="1" applyBorder="1" applyFont="1">
      <alignment readingOrder="0" shrinkToFit="0" wrapText="1"/>
    </xf>
    <xf borderId="17" fillId="5" fontId="31" numFmtId="0" xfId="0" applyAlignment="1" applyBorder="1" applyFont="1">
      <alignment horizontal="center" readingOrder="0" shrinkToFit="0" vertical="center" wrapText="1"/>
    </xf>
    <xf borderId="17" fillId="5" fontId="26" numFmtId="0" xfId="0" applyAlignment="1" applyBorder="1" applyFont="1">
      <alignment horizontal="center" readingOrder="0" shrinkToFit="0" vertical="center" wrapText="1"/>
    </xf>
    <xf borderId="0" fillId="5" fontId="17" numFmtId="10" xfId="0" applyAlignment="1" applyFont="1" applyNumberFormat="1">
      <alignment horizontal="center" readingOrder="0"/>
    </xf>
    <xf borderId="17" fillId="6" fontId="15" numFmtId="0" xfId="0" applyAlignment="1" applyBorder="1" applyFont="1">
      <alignment horizontal="center" shrinkToFit="0" vertical="center" wrapText="1"/>
    </xf>
    <xf borderId="0" fillId="0" fontId="7" numFmtId="0" xfId="0" applyFont="1"/>
    <xf borderId="18" fillId="5" fontId="15" numFmtId="3" xfId="0" applyAlignment="1" applyBorder="1" applyFont="1" applyNumberFormat="1">
      <alignment horizontal="center" readingOrder="0" vertical="center"/>
    </xf>
    <xf borderId="18" fillId="6" fontId="15" numFmtId="9" xfId="0" applyAlignment="1" applyBorder="1" applyFont="1" applyNumberFormat="1">
      <alignment horizontal="center" vertical="center"/>
    </xf>
    <xf borderId="17" fillId="6" fontId="27" numFmtId="0" xfId="0" applyAlignment="1" applyBorder="1" applyFont="1">
      <alignment horizontal="center" readingOrder="0" shrinkToFit="0" vertical="center" wrapText="1"/>
    </xf>
    <xf borderId="17" fillId="5" fontId="15" numFmtId="0" xfId="0" applyAlignment="1" applyBorder="1" applyFont="1">
      <alignment horizontal="left" readingOrder="0" shrinkToFit="0" vertical="center" wrapText="1"/>
    </xf>
    <xf borderId="10" fillId="2" fontId="9" numFmtId="165" xfId="0" applyAlignment="1" applyBorder="1" applyFont="1" applyNumberFormat="1">
      <alignment horizontal="left" shrinkToFit="0" vertical="center" wrapText="1"/>
    </xf>
    <xf borderId="17" fillId="5" fontId="32" numFmtId="0" xfId="0" applyAlignment="1" applyBorder="1" applyFont="1">
      <alignment horizontal="left" readingOrder="0" shrinkToFit="0" vertical="center" wrapText="1"/>
    </xf>
    <xf borderId="0" fillId="0" fontId="23" numFmtId="0" xfId="0" applyAlignment="1" applyFont="1">
      <alignment horizontal="center" readingOrder="0" shrinkToFit="0" wrapText="1"/>
    </xf>
    <xf borderId="0" fillId="5" fontId="33" numFmtId="0" xfId="0" applyAlignment="1" applyFont="1">
      <alignment horizontal="center" readingOrder="0"/>
    </xf>
    <xf borderId="18" fillId="5" fontId="5" numFmtId="3" xfId="0" applyAlignment="1" applyBorder="1" applyFont="1" applyNumberFormat="1">
      <alignment horizontal="center" readingOrder="0" vertical="center"/>
    </xf>
  </cellXfs>
  <cellStyles count="1">
    <cellStyle xfId="0" name="Normal" builtinId="0"/>
  </cellStyles>
  <dxfs count="4">
    <dxf>
      <font/>
      <fill>
        <patternFill patternType="solid">
          <fgColor rgb="FF6AA84F"/>
          <bgColor rgb="FF6AA84F"/>
        </patternFill>
      </fill>
      <border/>
    </dxf>
    <dxf>
      <font/>
      <fill>
        <patternFill patternType="solid">
          <fgColor rgb="FFEA9999"/>
          <bgColor rgb="FFEA9999"/>
        </patternFill>
      </fill>
      <border/>
    </dxf>
    <dxf>
      <font/>
      <fill>
        <patternFill patternType="solid">
          <fgColor rgb="FFB7E1CD"/>
          <bgColor rgb="FFB7E1CD"/>
        </patternFill>
      </fill>
      <border/>
    </dxf>
    <dxf>
      <font/>
      <fill>
        <patternFill patternType="solid">
          <fgColor rgb="FFDD7E6B"/>
          <bgColor rgb="FFDD7E6B"/>
        </patternFill>
      </fill>
      <border/>
    </dxf>
  </dxf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20" Type="http://schemas.openxmlformats.org/officeDocument/2006/relationships/worksheet" Target="worksheets/sheet17.xml"/><Relationship Id="rId22" Type="http://schemas.openxmlformats.org/officeDocument/2006/relationships/worksheet" Target="worksheets/sheet19.xml"/><Relationship Id="rId21" Type="http://schemas.openxmlformats.org/officeDocument/2006/relationships/worksheet" Target="worksheets/sheet18.xml"/><Relationship Id="rId24" Type="http://schemas.openxmlformats.org/officeDocument/2006/relationships/worksheet" Target="worksheets/sheet21.xml"/><Relationship Id="rId23" Type="http://schemas.openxmlformats.org/officeDocument/2006/relationships/worksheet" Target="worksheets/sheet20.xml"/><Relationship Id="rId26" Type="http://schemas.openxmlformats.org/officeDocument/2006/relationships/worksheet" Target="worksheets/sheet23.xml"/><Relationship Id="rId25" Type="http://schemas.openxmlformats.org/officeDocument/2006/relationships/worksheet" Target="worksheets/sheet22.xml"/><Relationship Id="rId28" Type="http://schemas.openxmlformats.org/officeDocument/2006/relationships/worksheet" Target="worksheets/sheet25.xml"/><Relationship Id="rId27" Type="http://schemas.openxmlformats.org/officeDocument/2006/relationships/worksheet" Target="worksheets/sheet24.xml"/><Relationship Id="rId29" Type="http://schemas.openxmlformats.org/officeDocument/2006/relationships/worksheet" Target="worksheets/sheet26.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19" Type="http://schemas.openxmlformats.org/officeDocument/2006/relationships/worksheet" Target="worksheets/sheet16.xml"/><Relationship Id="rId18" Type="http://schemas.openxmlformats.org/officeDocument/2006/relationships/worksheet" Target="worksheets/sheet1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40" Type="http://schemas.openxmlformats.org/officeDocument/2006/relationships/hyperlink" Target="https://drive.google.com/drive/folders/10Z-f6zaOdZ800I7n5tX4ipyhbMNhDvvQ?usp=sharing" TargetMode="External"/><Relationship Id="rId84" Type="http://schemas.openxmlformats.org/officeDocument/2006/relationships/hyperlink" Target="https://drive.google.com/drive/u/0/folders/1jjMn-PR8jM_gFRKbUkhzud-CKWQlp0YJ" TargetMode="External"/><Relationship Id="rId83" Type="http://schemas.openxmlformats.org/officeDocument/2006/relationships/hyperlink" Target="https://drive.google.com/drive/u/0/folders/1Ra5euOvAwehRJqTNagnXyhscW99BUtVE" TargetMode="External"/><Relationship Id="rId42" Type="http://schemas.openxmlformats.org/officeDocument/2006/relationships/hyperlink" Target="https://drive.google.com/drive/folders/1BSRlOVMwffdTwxg9XjChEpNigxipiGrV?usp=sharing" TargetMode="External"/><Relationship Id="rId86" Type="http://schemas.openxmlformats.org/officeDocument/2006/relationships/hyperlink" Target="https://drive.google.com/drive/u/0/folders/1nioNz4GRKVM2IpDstxUxlJ7CvKg7x8K-" TargetMode="External"/><Relationship Id="rId41" Type="http://schemas.openxmlformats.org/officeDocument/2006/relationships/hyperlink" Target="https://drive.google.com/drive/folders/1WMLAuc7-Yx_tQoWfuzhAUhsikwNM4Esb?usp=sharing" TargetMode="External"/><Relationship Id="rId85" Type="http://schemas.openxmlformats.org/officeDocument/2006/relationships/hyperlink" Target="https://drive.google.com/drive/u/0/folders/133r27BB-bHxNWEU5OzSpaHVfwRZpLo5x" TargetMode="External"/><Relationship Id="rId44" Type="http://schemas.openxmlformats.org/officeDocument/2006/relationships/hyperlink" Target="https://drive.google.com/drive/folders/1436rpEgDQn8lDUZxH00qw5VfUvTFd9zJ?usp=sharing" TargetMode="External"/><Relationship Id="rId88" Type="http://schemas.openxmlformats.org/officeDocument/2006/relationships/drawing" Target="../drawings/drawing3.xml"/><Relationship Id="rId43" Type="http://schemas.openxmlformats.org/officeDocument/2006/relationships/hyperlink" Target="https://drive.google.com/drive/folders/1JSqC2JKpfv7xDqTIIIt-gVXtCNuYR608?usp=sharing" TargetMode="External"/><Relationship Id="rId87" Type="http://schemas.openxmlformats.org/officeDocument/2006/relationships/hyperlink" Target="https://docs.google.com/spreadsheets/d/1IEbYLd9xm15Dfd4332eSqZ2sHrnPohAc/edit" TargetMode="External"/><Relationship Id="rId46" Type="http://schemas.openxmlformats.org/officeDocument/2006/relationships/hyperlink" Target="https://drive.google.com/drive/folders/1CS31yWr5VVz87_U1ppvPqznWDC-TqZyz?usp=sharing" TargetMode="External"/><Relationship Id="rId45" Type="http://schemas.openxmlformats.org/officeDocument/2006/relationships/hyperlink" Target="https://drive.google.com/drive/folders/1xIVOjTQ96sf3wmCeRxVDY7qn-qNb2b8z?usp=sharing" TargetMode="External"/><Relationship Id="rId89" Type="http://schemas.openxmlformats.org/officeDocument/2006/relationships/vmlDrawing" Target="../drawings/vmlDrawing1.vml"/><Relationship Id="rId80" Type="http://schemas.openxmlformats.org/officeDocument/2006/relationships/hyperlink" Target="https://docs.google.com/spreadsheets/d/1v74tiL7RLM3kTXgc2fCKgyIWqLsacN2e6runuwf-HYo/edit" TargetMode="External"/><Relationship Id="rId82" Type="http://schemas.openxmlformats.org/officeDocument/2006/relationships/hyperlink" Target="https://drive.google.com/drive/u/0/folders/1dVDxnwaJ51n1RAgkoq63dyUkEyqckfoq" TargetMode="External"/><Relationship Id="rId81" Type="http://schemas.openxmlformats.org/officeDocument/2006/relationships/hyperlink" Target="https://drive.google.com/drive/folders/1lJta8_iWQrmeCBXaeLtXcaedXwuVzCjf?usp=sharing" TargetMode="External"/><Relationship Id="rId1" Type="http://schemas.openxmlformats.org/officeDocument/2006/relationships/comments" Target="../comments1.xml"/><Relationship Id="rId2" Type="http://schemas.openxmlformats.org/officeDocument/2006/relationships/hyperlink" Target="https://drive.google.com/drive/folders/1YOZ2PHz_hMEngA2fzScM4Y-CxRFGQgLi?usp=sharing" TargetMode="External"/><Relationship Id="rId3" Type="http://schemas.openxmlformats.org/officeDocument/2006/relationships/hyperlink" Target="https://drive.google.com/drive/folders/1YOZ2PHz_hMEngA2fzScM4Y-CxRFGQgLi?usp=sharing" TargetMode="External"/><Relationship Id="rId4" Type="http://schemas.openxmlformats.org/officeDocument/2006/relationships/hyperlink" Target="https://drive.google.com/drive/folders/1rv1j4N0nvkRSFU_GqlOupFWq8yBuYrIx?usp=sharing" TargetMode="External"/><Relationship Id="rId9" Type="http://schemas.openxmlformats.org/officeDocument/2006/relationships/hyperlink" Target="https://drive.google.com/file/d/1NwgyL-_6KlS_IxCa8v5e3msqy6Dz6R3o/view?usp=sharing" TargetMode="External"/><Relationship Id="rId48" Type="http://schemas.openxmlformats.org/officeDocument/2006/relationships/hyperlink" Target="https://drive.google.com/drive/folders/118Ruwcu_YuB0TJCQ_krB9jTo4Z8JeVUf?usp=sharing" TargetMode="External"/><Relationship Id="rId47" Type="http://schemas.openxmlformats.org/officeDocument/2006/relationships/hyperlink" Target="https://drive.google.com/drive/folders/1TIio7jOkYbj3hY_tPxKL74c6h_MY-J8x?usp=sharing" TargetMode="External"/><Relationship Id="rId49" Type="http://schemas.openxmlformats.org/officeDocument/2006/relationships/hyperlink" Target="https://drive.google.com/drive/folders/1k_0LKjHzDRDwTQMiLw5rSUAp3KfLmBcm" TargetMode="External"/><Relationship Id="rId5" Type="http://schemas.openxmlformats.org/officeDocument/2006/relationships/hyperlink" Target="https://drive.google.com/drive/folders/1pkJEPm6aJeQPLPo56xqLUXDhlTkX18fL?usp=sharing" TargetMode="External"/><Relationship Id="rId6" Type="http://schemas.openxmlformats.org/officeDocument/2006/relationships/hyperlink" Target="https://drive.google.com/drive/folders/1I_FaeZflhwGVBGU_9hu1BReDg9a4ppzo?usp=sharing" TargetMode="External"/><Relationship Id="rId7" Type="http://schemas.openxmlformats.org/officeDocument/2006/relationships/hyperlink" Target="https://drive.google.com/drive/u/0/folders/1ueDHg43A1arq0Yd7PUg_Yhmh0C1BhZwL" TargetMode="External"/><Relationship Id="rId8" Type="http://schemas.openxmlformats.org/officeDocument/2006/relationships/hyperlink" Target="https://drive.google.com/drive/folders/11Pc94eKGXRO6tHbn1Gl9tjhrmlVNlrDP?usp=sharing" TargetMode="External"/><Relationship Id="rId73" Type="http://schemas.openxmlformats.org/officeDocument/2006/relationships/hyperlink" Target="https://drive.google.com/drive/u/1/folders/1NNHBj5_017bhfHMe-mO4lEtWrZ40f97F" TargetMode="External"/><Relationship Id="rId72" Type="http://schemas.openxmlformats.org/officeDocument/2006/relationships/hyperlink" Target="https://drive.google.com/drive/u/1/folders/1mhzIcVD4iNP6gsgsrzLJrP3Y8-GN_9R7" TargetMode="External"/><Relationship Id="rId31" Type="http://schemas.openxmlformats.org/officeDocument/2006/relationships/hyperlink" Target="https://docs.google.com/spreadsheets/d/1-XzNK4aE4gTcVJgK8Z33yOMgMTv12bp9OzNnvYJj_D0/edit" TargetMode="External"/><Relationship Id="rId75" Type="http://schemas.openxmlformats.org/officeDocument/2006/relationships/hyperlink" Target="https://drive.google.com/drive/u/1/folders/15kKvh57DsBKRum7_-DreYhBYFIpqtYD3" TargetMode="External"/><Relationship Id="rId30" Type="http://schemas.openxmlformats.org/officeDocument/2006/relationships/hyperlink" Target="https://www.aunap.gov.co/index.php/direccion-general/planeacion" TargetMode="External"/><Relationship Id="rId74" Type="http://schemas.openxmlformats.org/officeDocument/2006/relationships/hyperlink" Target="https://drive.google.com/drive/u/1/folders/1rtxej74bQ-h2_oS9v1BwA6lvGbdWC5YZ" TargetMode="External"/><Relationship Id="rId33" Type="http://schemas.openxmlformats.org/officeDocument/2006/relationships/hyperlink" Target="https://drive.google.com/drive/folders/1OQNUW9PAdoX51ZGgD-6EbBchiEL9Wj2z?usp=sharing" TargetMode="External"/><Relationship Id="rId77" Type="http://schemas.openxmlformats.org/officeDocument/2006/relationships/hyperlink" Target="https://drive.google.com/drive/u/1/folders/1dQv8wregdp08cTTQhzh4e7NAbGdYzm2i" TargetMode="External"/><Relationship Id="rId32" Type="http://schemas.openxmlformats.org/officeDocument/2006/relationships/hyperlink" Target="https://drive.google.com/file/d/1_9epKIacFLDSAe7HUqeXr4_5kXAdzTh5/view" TargetMode="External"/><Relationship Id="rId76" Type="http://schemas.openxmlformats.org/officeDocument/2006/relationships/hyperlink" Target="https://drive.google.com/drive/u/1/folders/1rCVXlOJsoV9gdkONHPooOSoucD2Hp9vb" TargetMode="External"/><Relationship Id="rId35" Type="http://schemas.openxmlformats.org/officeDocument/2006/relationships/hyperlink" Target="https://drive.google.com/drive/folders/1cwQvV2uIQ3qdrPGasWP7xPy57HlAaBKU?usp=sharing" TargetMode="External"/><Relationship Id="rId79" Type="http://schemas.openxmlformats.org/officeDocument/2006/relationships/hyperlink" Target="https://drive.google.com/drive/u/1/folders/1Qjw0E9O5xOP7cC_00Qjs2jsl4RGKbqUE" TargetMode="External"/><Relationship Id="rId34" Type="http://schemas.openxmlformats.org/officeDocument/2006/relationships/hyperlink" Target="https://drive.google.com/drive/folders/1T41vEfXDip-fYJ8BUx_doTxa_O8ufCuD?usp=sharing" TargetMode="External"/><Relationship Id="rId78" Type="http://schemas.openxmlformats.org/officeDocument/2006/relationships/hyperlink" Target="https://drive.google.com/drive/u/1/folders/1EH_ySewfDLYWNfaCSNTyknNYZRrD5GH6" TargetMode="External"/><Relationship Id="rId71" Type="http://schemas.openxmlformats.org/officeDocument/2006/relationships/hyperlink" Target="https://drive.google.com/drive/u/1/folders/1lSRAH43nOfhDUaQ_DvonF8Mwy1Gm7tZK" TargetMode="External"/><Relationship Id="rId70" Type="http://schemas.openxmlformats.org/officeDocument/2006/relationships/hyperlink" Target="https://drive.google.com/drive/u/1/folders/1PwlrgLu5B3b5o2_xq8sVhtE-wKg_GvN1" TargetMode="External"/><Relationship Id="rId37" Type="http://schemas.openxmlformats.org/officeDocument/2006/relationships/hyperlink" Target="https://drive.google.com/drive/folders/13lr-pNGyKzulNThk-O8P3BL8DtmKSFvh?usp=sharing" TargetMode="External"/><Relationship Id="rId36" Type="http://schemas.openxmlformats.org/officeDocument/2006/relationships/hyperlink" Target="https://drive.google.com/drive/folders/1fCgNH6Qfa0LsOSc6uE5Sse8FzKJSqHt2?usp=sharing" TargetMode="External"/><Relationship Id="rId39" Type="http://schemas.openxmlformats.org/officeDocument/2006/relationships/hyperlink" Target="https://drive.google.com/drive/folders/1NLOdQGu5O30TyesGLK8OYYO37715_9Z8?usp=sharing" TargetMode="External"/><Relationship Id="rId38" Type="http://schemas.openxmlformats.org/officeDocument/2006/relationships/hyperlink" Target="https://drive.google.com/drive/folders/1Gl9Gulp4AMK1HsmgOwYkza9eNNjU-xlh?usp=sharing" TargetMode="External"/><Relationship Id="rId62" Type="http://schemas.openxmlformats.org/officeDocument/2006/relationships/hyperlink" Target="https://drive.google.com/drive/folders/1ZaosN-BeD1dyjbcmLOsOpmni3kptsjnK?usp=sharing" TargetMode="External"/><Relationship Id="rId61" Type="http://schemas.openxmlformats.org/officeDocument/2006/relationships/hyperlink" Target="https://drive.google.com/file/d/1wD3W3_6vAwX-uTvkJ--wGibW4wwv_OIj/view?usp=sharing" TargetMode="External"/><Relationship Id="rId20" Type="http://schemas.openxmlformats.org/officeDocument/2006/relationships/hyperlink" Target="https://ekogui.defensajuridica.gov.co/Pages/inicio.aspx" TargetMode="External"/><Relationship Id="rId64" Type="http://schemas.openxmlformats.org/officeDocument/2006/relationships/hyperlink" Target="https://drive.google.com/file/d/1E6tlBnW52awSazvChc4b7SGhIgMR_PRI/view?usp=sharing" TargetMode="External"/><Relationship Id="rId63" Type="http://schemas.openxmlformats.org/officeDocument/2006/relationships/hyperlink" Target="https://drive.google.com/drive/folders/1HCBsZekkYY_os8fzoPC9TdLnCJrrUsew?usp=sharing" TargetMode="External"/><Relationship Id="rId22" Type="http://schemas.openxmlformats.org/officeDocument/2006/relationships/hyperlink" Target="https://drive.google.com/drive/folders/1FDqahgPr-iMvvO86Lo32gihinGDQyC4M" TargetMode="External"/><Relationship Id="rId66" Type="http://schemas.openxmlformats.org/officeDocument/2006/relationships/hyperlink" Target="https://drive.google.com/drive/folders/1XZRIvmDgs3aRD2UnqC1aEjH9QRseKO0l?usp=sharing" TargetMode="External"/><Relationship Id="rId21" Type="http://schemas.openxmlformats.org/officeDocument/2006/relationships/hyperlink" Target="https://drive.google.com/drive/folders/1FDqahgPr-iMvvO86Lo32gihinGDQyC4M" TargetMode="External"/><Relationship Id="rId65" Type="http://schemas.openxmlformats.org/officeDocument/2006/relationships/hyperlink" Target="https://drive.google.com/drive/folders/1GfBCyHhqvb6WjKbHt6PHxZqeV7FAMk_A?usp=sharing" TargetMode="External"/><Relationship Id="rId24" Type="http://schemas.openxmlformats.org/officeDocument/2006/relationships/hyperlink" Target="https://drive.google.com/drive/folders/1FDqahgPr-iMvvO86Lo32gihinGDQyC4M" TargetMode="External"/><Relationship Id="rId68" Type="http://schemas.openxmlformats.org/officeDocument/2006/relationships/hyperlink" Target="https://drive.google.com/drive/folders/1QMQoJduEwalnC434eGRvKhy8GfhIhyas?usp=sharing" TargetMode="External"/><Relationship Id="rId23" Type="http://schemas.openxmlformats.org/officeDocument/2006/relationships/hyperlink" Target="https://drive.google.com/drive/folders/1FDqahgPr-iMvvO86Lo32gihinGDQyC4M" TargetMode="External"/><Relationship Id="rId67" Type="http://schemas.openxmlformats.org/officeDocument/2006/relationships/hyperlink" Target="https://drive.google.com/file/d/1oWB5XOELuXazamPIjZshLoxEvsaGqZvj/view?usp=sharing" TargetMode="External"/><Relationship Id="rId60" Type="http://schemas.openxmlformats.org/officeDocument/2006/relationships/hyperlink" Target="https://drive.google.com/drive/folders/1M0I6BwFb9kiHxV7l6_ig9QPG0fSdHT34?usp=sharing" TargetMode="External"/><Relationship Id="rId26" Type="http://schemas.openxmlformats.org/officeDocument/2006/relationships/hyperlink" Target="https://ekogui.defensajuridica.gov.co/Pages/inicio.aspx" TargetMode="External"/><Relationship Id="rId25" Type="http://schemas.openxmlformats.org/officeDocument/2006/relationships/hyperlink" Target="https://drive.google.com/drive/folders/1FDqahgPr-iMvvO86Lo32gihinGDQyC4M" TargetMode="External"/><Relationship Id="rId69" Type="http://schemas.openxmlformats.org/officeDocument/2006/relationships/hyperlink" Target="https://drive.google.com/file/d/1JEKV34wvF7JSVNs-OPHkf9cFo75ksfHe/view?usp=sharing" TargetMode="External"/><Relationship Id="rId28" Type="http://schemas.openxmlformats.org/officeDocument/2006/relationships/hyperlink" Target="https://drive.google.com/drive/folders/1Vw6safvew57rjBFKddk1coyr4RPtPGM8?usp=sharing" TargetMode="External"/><Relationship Id="rId27" Type="http://schemas.openxmlformats.org/officeDocument/2006/relationships/hyperlink" Target="https://drive.google.com/drive/folders/1ycZDWBH4ZJXCQv6xuvfJSoXZIAgR8JC1?usp=sharing" TargetMode="External"/><Relationship Id="rId29" Type="http://schemas.openxmlformats.org/officeDocument/2006/relationships/hyperlink" Target="https://www.aunap.gov.co/index.php/direccion-general/planeacion" TargetMode="External"/><Relationship Id="rId51" Type="http://schemas.openxmlformats.org/officeDocument/2006/relationships/hyperlink" Target="https://drive.google.com/drive/folders/1k_0LKjHzDRDwTQMiLw5rSUAp3KfLmBcm" TargetMode="External"/><Relationship Id="rId50" Type="http://schemas.openxmlformats.org/officeDocument/2006/relationships/hyperlink" Target="https://drive.google.com/drive/folders/1k_0LKjHzDRDwTQMiLw5rSUAp3KfLmBcm" TargetMode="External"/><Relationship Id="rId53" Type="http://schemas.openxmlformats.org/officeDocument/2006/relationships/hyperlink" Target="https://drive.google.com/drive/folders/1k_0LKjHzDRDwTQMiLw5rSUAp3KfLmBcm" TargetMode="External"/><Relationship Id="rId52" Type="http://schemas.openxmlformats.org/officeDocument/2006/relationships/hyperlink" Target="https://drive.google.com/drive/folders/1k_0LKjHzDRDwTQMiLw5rSUAp3KfLmBcm" TargetMode="External"/><Relationship Id="rId11" Type="http://schemas.openxmlformats.org/officeDocument/2006/relationships/hyperlink" Target="https://drive.google.com/file/d/1vQ1BTgGyiKHZjEfmJbwS8_v47obtxq1Y/view?usp=sharing" TargetMode="External"/><Relationship Id="rId55" Type="http://schemas.openxmlformats.org/officeDocument/2006/relationships/hyperlink" Target="https://drive.google.com/drive/folders/1k_0LKjHzDRDwTQMiLw5rSUAp3KfLmBcm" TargetMode="External"/><Relationship Id="rId10" Type="http://schemas.openxmlformats.org/officeDocument/2006/relationships/hyperlink" Target="https://drive.google.com/file/d/1ZPzlp8BgCB5Ja1acIybuTU0IUukKR-F1/view?usp=sharing" TargetMode="External"/><Relationship Id="rId54" Type="http://schemas.openxmlformats.org/officeDocument/2006/relationships/hyperlink" Target="https://drive.google.com/drive/folders/1k_0LKjHzDRDwTQMiLw5rSUAp3KfLmBcm" TargetMode="External"/><Relationship Id="rId13" Type="http://schemas.openxmlformats.org/officeDocument/2006/relationships/hyperlink" Target="https://drive.google.com/file/d/1XeY6QjlYWJW69Ve4NoP0JeA08B4SeNbv/view?usp=sharing" TargetMode="External"/><Relationship Id="rId57" Type="http://schemas.openxmlformats.org/officeDocument/2006/relationships/hyperlink" Target="https://drive.google.com/drive/folders/1k_0LKjHzDRDwTQMiLw5rSUAp3KfLmBcm" TargetMode="External"/><Relationship Id="rId12" Type="http://schemas.openxmlformats.org/officeDocument/2006/relationships/hyperlink" Target="https://drive.google.com/drive/folders/1NqwvakIwTQ0RUDTAyakAAISrcvHRwFOb?usp=sharing" TargetMode="External"/><Relationship Id="rId56" Type="http://schemas.openxmlformats.org/officeDocument/2006/relationships/hyperlink" Target="https://drive.google.com/drive/folders/1k_0LKjHzDRDwTQMiLw5rSUAp3KfLmBcm" TargetMode="External"/><Relationship Id="rId15" Type="http://schemas.openxmlformats.org/officeDocument/2006/relationships/hyperlink" Target="https://www.aunap.gov.co/images/2021/financiera/estados_financieros_diciembre_2020_publicacion-1.pdf" TargetMode="External"/><Relationship Id="rId59" Type="http://schemas.openxmlformats.org/officeDocument/2006/relationships/hyperlink" Target="https://drive.google.com/file/d/1es4qBrUQ_9hRoy_ky79PHEGf3hxGGDEy/view?usp=sharing%7C" TargetMode="External"/><Relationship Id="rId14" Type="http://schemas.openxmlformats.org/officeDocument/2006/relationships/hyperlink" Target="https://drive.google.com/file/d/1cGcl2BztV3iesjREq6VADTbIIy1eoSGy/view?usp=sharing" TargetMode="External"/><Relationship Id="rId58" Type="http://schemas.openxmlformats.org/officeDocument/2006/relationships/hyperlink" Target="https://drive.google.com/drive/folders/1k_0LKjHzDRDwTQMiLw5rSUAp3KfLmBcm" TargetMode="External"/><Relationship Id="rId17" Type="http://schemas.openxmlformats.org/officeDocument/2006/relationships/hyperlink" Target="https://drive.google.com/drive/folders/1FDqahgPr-iMvvO86Lo32gihinGDQyC4M" TargetMode="External"/><Relationship Id="rId16" Type="http://schemas.openxmlformats.org/officeDocument/2006/relationships/hyperlink" Target="https://docs.google.com/document/d/1Fqb6H3iC7eDJd2IXgDo9GehVlxO0pqzy/edit" TargetMode="External"/><Relationship Id="rId19" Type="http://schemas.openxmlformats.org/officeDocument/2006/relationships/hyperlink" Target="https://drive.google.com/drive/folders/1FDqahgPr-iMvvO86Lo32gihinGDQyC4M" TargetMode="External"/><Relationship Id="rId18" Type="http://schemas.openxmlformats.org/officeDocument/2006/relationships/hyperlink" Target="https://drive.google.com/drive/folders/1FDqahgPr-iMvvO86Lo32gihinGDQyC4M"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hyperlink" Target="https://drive.google.com/drive/folders/1YOZ2PHz_hMEngA2fzScM4Y-CxRFGQgLi?usp=sharing" TargetMode="External"/><Relationship Id="rId2" Type="http://schemas.openxmlformats.org/officeDocument/2006/relationships/hyperlink" Target="https://drive.google.com/drive/folders/1YOZ2PHz_hMEngA2fzScM4Y-CxRFGQgLi?usp=sharing" TargetMode="External"/><Relationship Id="rId3"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hyperlink" Target="https://drive.google.com/drive/u/0/folders/1ueDHg43A1arq0Yd7PUg_Yhmh0C1BhZwL" TargetMode="External"/><Relationship Id="rId2"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hyperlink" Target="https://drive.google.com/file/d/1jTKzep60VFDcXnxmz-wbsU3QeyeU-41i/view?usp=sharing" TargetMode="External"/><Relationship Id="rId2" Type="http://schemas.openxmlformats.org/officeDocument/2006/relationships/hyperlink" Target="https://drive.google.com/file/d/1jTKzep60VFDcXnxmz-wbsU3QeyeU-41i/view?usp=sharing" TargetMode="External"/><Relationship Id="rId3" Type="http://schemas.openxmlformats.org/officeDocument/2006/relationships/hyperlink" Target="https://drive.google.com/file/d/1jTKzep60VFDcXnxmz-wbsU3QeyeU-41i/view?usp=sharing" TargetMode="External"/><Relationship Id="rId4" Type="http://schemas.openxmlformats.org/officeDocument/2006/relationships/hyperlink" Target="https://drive.google.com/file/d/1jTKzep60VFDcXnxmz-wbsU3QeyeU-41i/view?usp=sharing" TargetMode="External"/><Relationship Id="rId5" Type="http://schemas.openxmlformats.org/officeDocument/2006/relationships/hyperlink" Target="https://drive.google.com/file/d/1jTKzep60VFDcXnxmz-wbsU3QeyeU-41i/view?usp=sharing" TargetMode="External"/><Relationship Id="rId6" Type="http://schemas.openxmlformats.org/officeDocument/2006/relationships/hyperlink" Target="https://drive.google.com/file/d/1jTKzep60VFDcXnxmz-wbsU3QeyeU-41i/view?usp=sharing" TargetMode="External"/><Relationship Id="rId7"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hyperlink" Target="https://drive.google.com/drive/folders/1rv1j4N0nvkRSFU_GqlOupFWq8yBuYrIx?usp=sharing" TargetMode="External"/><Relationship Id="rId2" Type="http://schemas.openxmlformats.org/officeDocument/2006/relationships/hyperlink" Target="https://drive.google.com/drive/folders/1pkJEPm6aJeQPLPo56xqLUXDhlTkX18fL?usp=sharing" TargetMode="External"/><Relationship Id="rId3" Type="http://schemas.openxmlformats.org/officeDocument/2006/relationships/hyperlink" Target="https://drive.google.com/drive/folders/1I_FaeZflhwGVBGU_9hu1BReDg9a4ppzo?usp=sharing" TargetMode="External"/><Relationship Id="rId4"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hyperlink" Target="https://www.aunap.gov.co/images/2021/financiera/estados_financieros_diciembre_2020_publicacion-1.pdf" TargetMode="External"/><Relationship Id="rId2" Type="http://schemas.openxmlformats.org/officeDocument/2006/relationships/hyperlink" Target="https://docs.google.com/document/d/1Fqb6H3iC7eDJd2IXgDo9GehVlxO0pqzy/edit" TargetMode="External"/><Relationship Id="rId3"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hyperlink" Target="https://drive.google.com/file/d/1NwgyL-_6KlS_IxCa8v5e3msqy6Dz6R3o/view?usp=sharing" TargetMode="External"/><Relationship Id="rId2" Type="http://schemas.openxmlformats.org/officeDocument/2006/relationships/hyperlink" Target="https://drive.google.com/file/d/1ZPzlp8BgCB5Ja1acIybuTU0IUukKR-F1/view?usp=sharing" TargetMode="External"/><Relationship Id="rId3"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hyperlink" Target="https://drive.google.com/drive/folders/11Pc94eKGXRO6tHbn1Gl9tjhrmlVNlrDP?usp=sharing" TargetMode="External"/><Relationship Id="rId2"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hyperlink" Target="https://drive.google.com/file/d/1vQ1BTgGyiKHZjEfmJbwS8_v47obtxq1Y/view?usp=sharing" TargetMode="External"/><Relationship Id="rId2" Type="http://schemas.openxmlformats.org/officeDocument/2006/relationships/hyperlink" Target="https://drive.google.com/drive/folders/1NqwvakIwTQ0RUDTAyakAAISrcvHRwFOb?usp=sharing" TargetMode="External"/><Relationship Id="rId3" Type="http://schemas.openxmlformats.org/officeDocument/2006/relationships/hyperlink" Target="https://drive.google.com/file/d/1XeY6QjlYWJW69Ve4NoP0JeA08B4SeNbv/view?usp=sharing" TargetMode="External"/><Relationship Id="rId4" Type="http://schemas.openxmlformats.org/officeDocument/2006/relationships/hyperlink" Target="https://drive.google.com/file/d/1cGcl2BztV3iesjREq6VADTbIIy1eoSGy/view?usp=sharing" TargetMode="External"/><Relationship Id="rId5"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hyperlink" Target="https://drive.google.com/drive/folders/1FDqahgPr-iMvvO86Lo32gihinGDQyC4M" TargetMode="External"/><Relationship Id="rId2" Type="http://schemas.openxmlformats.org/officeDocument/2006/relationships/hyperlink" Target="https://drive.google.com/drive/folders/1FDqahgPr-iMvvO86Lo32gihinGDQyC4M" TargetMode="External"/><Relationship Id="rId3" Type="http://schemas.openxmlformats.org/officeDocument/2006/relationships/hyperlink" Target="https://drive.google.com/drive/folders/1FDqahgPr-iMvvO86Lo32gihinGDQyC4M" TargetMode="External"/><Relationship Id="rId4" Type="http://schemas.openxmlformats.org/officeDocument/2006/relationships/hyperlink" Target="https://ekogui.defensajuridica.gov.co/Pages/inicio.aspx" TargetMode="External"/><Relationship Id="rId9" Type="http://schemas.openxmlformats.org/officeDocument/2006/relationships/hyperlink" Target="https://drive.google.com/drive/folders/1FDqahgPr-iMvvO86Lo32gihinGDQyC4M" TargetMode="External"/><Relationship Id="rId5" Type="http://schemas.openxmlformats.org/officeDocument/2006/relationships/hyperlink" Target="https://drive.google.com/drive/folders/1FDqahgPr-iMvvO86Lo32gihinGDQyC4M" TargetMode="External"/><Relationship Id="rId6" Type="http://schemas.openxmlformats.org/officeDocument/2006/relationships/hyperlink" Target="https://drive.google.com/drive/folders/1FDqahgPr-iMvvO86Lo32gihinGDQyC4M" TargetMode="External"/><Relationship Id="rId7" Type="http://schemas.openxmlformats.org/officeDocument/2006/relationships/hyperlink" Target="https://drive.google.com/drive/folders/1FDqahgPr-iMvvO86Lo32gihinGDQyC4M" TargetMode="External"/><Relationship Id="rId8" Type="http://schemas.openxmlformats.org/officeDocument/2006/relationships/hyperlink" Target="https://drive.google.com/drive/folders/1FDqahgPr-iMvvO86Lo32gihinGDQyC4M" TargetMode="External"/><Relationship Id="rId11" Type="http://schemas.openxmlformats.org/officeDocument/2006/relationships/drawing" Target="../drawings/drawing15.xml"/><Relationship Id="rId10" Type="http://schemas.openxmlformats.org/officeDocument/2006/relationships/hyperlink" Target="https://ekogui.defensajuridica.gov.co/Pages/inicio.aspx" TargetMode="External"/></Relationships>
</file>

<file path=xl/worksheets/_rels/sheet16.xml.rels><?xml version="1.0" encoding="UTF-8" standalone="yes"?><Relationships xmlns="http://schemas.openxmlformats.org/package/2006/relationships"><Relationship Id="rId1" Type="http://schemas.openxmlformats.org/officeDocument/2006/relationships/hyperlink" Target="https://drive.google.com/drive/folders/1ycZDWBH4ZJXCQv6xuvfJSoXZIAgR8JC1?usp=sharing" TargetMode="External"/><Relationship Id="rId2" Type="http://schemas.openxmlformats.org/officeDocument/2006/relationships/hyperlink" Target="https://drive.google.com/drive/folders/1Vw6safvew57rjBFKddk1coyr4RPtPGM8?usp=sharing" TargetMode="External"/><Relationship Id="rId3"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hyperlink" Target="https://www.aunap.gov.co/index.php/direccion-general/planeacion" TargetMode="External"/><Relationship Id="rId2" Type="http://schemas.openxmlformats.org/officeDocument/2006/relationships/hyperlink" Target="https://www.aunap.gov.co/index.php/direccion-general/planeacion" TargetMode="External"/><Relationship Id="rId3" Type="http://schemas.openxmlformats.org/officeDocument/2006/relationships/hyperlink" Target="https://docs.google.com/spreadsheets/d/1-XzNK4aE4gTcVJgK8Z33yOMgMTv12bp9OzNnvYJj_D0/edit" TargetMode="External"/><Relationship Id="rId4"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hyperlink" Target="https://drive.google.com/file/d/1_9epKIacFLDSAe7HUqeXr4_5kXAdzTh5/view" TargetMode="External"/><Relationship Id="rId2"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hyperlink" Target="https://drive.google.com/drive/u/4/folders/11jjljZAwIhz_6hMyxoh_F6p-o0_kNj9s" TargetMode="External"/><Relationship Id="rId2" Type="http://schemas.openxmlformats.org/officeDocument/2006/relationships/hyperlink" Target="https://drive.google.com/drive/u/4/folders/11jjljZAwIhz_6hMyxoh_F6p-o0_kNj9s" TargetMode="External"/><Relationship Id="rId3" Type="http://schemas.openxmlformats.org/officeDocument/2006/relationships/hyperlink" Target="https://drive.google.com/drive/u/4/folders/11jjljZAwIhz_6hMyxoh_F6p-o0_kNj9s" TargetMode="External"/><Relationship Id="rId4" Type="http://schemas.openxmlformats.org/officeDocument/2006/relationships/hyperlink" Target="https://drive.google.com/drive/u/4/folders/1QgtKoKaJ98AShUnji_IZm1vNbXCbqXT2" TargetMode="External"/><Relationship Id="rId5"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hyperlink" Target="https://drive.google.com/drive/folders/1OQNUW9PAdoX51ZGgD-6EbBchiEL9Wj2z?usp=sharing" TargetMode="External"/><Relationship Id="rId2" Type="http://schemas.openxmlformats.org/officeDocument/2006/relationships/hyperlink" Target="https://drive.google.com/drive/folders/1T41vEfXDip-fYJ8BUx_doTxa_O8ufCuD?usp=sharing" TargetMode="External"/><Relationship Id="rId3" Type="http://schemas.openxmlformats.org/officeDocument/2006/relationships/hyperlink" Target="https://drive.google.com/drive/folders/1cwQvV2uIQ3qdrPGasWP7xPy57HlAaBKU?usp=sharing" TargetMode="External"/><Relationship Id="rId4" Type="http://schemas.openxmlformats.org/officeDocument/2006/relationships/hyperlink" Target="https://drive.google.com/drive/folders/1fCgNH6Qfa0LsOSc6uE5Sse8FzKJSqHt2?usp=sharing" TargetMode="External"/><Relationship Id="rId5" Type="http://schemas.openxmlformats.org/officeDocument/2006/relationships/hyperlink" Target="https://drive.google.com/drive/folders/13lr-pNGyKzulNThk-O8P3BL8DtmKSFvh?usp=sharing" TargetMode="External"/><Relationship Id="rId6" Type="http://schemas.openxmlformats.org/officeDocument/2006/relationships/hyperlink" Target="https://drive.google.com/drive/folders/1Gl9Gulp4AMK1HsmgOwYkza9eNNjU-xlh?usp=sharing" TargetMode="External"/><Relationship Id="rId7"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hyperlink" Target="https://drive.google.com/drive/folders/1k_0LKjHzDRDwTQMiLw5rSUAp3KfLmBcm" TargetMode="External"/><Relationship Id="rId2" Type="http://schemas.openxmlformats.org/officeDocument/2006/relationships/hyperlink" Target="https://drive.google.com/drive/folders/1k_0LKjHzDRDwTQMiLw5rSUAp3KfLmBcm" TargetMode="External"/><Relationship Id="rId3" Type="http://schemas.openxmlformats.org/officeDocument/2006/relationships/hyperlink" Target="https://drive.google.com/drive/folders/1k_0LKjHzDRDwTQMiLw5rSUAp3KfLmBcm" TargetMode="External"/><Relationship Id="rId4" Type="http://schemas.openxmlformats.org/officeDocument/2006/relationships/hyperlink" Target="https://drive.google.com/drive/folders/1k_0LKjHzDRDwTQMiLw5rSUAp3KfLmBcm" TargetMode="External"/><Relationship Id="rId9" Type="http://schemas.openxmlformats.org/officeDocument/2006/relationships/hyperlink" Target="https://drive.google.com/drive/folders/1k_0LKjHzDRDwTQMiLw5rSUAp3KfLmBcm" TargetMode="External"/><Relationship Id="rId5" Type="http://schemas.openxmlformats.org/officeDocument/2006/relationships/hyperlink" Target="https://drive.google.com/drive/folders/1k_0LKjHzDRDwTQMiLw5rSUAp3KfLmBcm" TargetMode="External"/><Relationship Id="rId6" Type="http://schemas.openxmlformats.org/officeDocument/2006/relationships/hyperlink" Target="https://drive.google.com/drive/folders/1k_0LKjHzDRDwTQMiLw5rSUAp3KfLmBcm" TargetMode="External"/><Relationship Id="rId7" Type="http://schemas.openxmlformats.org/officeDocument/2006/relationships/hyperlink" Target="https://drive.google.com/drive/folders/1k_0LKjHzDRDwTQMiLw5rSUAp3KfLmBcm" TargetMode="External"/><Relationship Id="rId8" Type="http://schemas.openxmlformats.org/officeDocument/2006/relationships/hyperlink" Target="https://drive.google.com/drive/folders/1k_0LKjHzDRDwTQMiLw5rSUAp3KfLmBcm" TargetMode="External"/><Relationship Id="rId11" Type="http://schemas.openxmlformats.org/officeDocument/2006/relationships/drawing" Target="../drawings/drawing21.xml"/><Relationship Id="rId10" Type="http://schemas.openxmlformats.org/officeDocument/2006/relationships/hyperlink" Target="https://drive.google.com/drive/folders/1k_0LKjHzDRDwTQMiLw5rSUAp3KfLmBcm" TargetMode="External"/></Relationships>
</file>

<file path=xl/worksheets/_rels/sheet22.xml.rels><?xml version="1.0" encoding="UTF-8" standalone="yes"?><Relationships xmlns="http://schemas.openxmlformats.org/package/2006/relationships"><Relationship Id="rId1" Type="http://schemas.openxmlformats.org/officeDocument/2006/relationships/hyperlink" Target="https://drive.google.com/drive/folders/1NLOdQGu5O30TyesGLK8OYYO37715_9Z8?usp=sharing" TargetMode="External"/><Relationship Id="rId2" Type="http://schemas.openxmlformats.org/officeDocument/2006/relationships/hyperlink" Target="https://drive.google.com/drive/folders/10Z-f6zaOdZ800I7n5tX4ipyhbMNhDvvQ?usp=sharing" TargetMode="External"/><Relationship Id="rId3" Type="http://schemas.openxmlformats.org/officeDocument/2006/relationships/hyperlink" Target="https://drive.google.com/drive/folders/1WMLAuc7-Yx_tQoWfuzhAUhsikwNM4Esb?usp=sharing" TargetMode="External"/><Relationship Id="rId4" Type="http://schemas.openxmlformats.org/officeDocument/2006/relationships/hyperlink" Target="https://drive.google.com/drive/folders/1BSRlOVMwffdTwxg9XjChEpNigxipiGrV?usp=sharing" TargetMode="External"/><Relationship Id="rId9" Type="http://schemas.openxmlformats.org/officeDocument/2006/relationships/hyperlink" Target="https://drive.google.com/drive/folders/1TIio7jOkYbj3hY_tPxKL74c6h_MY-J8x?usp=sharing" TargetMode="External"/><Relationship Id="rId5" Type="http://schemas.openxmlformats.org/officeDocument/2006/relationships/hyperlink" Target="https://drive.google.com/drive/folders/1JSqC2JKpfv7xDqTIIIt-gVXtCNuYR608?usp=sharing" TargetMode="External"/><Relationship Id="rId6" Type="http://schemas.openxmlformats.org/officeDocument/2006/relationships/hyperlink" Target="https://drive.google.com/drive/folders/1436rpEgDQn8lDUZxH00qw5VfUvTFd9zJ?usp=sharing" TargetMode="External"/><Relationship Id="rId7" Type="http://schemas.openxmlformats.org/officeDocument/2006/relationships/hyperlink" Target="https://drive.google.com/drive/folders/1xIVOjTQ96sf3wmCeRxVDY7qn-qNb2b8z?usp=sharing" TargetMode="External"/><Relationship Id="rId8" Type="http://schemas.openxmlformats.org/officeDocument/2006/relationships/hyperlink" Target="https://drive.google.com/drive/folders/1CS31yWr5VVz87_U1ppvPqznWDC-TqZyz?usp=sharing" TargetMode="External"/><Relationship Id="rId11" Type="http://schemas.openxmlformats.org/officeDocument/2006/relationships/drawing" Target="../drawings/drawing22.xml"/><Relationship Id="rId10" Type="http://schemas.openxmlformats.org/officeDocument/2006/relationships/hyperlink" Target="https://drive.google.com/drive/folders/118Ruwcu_YuB0TJCQ_krB9jTo4Z8JeVUf?usp=sharing" TargetMode="External"/></Relationships>
</file>

<file path=xl/worksheets/_rels/sheet23.xml.rels><?xml version="1.0" encoding="UTF-8" standalone="yes"?><Relationships xmlns="http://schemas.openxmlformats.org/package/2006/relationships"><Relationship Id="rId1" Type="http://schemas.openxmlformats.org/officeDocument/2006/relationships/hyperlink" Target="https://drive.google.com/file/d/1es4qBrUQ_9hRoy_ky79PHEGf3hxGGDEy/view?usp=sharing" TargetMode="External"/><Relationship Id="rId2" Type="http://schemas.openxmlformats.org/officeDocument/2006/relationships/hyperlink" Target="https://drive.google.com/drive/folders/1M0I6BwFb9kiHxV7l6_ig9QPG0fSdHT34?usp=sharing" TargetMode="External"/><Relationship Id="rId3" Type="http://schemas.openxmlformats.org/officeDocument/2006/relationships/hyperlink" Target="https://drive.google.com/file/d/1wD3W3_6vAwX-uTvkJ--wGibW4wwv_OIj/view?usp=sharing" TargetMode="External"/><Relationship Id="rId4" Type="http://schemas.openxmlformats.org/officeDocument/2006/relationships/hyperlink" Target="https://drive.google.com/drive/folders/1ZaosN-BeD1dyjbcmLOsOpmni3kptsjnK?usp=sharing" TargetMode="External"/><Relationship Id="rId5" Type="http://schemas.openxmlformats.org/officeDocument/2006/relationships/hyperlink" Target="https://drive.google.com/drive/folders/1HCBsZekkYY_os8fzoPC9TdLnCJrrUsew?usp=sharing" TargetMode="External"/><Relationship Id="rId6" Type="http://schemas.openxmlformats.org/officeDocument/2006/relationships/hyperlink" Target="https://drive.google.com/file/d/1E6tlBnW52awSazvChc4b7SGhIgMR_PRI/view?usp=sharing" TargetMode="External"/><Relationship Id="rId7"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1" Type="http://schemas.openxmlformats.org/officeDocument/2006/relationships/hyperlink" Target="https://drive.google.com/drive/folders/1GfBCyHhqvb6WjKbHt6PHxZqeV7FAMk_A?usp=sharing" TargetMode="External"/><Relationship Id="rId2" Type="http://schemas.openxmlformats.org/officeDocument/2006/relationships/hyperlink" Target="https://drive.google.com/drive/folders/1XZRIvmDgs3aRD2UnqC1aEjH9QRseKO0l?usp=sharing" TargetMode="External"/><Relationship Id="rId3" Type="http://schemas.openxmlformats.org/officeDocument/2006/relationships/hyperlink" Target="https://drive.google.com/file/d/1oWB5XOELuXazamPIjZshLoxEvsaGqZvj/view?usp=sharing" TargetMode="External"/><Relationship Id="rId4" Type="http://schemas.openxmlformats.org/officeDocument/2006/relationships/hyperlink" Target="https://drive.google.com/drive/folders/1QMQoJduEwalnC434eGRvKhy8GfhIhyas?usp=sharing" TargetMode="External"/><Relationship Id="rId5" Type="http://schemas.openxmlformats.org/officeDocument/2006/relationships/hyperlink" Target="https://drive.google.com/drive/folders/1jG7uuWa0susUWIoodqE5ikLrGrfQZgvp?usp=sharing" TargetMode="External"/><Relationship Id="rId6" Type="http://schemas.openxmlformats.org/officeDocument/2006/relationships/hyperlink" Target="https://drive.google.com/file/d/1JEKV34wvF7JSVNs-OPHkf9cFo75ksfHe/view?usp=sharing" TargetMode="External"/><Relationship Id="rId7"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1" Type="http://schemas.openxmlformats.org/officeDocument/2006/relationships/hyperlink" Target="https://drive.google.com/drive/u/1/folders/1PwlrgLu5B3b5o2_xq8sVhtE-wKg_GvN1" TargetMode="External"/><Relationship Id="rId2" Type="http://schemas.openxmlformats.org/officeDocument/2006/relationships/hyperlink" Target="https://drive.google.com/drive/u/1/folders/1lSRAH43nOfhDUaQ_DvonF8Mwy1Gm7tZK" TargetMode="External"/><Relationship Id="rId3" Type="http://schemas.openxmlformats.org/officeDocument/2006/relationships/hyperlink" Target="https://drive.google.com/drive/u/1/folders/1mhzIcVD4iNP6gsgsrzLJrP3Y8-GN_9R7" TargetMode="External"/><Relationship Id="rId4" Type="http://schemas.openxmlformats.org/officeDocument/2006/relationships/hyperlink" Target="https://drive.google.com/drive/u/1/folders/1NNHBj5_017bhfHMe-mO4lEtWrZ40f97F" TargetMode="External"/><Relationship Id="rId9" Type="http://schemas.openxmlformats.org/officeDocument/2006/relationships/hyperlink" Target="https://drive.google.com/drive/u/1/folders/1EH_ySewfDLYWNfaCSNTyknNYZRrD5GH6" TargetMode="External"/><Relationship Id="rId5" Type="http://schemas.openxmlformats.org/officeDocument/2006/relationships/hyperlink" Target="https://drive.google.com/drive/u/1/folders/1rtxej74bQ-h2_oS9v1BwA6lvGbdWC5YZ" TargetMode="External"/><Relationship Id="rId6" Type="http://schemas.openxmlformats.org/officeDocument/2006/relationships/hyperlink" Target="https://drive.google.com/drive/u/1/folders/15kKvh57DsBKRum7_-DreYhBYFIpqtYD3" TargetMode="External"/><Relationship Id="rId7" Type="http://schemas.openxmlformats.org/officeDocument/2006/relationships/hyperlink" Target="https://drive.google.com/drive/u/1/folders/1rCVXlOJsoV9gdkONHPooOSoucD2Hp9vb" TargetMode="External"/><Relationship Id="rId8" Type="http://schemas.openxmlformats.org/officeDocument/2006/relationships/hyperlink" Target="https://drive.google.com/drive/u/1/folders/1dQv8wregdp08cTTQhzh4e7NAbGdYzm2i" TargetMode="External"/><Relationship Id="rId11" Type="http://schemas.openxmlformats.org/officeDocument/2006/relationships/drawing" Target="../drawings/drawing25.xml"/><Relationship Id="rId10" Type="http://schemas.openxmlformats.org/officeDocument/2006/relationships/hyperlink" Target="https://drive.google.com/drive/u/1/folders/1Qjw0E9O5xOP7cC_00Qjs2jsl4RGKbqUE" TargetMode="External"/></Relationships>
</file>

<file path=xl/worksheets/_rels/sheet26.xml.rels><?xml version="1.0" encoding="UTF-8" standalone="yes"?><Relationships xmlns="http://schemas.openxmlformats.org/package/2006/relationships"><Relationship Id="rId1" Type="http://schemas.openxmlformats.org/officeDocument/2006/relationships/hyperlink" Target="https://docs.google.com/spreadsheets/d/1v74tiL7RLM3kTXgc2fCKgyIWqLsacN2e6runuwf-HYo/edit" TargetMode="External"/><Relationship Id="rId2" Type="http://schemas.openxmlformats.org/officeDocument/2006/relationships/hyperlink" Target="https://drive.google.com/drive/folders/1lJta8_iWQrmeCBXaeLtXcaedXwuVzCjf?usp=sharing" TargetMode="External"/><Relationship Id="rId3" Type="http://schemas.openxmlformats.org/officeDocument/2006/relationships/hyperlink" Target="https://drive.google.com/drive/u/0/folders/1dVDxnwaJ51n1RAgkoq63dyUkEyqckfoq" TargetMode="External"/><Relationship Id="rId4" Type="http://schemas.openxmlformats.org/officeDocument/2006/relationships/hyperlink" Target="https://drive.google.com/drive/u/0/folders/1Ra5euOvAwehRJqTNagnXyhscW99BUtVE" TargetMode="External"/><Relationship Id="rId9" Type="http://schemas.openxmlformats.org/officeDocument/2006/relationships/drawing" Target="../drawings/drawing26.xml"/><Relationship Id="rId5" Type="http://schemas.openxmlformats.org/officeDocument/2006/relationships/hyperlink" Target="https://drive.google.com/drive/u/0/folders/1jjMn-PR8jM_gFRKbUkhzud-CKWQlp0YJ" TargetMode="External"/><Relationship Id="rId6" Type="http://schemas.openxmlformats.org/officeDocument/2006/relationships/hyperlink" Target="https://drive.google.com/drive/u/0/folders/133r27BB-bHxNWEU5OzSpaHVfwRZpLo5x" TargetMode="External"/><Relationship Id="rId7" Type="http://schemas.openxmlformats.org/officeDocument/2006/relationships/hyperlink" Target="https://drive.google.com/drive/u/0/folders/1nioNz4GRKVM2IpDstxUxlJ7CvKg7x8K-" TargetMode="External"/><Relationship Id="rId8" Type="http://schemas.openxmlformats.org/officeDocument/2006/relationships/hyperlink" Target="https://docs.google.com/spreadsheets/d/1IEbYLd9xm15Dfd4332eSqZ2sHrnPohAc/edit"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0"/>
  <cols>
    <col customWidth="1" min="1" max="1" width="2.63"/>
    <col customWidth="1" min="2" max="2" width="21.88"/>
    <col customWidth="1" min="3" max="3" width="2.63"/>
    <col customWidth="1" min="4" max="4" width="21.88"/>
    <col customWidth="1" min="5" max="5" width="2.63"/>
    <col customWidth="1" min="6" max="6" width="21.88"/>
    <col customWidth="1" min="7" max="7" width="2.63"/>
  </cols>
  <sheetData>
    <row r="1" ht="15.0" customHeight="1">
      <c r="A1" s="1" t="s">
        <v>0</v>
      </c>
      <c r="B1" s="1"/>
      <c r="C1" s="1"/>
      <c r="D1" s="1"/>
      <c r="E1" s="1"/>
      <c r="F1" s="1"/>
      <c r="G1" s="2"/>
    </row>
    <row r="2" ht="35.25" customHeight="1">
      <c r="A2" s="1"/>
      <c r="B2" s="3" t="s">
        <v>1</v>
      </c>
      <c r="C2" s="1"/>
      <c r="D2" s="3" t="s">
        <v>2</v>
      </c>
      <c r="E2" s="1"/>
      <c r="F2" s="3" t="s">
        <v>3</v>
      </c>
      <c r="G2" s="2"/>
    </row>
    <row r="3" ht="35.25" customHeight="1">
      <c r="A3" s="1"/>
      <c r="B3" s="3" t="s">
        <v>4</v>
      </c>
      <c r="C3" s="1"/>
      <c r="D3" s="3" t="s">
        <v>5</v>
      </c>
      <c r="E3" s="1"/>
      <c r="F3" s="3" t="s">
        <v>6</v>
      </c>
      <c r="G3" s="2"/>
    </row>
    <row r="4" ht="35.25" customHeight="1">
      <c r="A4" s="1"/>
      <c r="B4" s="3" t="s">
        <v>7</v>
      </c>
      <c r="C4" s="1"/>
      <c r="D4" s="3" t="s">
        <v>8</v>
      </c>
      <c r="E4" s="1"/>
      <c r="F4" s="3" t="s">
        <v>9</v>
      </c>
      <c r="G4" s="2"/>
    </row>
    <row r="5" ht="35.25" customHeight="1">
      <c r="A5" s="1"/>
      <c r="B5" s="3" t="s">
        <v>10</v>
      </c>
      <c r="C5" s="1"/>
      <c r="D5" s="3" t="s">
        <v>11</v>
      </c>
      <c r="E5" s="1"/>
      <c r="F5" s="3" t="s">
        <v>12</v>
      </c>
      <c r="G5" s="2"/>
    </row>
    <row r="6" ht="35.25" customHeight="1">
      <c r="A6" s="1"/>
      <c r="B6" s="3" t="s">
        <v>13</v>
      </c>
      <c r="C6" s="1"/>
      <c r="D6" s="3" t="s">
        <v>14</v>
      </c>
      <c r="E6" s="1"/>
      <c r="F6" s="3" t="s">
        <v>15</v>
      </c>
      <c r="G6" s="2"/>
    </row>
    <row r="7" ht="35.25" customHeight="1">
      <c r="A7" s="1"/>
      <c r="B7" s="3" t="s">
        <v>16</v>
      </c>
      <c r="C7" s="1"/>
      <c r="D7" s="3" t="s">
        <v>17</v>
      </c>
      <c r="E7" s="1"/>
      <c r="F7" s="3" t="s">
        <v>18</v>
      </c>
      <c r="G7" s="4"/>
    </row>
    <row r="8" ht="35.25" customHeight="1">
      <c r="A8" s="1"/>
      <c r="B8" s="3" t="s">
        <v>19</v>
      </c>
      <c r="C8" s="1"/>
      <c r="D8" s="3" t="s">
        <v>20</v>
      </c>
      <c r="E8" s="1"/>
      <c r="F8" s="3" t="s">
        <v>21</v>
      </c>
      <c r="G8" s="2"/>
    </row>
    <row r="9" ht="35.25" customHeight="1">
      <c r="A9" s="1"/>
      <c r="B9" s="3" t="s">
        <v>22</v>
      </c>
      <c r="C9" s="1"/>
      <c r="D9" s="3" t="s">
        <v>23</v>
      </c>
      <c r="E9" s="1"/>
      <c r="F9" s="1"/>
      <c r="G9" s="2"/>
    </row>
    <row r="10" ht="15.0" customHeight="1">
      <c r="A10" s="2"/>
      <c r="B10" s="2"/>
      <c r="C10" s="2"/>
      <c r="D10" s="2"/>
      <c r="E10" s="2"/>
      <c r="F10" s="2"/>
      <c r="G10" s="2"/>
    </row>
  </sheetData>
  <hyperlinks>
    <hyperlink display="Administrativa" location="Administrativa!A1" ref="B2"/>
    <hyperlink display="Financiera" location="Financiera!A1" ref="D2"/>
    <hyperlink display="R_Barrancabermeja" location="R_Barrancabermeja!A1" ref="F2"/>
    <hyperlink display="A_Ciudadano" location="A_Ciudadano!A1" ref="B3"/>
    <hyperlink display="G_Documental" location="G_Documental!A1" ref="D3"/>
    <hyperlink display="R_Barranquilla" location="R_Barranquilla!A1" ref="F3"/>
    <hyperlink display="Comunicaciones" location="Comunicaciones!A1" ref="B4"/>
    <hyperlink display="OA_Juridica" location="OA_Juridica!A1" ref="D4"/>
    <hyperlink display="R_Bogota" location="R_Bogota!A1" ref="F4"/>
    <hyperlink display="Contratos" location="Contratos!A1" ref="B5"/>
    <hyperlink display="OGCI" location="OGCI!A1" ref="D5"/>
    <hyperlink display="R_Cali" location="R_Cali!A1" ref="F5"/>
    <hyperlink display="C_Interno" location="C_Interno!A1" ref="B6"/>
    <hyperlink display="Planeación" location="Planeación!A1" ref="D6"/>
    <hyperlink display="R_Magangue" location="R_Magangue!A1" ref="F6"/>
    <hyperlink display="CI_Disciplinario" location="CI_Disciplinario!A1" ref="B7"/>
    <hyperlink display="Sistemas" location="Sistemas!A1" ref="D7"/>
    <hyperlink display="R_Medellin" location="R_Medellin!A1" ref="F7"/>
    <hyperlink display="DTAF" location="DTAF!A1" ref="B8"/>
    <hyperlink display="T_Humano" location="Sistemas!A1" ref="D8"/>
    <hyperlink display="R_Villavicencio" location="R_Villavicencio!A1" ref="F8"/>
    <hyperlink display="DTIV" location="DTIV!A1" ref="B9"/>
    <hyperlink display="Consolidado" location="Consolidado!A1" ref="D9"/>
  </hyperlink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2.63"/>
    <col customWidth="1" min="2" max="2" width="64.38"/>
    <col customWidth="1" min="3" max="3" width="2.63"/>
    <col customWidth="1" min="4" max="4" width="61.0"/>
    <col customWidth="1" min="5" max="5" width="2.63"/>
  </cols>
  <sheetData>
    <row r="2">
      <c r="A2" s="5"/>
      <c r="B2" s="6" t="s">
        <v>24</v>
      </c>
      <c r="C2" s="7"/>
      <c r="D2" s="8" t="s">
        <v>25</v>
      </c>
    </row>
    <row r="3">
      <c r="A3" s="5"/>
      <c r="B3" s="6" t="s">
        <v>26</v>
      </c>
      <c r="C3" s="7"/>
      <c r="D3" s="7"/>
    </row>
    <row r="4">
      <c r="A4" s="5"/>
      <c r="B4" s="6" t="s">
        <v>27</v>
      </c>
      <c r="C4" s="9"/>
      <c r="D4" s="8" t="s">
        <v>28</v>
      </c>
    </row>
    <row r="5">
      <c r="D5" s="8"/>
    </row>
    <row r="6">
      <c r="B6" s="10">
        <v>44298.0</v>
      </c>
    </row>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2.0" topLeftCell="A3" activePane="bottomLeft" state="frozen"/>
      <selection activeCell="B4" sqref="B4" pane="bottomLeft"/>
    </sheetView>
  </sheetViews>
  <sheetFormatPr customHeight="1" defaultColWidth="12.63" defaultRowHeight="15.0"/>
  <cols>
    <col customWidth="1" min="1" max="1" width="2.63"/>
    <col customWidth="1" min="2" max="2" width="6.63"/>
    <col customWidth="1" min="3" max="3" width="14.0"/>
    <col customWidth="1" min="4" max="4" width="26.38"/>
    <col customWidth="1" min="5" max="5" width="14.5"/>
    <col customWidth="1" min="6" max="6" width="10.63"/>
    <col customWidth="1" min="7" max="7" width="16.88"/>
    <col customWidth="1" min="8" max="8" width="19.25"/>
    <col customWidth="1" min="9" max="9" width="13.75"/>
    <col customWidth="1" min="10" max="10" width="26.38"/>
    <col customWidth="1" min="11" max="11" width="12.88"/>
    <col customWidth="1" min="12" max="12" width="11.25"/>
    <col customWidth="1" min="13" max="13" width="11.75"/>
    <col customWidth="1" min="14" max="14" width="12.25"/>
    <col customWidth="1" hidden="1" min="15" max="15" width="12.38"/>
    <col customWidth="1" min="16" max="16" width="21.25"/>
    <col customWidth="1" min="17" max="17" width="21.0"/>
    <col customWidth="1" min="18" max="18" width="19.88"/>
    <col customWidth="1" hidden="1" min="19" max="19" width="11.25"/>
    <col customWidth="1" hidden="1" min="20" max="20" width="11.75"/>
    <col customWidth="1" hidden="1" min="21" max="21" width="12.25"/>
    <col customWidth="1" min="22" max="22" width="12.38"/>
    <col customWidth="1" min="23" max="23" width="15.25"/>
    <col customWidth="1" min="24" max="24" width="16.0"/>
    <col customWidth="1" min="25" max="25" width="15.5"/>
    <col customWidth="1" min="26" max="27" width="15.13"/>
    <col customWidth="1" min="28" max="28" width="17.25"/>
    <col customWidth="1" min="29" max="29" width="17.13"/>
    <col customWidth="1" min="30" max="30" width="15.13"/>
    <col customWidth="1" min="31" max="31" width="20.63"/>
    <col customWidth="1" min="32" max="32" width="17.25"/>
    <col customWidth="1" min="33" max="33" width="15.13"/>
    <col customWidth="1" min="34" max="34" width="41.25"/>
    <col customWidth="1" min="35" max="36" width="15.13"/>
    <col customWidth="1" hidden="1" min="37" max="37" width="60.5"/>
    <col customWidth="1" min="38" max="38" width="14.13"/>
    <col customWidth="1" min="39" max="39" width="66.63"/>
    <col customWidth="1" hidden="1" min="40" max="61" width="15.13"/>
    <col customWidth="1" min="62" max="62" width="2.63"/>
    <col customWidth="1" hidden="1" min="63" max="63" width="5.38"/>
    <col customWidth="1" hidden="1" min="64" max="64" width="19.0"/>
    <col customWidth="1" hidden="1" min="65" max="65" width="23.13"/>
    <col customWidth="1" hidden="1" min="66" max="66" width="13.63"/>
    <col customWidth="1" hidden="1" min="67" max="67" width="19.0"/>
    <col customWidth="1" hidden="1" min="68" max="68" width="13.63"/>
    <col customWidth="1" hidden="1" min="69" max="70" width="17.5"/>
    <col customWidth="1" hidden="1" min="71" max="74" width="13.63"/>
    <col customWidth="1" hidden="1" min="75" max="75" width="19.0"/>
  </cols>
  <sheetData>
    <row r="1" ht="30.75" customHeight="1">
      <c r="A1" s="11"/>
      <c r="B1" s="12"/>
      <c r="C1" s="12"/>
      <c r="D1" s="12"/>
      <c r="E1" s="12"/>
      <c r="F1" s="12"/>
      <c r="G1" s="12"/>
      <c r="H1" s="12"/>
      <c r="I1" s="12"/>
      <c r="J1" s="12"/>
      <c r="K1" s="12"/>
      <c r="L1" s="12"/>
      <c r="M1" s="12"/>
      <c r="N1" s="12"/>
      <c r="O1" s="12"/>
      <c r="P1" s="13"/>
      <c r="Q1" s="13"/>
      <c r="R1" s="13"/>
      <c r="S1" s="13"/>
      <c r="T1" s="13"/>
      <c r="U1" s="13"/>
      <c r="V1" s="13"/>
      <c r="W1" s="12"/>
      <c r="AG1" s="14" t="s">
        <v>29</v>
      </c>
      <c r="AH1" s="15"/>
      <c r="AI1" s="15"/>
      <c r="AJ1" s="15"/>
      <c r="AK1" s="15"/>
      <c r="AL1" s="15"/>
      <c r="AM1" s="15"/>
      <c r="AN1" s="16"/>
      <c r="AO1" s="17" t="s">
        <v>30</v>
      </c>
      <c r="AP1" s="18"/>
      <c r="AQ1" s="18"/>
      <c r="AR1" s="18"/>
      <c r="AS1" s="18"/>
      <c r="AT1" s="18"/>
      <c r="AU1" s="19"/>
      <c r="AV1" s="17" t="s">
        <v>29</v>
      </c>
      <c r="AW1" s="18"/>
      <c r="AX1" s="18"/>
      <c r="AY1" s="18"/>
      <c r="AZ1" s="18"/>
      <c r="BA1" s="18"/>
      <c r="BB1" s="19"/>
      <c r="BC1" s="17" t="s">
        <v>31</v>
      </c>
      <c r="BD1" s="18"/>
      <c r="BE1" s="18"/>
      <c r="BF1" s="18"/>
      <c r="BG1" s="18"/>
      <c r="BH1" s="18"/>
      <c r="BI1" s="20"/>
      <c r="BJ1" s="21"/>
      <c r="BL1" s="21"/>
      <c r="BM1" s="22" t="s">
        <v>32</v>
      </c>
      <c r="BS1" s="23" t="s">
        <v>33</v>
      </c>
      <c r="BT1" s="23">
        <v>-1.0</v>
      </c>
      <c r="BU1" s="23">
        <v>0.0</v>
      </c>
      <c r="BV1" s="23">
        <v>1.0</v>
      </c>
      <c r="BW1" s="21"/>
    </row>
    <row r="2" ht="33.75" customHeight="1">
      <c r="A2" s="24"/>
      <c r="B2" s="25" t="s">
        <v>34</v>
      </c>
      <c r="C2" s="26" t="s">
        <v>35</v>
      </c>
      <c r="D2" s="25" t="s">
        <v>36</v>
      </c>
      <c r="E2" s="25" t="s">
        <v>37</v>
      </c>
      <c r="F2" s="27" t="s">
        <v>38</v>
      </c>
      <c r="G2" s="28" t="s">
        <v>39</v>
      </c>
      <c r="H2" s="25" t="s">
        <v>40</v>
      </c>
      <c r="I2" s="28" t="s">
        <v>41</v>
      </c>
      <c r="J2" s="28" t="s">
        <v>42</v>
      </c>
      <c r="K2" s="28" t="s">
        <v>43</v>
      </c>
      <c r="L2" s="28" t="s">
        <v>44</v>
      </c>
      <c r="M2" s="25" t="s">
        <v>45</v>
      </c>
      <c r="N2" s="25" t="s">
        <v>46</v>
      </c>
      <c r="O2" s="28" t="s">
        <v>47</v>
      </c>
      <c r="P2" s="29" t="s">
        <v>48</v>
      </c>
      <c r="Q2" s="29" t="s">
        <v>49</v>
      </c>
      <c r="R2" s="29" t="s">
        <v>50</v>
      </c>
      <c r="S2" s="29" t="s">
        <v>51</v>
      </c>
      <c r="T2" s="29" t="s">
        <v>52</v>
      </c>
      <c r="U2" s="29" t="s">
        <v>53</v>
      </c>
      <c r="V2" s="29" t="s">
        <v>54</v>
      </c>
      <c r="W2" s="25" t="s">
        <v>55</v>
      </c>
      <c r="X2" s="26" t="s">
        <v>56</v>
      </c>
      <c r="Y2" s="26" t="s">
        <v>57</v>
      </c>
      <c r="Z2" s="26" t="s">
        <v>58</v>
      </c>
      <c r="AA2" s="26" t="s">
        <v>59</v>
      </c>
      <c r="AB2" s="26" t="s">
        <v>60</v>
      </c>
      <c r="AC2" s="26" t="s">
        <v>61</v>
      </c>
      <c r="AD2" s="26" t="s">
        <v>62</v>
      </c>
      <c r="AE2" s="26" t="s">
        <v>63</v>
      </c>
      <c r="AF2" s="26" t="s">
        <v>64</v>
      </c>
      <c r="AG2" s="25" t="s">
        <v>65</v>
      </c>
      <c r="AH2" s="26" t="s">
        <v>66</v>
      </c>
      <c r="AI2" s="26" t="s">
        <v>67</v>
      </c>
      <c r="AJ2" s="26" t="s">
        <v>68</v>
      </c>
      <c r="AK2" s="26"/>
      <c r="AL2" s="26" t="s">
        <v>69</v>
      </c>
      <c r="AM2" s="26" t="s">
        <v>70</v>
      </c>
      <c r="AN2" s="30" t="s">
        <v>71</v>
      </c>
      <c r="AO2" s="30" t="s">
        <v>72</v>
      </c>
      <c r="AP2" s="30" t="s">
        <v>66</v>
      </c>
      <c r="AQ2" s="30" t="s">
        <v>67</v>
      </c>
      <c r="AR2" s="30" t="s">
        <v>68</v>
      </c>
      <c r="AS2" s="30" t="s">
        <v>73</v>
      </c>
      <c r="AT2" s="30" t="s">
        <v>70</v>
      </c>
      <c r="AU2" s="30" t="s">
        <v>71</v>
      </c>
      <c r="AV2" s="30" t="s">
        <v>72</v>
      </c>
      <c r="AW2" s="30" t="s">
        <v>66</v>
      </c>
      <c r="AX2" s="30" t="s">
        <v>67</v>
      </c>
      <c r="AY2" s="30" t="s">
        <v>68</v>
      </c>
      <c r="AZ2" s="30" t="s">
        <v>73</v>
      </c>
      <c r="BA2" s="30" t="s">
        <v>70</v>
      </c>
      <c r="BB2" s="30" t="s">
        <v>71</v>
      </c>
      <c r="BC2" s="30" t="s">
        <v>72</v>
      </c>
      <c r="BD2" s="30" t="s">
        <v>66</v>
      </c>
      <c r="BE2" s="30" t="s">
        <v>67</v>
      </c>
      <c r="BF2" s="30" t="s">
        <v>68</v>
      </c>
      <c r="BG2" s="30" t="s">
        <v>73</v>
      </c>
      <c r="BH2" s="31" t="s">
        <v>70</v>
      </c>
      <c r="BI2" s="32" t="s">
        <v>71</v>
      </c>
      <c r="BJ2" s="21"/>
      <c r="BL2" s="21"/>
      <c r="BM2" s="33" t="s">
        <v>74</v>
      </c>
      <c r="BN2" s="34" t="s">
        <v>75</v>
      </c>
      <c r="BO2" s="34" t="s">
        <v>76</v>
      </c>
      <c r="BP2" s="34" t="s">
        <v>77</v>
      </c>
      <c r="BQ2" s="34" t="s">
        <v>78</v>
      </c>
      <c r="BR2" s="34" t="s">
        <v>79</v>
      </c>
      <c r="BS2" s="35" t="s">
        <v>80</v>
      </c>
      <c r="BT2" s="36" t="s">
        <v>81</v>
      </c>
      <c r="BU2" s="36" t="s">
        <v>82</v>
      </c>
      <c r="BV2" s="36" t="s">
        <v>83</v>
      </c>
      <c r="BW2" s="21"/>
    </row>
    <row r="3" ht="33.75" customHeight="1">
      <c r="A3" s="37"/>
      <c r="B3" s="38">
        <f>IFERROR(__xludf.DUMMYFUNCTION("{FILTER(Administrativa!B4:AJ8,NOT(ISBLANK(Administrativa!B4:B8)));
FILTER(Comunicaciones!B4:AJ12,NOT(ISBLANK(Comunicaciones!B4:B12)));
FILTER(A_Ciudadano!B4:AJ9,NOT(ISBLANK(A_Ciudadano!B4:B9)));
FILTER(Contratos!B4:AJ12,NOT(ISBLANK(Contratos!B4:B12)));
FI"&amp;"LTER(C_Interno!B4:AJ6,NOT(ISBLANK(C_Interno!B4:B6)));
FILTER(DTAF!B4:AJ18,NOT(ISBLANK(DTAF!B4:B18)));
FILTER(CI_Disciplinario!B4:AJ8,NOT(ISBLANK(CI_Disciplinario!B4:B8)));
FILTER(DTIV!B4:AJ12,NOT(ISBLANK(DTIV!B4:B12)));
FILTER(Financiera!B4:AJ8,NOT(ISBLAN"&amp;"K(Financiera!B4:B8)));
FILTER(G_Documental!B4:AJ8,NOT(ISBLANK(G_Documental!B4:B8)));
FILTER(OA_Juridica!B4:AJ15,NOT(ISBLANK(OA_Juridica!B4:B15)));
FILTER(OGCI!B4:AJ17,NOT(ISBLANK(OGCI!B4:B17)));
FILTER('Planeación'!B4:AJ13,NOT(ISBLANK('Planeación'!B4:B13)"&amp;"));
FILTER(Sistemas!B4:AJ10,NOT(ISBLANK(Sistemas!B4:B10)));
FILTER(T_Humano!B4:AJ9,NOT(ISBLANK(T_Humano!B4:B9)));
FILTER(R_Barrancabermeja!B4:AJ13,NOT(ISBLANK(R_Barrancabermeja!B4:B13)));
FILTER(R_Barranquilla!B4:AJ22,NOT(ISBLANK(R_Barranquilla!B4:B22)));"&amp;"
FILTER(R_Bogota!B4:AJ15,NOT(ISBLANK(R_Bogota!B4:B15)));
FILTER(R_Cali!B4:AJ17,NOT(ISBLANK(R_Cali!B4:B17)));
FILTER(R_Magangue!B4:AJ11,NOT(ISBLANK(R_Magangue!B4:B11)));
FILTER(R_Medellin!B4:AJ15,NOT(ISBLANK(R_Medellin!B4:B15)));
FILTER(R_Villavicencio!B4:"&amp;"AJ13,NOT(ISBLANK(R_Villavicencio!B4:B13)))}"),1.0)</f>
        <v>1</v>
      </c>
      <c r="C3" s="39" t="str">
        <f>IFERROR(__xludf.DUMMYFUNCTION("""COMPUTED_VALUE"""),"Gestión administrativa")</f>
        <v>Gestión administrativa</v>
      </c>
      <c r="D3" s="40" t="str">
        <f>IFERROR(__xludf.DUMMYFUNCTION("""COMPUTED_VALUE"""),"Administrativa")</f>
        <v>Administrativa</v>
      </c>
      <c r="E3" s="40" t="str">
        <f>IFERROR(__xludf.DUMMYFUNCTION("""COMPUTED_VALUE"""),"Fortalecimiento de la capacidad de gestión de la autoridad nacional de acuicultura y pesca - aunap nacional")</f>
        <v>Fortalecimiento de la capacidad de gestión de la autoridad nacional de acuicultura y pesca - aunap nacional</v>
      </c>
      <c r="F3" s="40">
        <f>IFERROR(__xludf.DUMMYFUNCTION("""COMPUTED_VALUE"""),2.01801E12)</f>
        <v>2018010000000</v>
      </c>
      <c r="G3" s="41" t="str">
        <f>IFERROR(__xludf.DUMMYFUNCTION("""COMPUTED_VALUE"""),"Fortalecimiento")</f>
        <v>Fortalecimiento</v>
      </c>
      <c r="H3" s="40" t="str">
        <f>IFERROR(__xludf.DUMMYFUNCTION("""COMPUTED_VALUE"""),"Mejorar las condiciones en la infraestructura física de las sedes de la AUNAP")</f>
        <v>Mejorar las condiciones en la infraestructura física de las sedes de la AUNAP</v>
      </c>
      <c r="I3" s="40" t="str">
        <f>IFERROR(__xludf.DUMMYFUNCTION("""COMPUTED_VALUE"""),"Sedes adecuadas")</f>
        <v>Sedes adecuadas</v>
      </c>
      <c r="J3" s="40" t="str">
        <f>IFERROR(__xludf.DUMMYFUNCTION("""COMPUTED_VALUE"""),"Adecuar locativamente las sedes de la AUNAP, para ofrecer mejores condiciones a los servidores públicos y brindar una adecuada prestación del servicios")</f>
        <v>Adecuar locativamente las sedes de la AUNAP, para ofrecer mejores condiciones a los servidores públicos y brindar una adecuada prestación del servicios</v>
      </c>
      <c r="K3" s="42" t="str">
        <f>IFERROR(__xludf.DUMMYFUNCTION("""COMPUTED_VALUE"""),"Producto")</f>
        <v>Producto</v>
      </c>
      <c r="L3" s="42" t="str">
        <f>IFERROR(__xludf.DUMMYFUNCTION("""COMPUTED_VALUE"""),"Eficacia")</f>
        <v>Eficacia</v>
      </c>
      <c r="M3" s="42" t="str">
        <f>IFERROR(__xludf.DUMMYFUNCTION("""COMPUTED_VALUE"""),"Número")</f>
        <v>Número</v>
      </c>
      <c r="N3" s="43" t="str">
        <f>IFERROR(__xludf.DUMMYFUNCTION("""COMPUTED_VALUE"""),"Sedes adecuadas")</f>
        <v>Sedes adecuadas</v>
      </c>
      <c r="O3" s="44">
        <f>IFERROR(__xludf.DUMMYFUNCTION("""COMPUTED_VALUE"""),1.0)</f>
        <v>1</v>
      </c>
      <c r="P3" s="45">
        <f>IFERROR(__xludf.DUMMYFUNCTION("""COMPUTED_VALUE"""),1.0)</f>
        <v>1</v>
      </c>
      <c r="Q3" s="46" t="str">
        <f>IFERROR(__xludf.DUMMYFUNCTION("""COMPUTED_VALUE"""),"Hacer una intervencion de Adecuación a un bien inmueble de la AUNAP")</f>
        <v>Hacer una intervencion de Adecuación a un bien inmueble de la AUNAP</v>
      </c>
      <c r="R3" s="47" t="str">
        <f>IFERROR(__xludf.DUMMYFUNCTION("""COMPUTED_VALUE"""),"Anual")</f>
        <v>Anual</v>
      </c>
      <c r="S3" s="45">
        <f>IFERROR(__xludf.DUMMYFUNCTION("""COMPUTED_VALUE"""),0.0)</f>
        <v>0</v>
      </c>
      <c r="T3" s="45">
        <f>IFERROR(__xludf.DUMMYFUNCTION("""COMPUTED_VALUE"""),0.0)</f>
        <v>0</v>
      </c>
      <c r="U3" s="45">
        <f>IFERROR(__xludf.DUMMYFUNCTION("""COMPUTED_VALUE"""),0.0)</f>
        <v>0</v>
      </c>
      <c r="V3" s="45">
        <f>IFERROR(__xludf.DUMMYFUNCTION("""COMPUTED_VALUE"""),1.0)</f>
        <v>1</v>
      </c>
      <c r="W3" s="48" t="str">
        <f>IFERROR(__xludf.DUMMYFUNCTION("""COMPUTED_VALUE"""),"Coordinación Administrativa")</f>
        <v>Coordinación Administrativa</v>
      </c>
      <c r="X3" s="49" t="str">
        <f>IFERROR(__xludf.DUMMYFUNCTION("""COMPUTED_VALUE"""),"Gustavo Polo")</f>
        <v>Gustavo Polo</v>
      </c>
      <c r="Y3" s="39" t="str">
        <f>IFERROR(__xludf.DUMMYFUNCTION("""COMPUTED_VALUE"""),"Coordinador Administrativa")</f>
        <v>Coordinador Administrativa</v>
      </c>
      <c r="Z3" s="49" t="str">
        <f>IFERROR(__xludf.DUMMYFUNCTION("""COMPUTED_VALUE"""),"gustavo.polo@aunap.gov.co")</f>
        <v>gustavo.polo@aunap.gov.co</v>
      </c>
      <c r="AA3" s="39" t="str">
        <f>IFERROR(__xludf.DUMMYFUNCTION("""COMPUTED_VALUE"""),"Humanos, fisicos, financieros")</f>
        <v>Humanos, fisicos, financieros</v>
      </c>
      <c r="AB3" s="39" t="str">
        <f>IFERROR(__xludf.DUMMYFUNCTION("""COMPUTED_VALUE"""),"Plan Anual de Adquisiciones - PAA")</f>
        <v>Plan Anual de Adquisiciones - PAA</v>
      </c>
      <c r="AC3" s="39" t="str">
        <f>IFERROR(__xludf.DUMMYFUNCTION("""COMPUTED_VALUE"""),"Llegar con actividades de pesca y acuicultura a todas las regiones")</f>
        <v>Llegar con actividades de pesca y acuicultura a todas las regiones</v>
      </c>
      <c r="AD3" s="39" t="str">
        <f>IFERROR(__xludf.DUMMYFUNCTION("""COMPUTED_VALUE"""),"Direccionamiento Estratégico")</f>
        <v>Direccionamiento Estratégico</v>
      </c>
      <c r="AE3" s="39" t="str">
        <f>IFERROR(__xludf.DUMMYFUNCTION("""COMPUTED_VALUE"""),"Gestión Presupuestal y Eficiencia del Gasto Público")</f>
        <v>Gestión Presupuestal y Eficiencia del Gasto Público</v>
      </c>
      <c r="AF3" s="39" t="str">
        <f>IFERROR(__xludf.DUMMYFUNCTION("""COMPUTED_VALUE"""),"16. Paz, justicia e instituciones sólidas")</f>
        <v>16. Paz, justicia e instituciones sólidas</v>
      </c>
      <c r="AG3" s="50">
        <f>IFERROR(__xludf.DUMMYFUNCTION("""COMPUTED_VALUE"""),0.05)</f>
        <v>0.05</v>
      </c>
      <c r="AH3" s="51" t="str">
        <f>IFERROR(__xludf.DUMMYFUNCTION("""COMPUTED_VALUE"""),"Ya se tiene el CDP para la ejecucion de las obras, sin embargo estamos haciendo las gestiones para la utilizacion y verificacion de las adecuaciones a realizar ")</f>
        <v>Ya se tiene el CDP para la ejecucion de las obras, sin embargo estamos haciendo las gestiones para la utilizacion y verificacion de las adecuaciones a realizar </v>
      </c>
      <c r="AI3" s="51"/>
      <c r="AJ3" s="52">
        <f>IFERROR(__xludf.DUMMYFUNCTION("""COMPUTED_VALUE"""),44298.0)</f>
        <v>44298</v>
      </c>
      <c r="AK3" s="53" t="str">
        <f>IFERROR(IF((AL3+1)&lt;2,Alertas!$B$2&amp;TEXT(AL3,"0%")&amp;Alertas!$D$2, IF((AL3+1)=2,Alertas!$B$3,IF((AL3+1)&gt;2,Alertas!$B$4&amp;TEXT(AL3,"0%")&amp;Alertas!$D$4,AL3+1))),"Sin meta para el cuarto trimestre")</f>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L3" s="54">
        <f t="shared" ref="AL3:AL159" si="2">IF(AND(OR(NOT(ISBLANK(AG3)),NOT(ISBLANK(AH3)),NOT(ISBLANK(AI3))),OR(V3=0,V3="-")),IF(OR(AG3=0,AG3=""),"-",1+AG3),IF(V3=0,"-",AG3/V3))</f>
        <v>0.05</v>
      </c>
      <c r="AM3" s="53" t="str">
        <f t="shared" ref="AM3:AM159" si="3">IF(AND(ISBLANK(AG3),V3&lt;&gt;0),"No reporto ejecución. "&amp;CHAR(10),"")
&amp;IF(AND(ISBLANK(AH3),V3&lt;&gt;0),"No reporto justificación de avance. "&amp;CHAR(10),"")
&amp;IF(AND(ISBLANK(AI3),V3&lt;&gt;0),"No reporto evidencia."&amp;CHAR(10),"")
&amp;IF(ISBLANK(AL3),"vacio",AK3)&amp;"."</f>
        <v>No reporto evidencia.
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N3" s="55"/>
      <c r="AO3" s="56"/>
      <c r="AP3" s="57"/>
      <c r="AQ3" s="57"/>
      <c r="AR3" s="58"/>
      <c r="AS3" s="59"/>
      <c r="AT3" s="60"/>
      <c r="AU3" s="55"/>
      <c r="AV3" s="56"/>
      <c r="AW3" s="61"/>
      <c r="AX3" s="57"/>
      <c r="AY3" s="62"/>
      <c r="AZ3" s="63"/>
      <c r="BA3" s="64"/>
      <c r="BB3" s="65"/>
      <c r="BC3" s="56"/>
      <c r="BD3" s="61"/>
      <c r="BE3" s="57"/>
      <c r="BF3" s="58"/>
      <c r="BG3" s="63"/>
      <c r="BH3" s="64"/>
      <c r="BI3" s="66"/>
      <c r="BK3" s="21" t="str">
        <f t="shared" ref="BK3:BK15" si="4">IFERROR(IF((AL3+1)&lt;2,"-1", IF((AL3+1)=2,"0",IF((AL3+1)&gt;2,"1",AL3+1))),"-")</f>
        <v>-1</v>
      </c>
      <c r="BM3" s="67" t="s">
        <v>84</v>
      </c>
      <c r="BN3" s="68">
        <f t="shared" ref="BN3:BN24" si="5">COUNTIFS($D:$D,BM3)</f>
        <v>3</v>
      </c>
      <c r="BO3" s="69">
        <f t="shared" ref="BO3:BO24" si="6">COUNTIFS($D:$D,$BM3,$V:$V,"&gt;0")</f>
        <v>3</v>
      </c>
      <c r="BP3" s="69">
        <f t="shared" ref="BP3:BP24" si="7">COUNTIFS($D:$D,$BM3,$AG:$AG,"&gt;0")</f>
        <v>3</v>
      </c>
      <c r="BQ3" s="70">
        <f t="shared" ref="BQ3:BQ24" si="8">IFERROR(AVERAGEIFS($AL:$AL,$D:$D,$BM3),"-")</f>
        <v>0.06666666667</v>
      </c>
      <c r="BR3" s="69" t="str">
        <f t="shared" ref="BR3:BR24" si="9">IFERROR(IF(BQ3+1&lt;1.9,"Baja Ejecución",IF(BQ3+1&gt;2.1,"Sobre Ejecución","Cumplimiento Adecuado")),"-")</f>
        <v>Baja Ejecución</v>
      </c>
      <c r="BS3" s="71">
        <f t="shared" ref="BS3:BV3" si="1">COUNTIFS($D:$D,$BM3,$BK:$BK,BS$1)</f>
        <v>0</v>
      </c>
      <c r="BT3" s="71">
        <f t="shared" si="1"/>
        <v>3</v>
      </c>
      <c r="BU3" s="71">
        <f t="shared" si="1"/>
        <v>0</v>
      </c>
      <c r="BV3" s="71">
        <f t="shared" si="1"/>
        <v>0</v>
      </c>
    </row>
    <row r="4" ht="33.75" customHeight="1">
      <c r="A4" s="37"/>
      <c r="B4" s="38">
        <f>IFERROR(__xludf.DUMMYFUNCTION("""COMPUTED_VALUE"""),2.0)</f>
        <v>2</v>
      </c>
      <c r="C4" s="39" t="str">
        <f>IFERROR(__xludf.DUMMYFUNCTION("""COMPUTED_VALUE"""),"Gestión administrativa")</f>
        <v>Gestión administrativa</v>
      </c>
      <c r="D4" s="40" t="str">
        <f>IFERROR(__xludf.DUMMYFUNCTION("""COMPUTED_VALUE"""),"Administrativa")</f>
        <v>Administrativa</v>
      </c>
      <c r="E4" s="40" t="str">
        <f>IFERROR(__xludf.DUMMYFUNCTION("""COMPUTED_VALUE"""),"Fortalecimiento de la capacidad de gestión de la autoridad nacional de acuicultura y pesca - aunap nacional")</f>
        <v>Fortalecimiento de la capacidad de gestión de la autoridad nacional de acuicultura y pesca - aunap nacional</v>
      </c>
      <c r="F4" s="40">
        <f>IFERROR(__xludf.DUMMYFUNCTION("""COMPUTED_VALUE"""),2.01801E12)</f>
        <v>2018010000000</v>
      </c>
      <c r="G4" s="41" t="str">
        <f>IFERROR(__xludf.DUMMYFUNCTION("""COMPUTED_VALUE"""),"Fortalecimiento")</f>
        <v>Fortalecimiento</v>
      </c>
      <c r="H4" s="40" t="str">
        <f>IFERROR(__xludf.DUMMYFUNCTION("""COMPUTED_VALUE"""),"Mejorar las condiciones en la infraestructura física de las sedes de la AUNAP")</f>
        <v>Mejorar las condiciones en la infraestructura física de las sedes de la AUNAP</v>
      </c>
      <c r="I4" s="40" t="str">
        <f>IFERROR(__xludf.DUMMYFUNCTION("""COMPUTED_VALUE"""),"Sedes mantenidas")</f>
        <v>Sedes mantenidas</v>
      </c>
      <c r="J4" s="40" t="str">
        <f>IFERROR(__xludf.DUMMYFUNCTION("""COMPUTED_VALUE"""),"Realizar mantenimiento preventivo y correctivo a las sedes de AUNAP, para brindar una mejor prestación del servicios de atención a la ciudadanía")</f>
        <v>Realizar mantenimiento preventivo y correctivo a las sedes de AUNAP, para brindar una mejor prestación del servicios de atención a la ciudadanía</v>
      </c>
      <c r="K4" s="42" t="str">
        <f>IFERROR(__xludf.DUMMYFUNCTION("""COMPUTED_VALUE"""),"Producto")</f>
        <v>Producto</v>
      </c>
      <c r="L4" s="42" t="str">
        <f>IFERROR(__xludf.DUMMYFUNCTION("""COMPUTED_VALUE"""),"Eficacia")</f>
        <v>Eficacia</v>
      </c>
      <c r="M4" s="42" t="str">
        <f>IFERROR(__xludf.DUMMYFUNCTION("""COMPUTED_VALUE"""),"Número")</f>
        <v>Número</v>
      </c>
      <c r="N4" s="43" t="str">
        <f>IFERROR(__xludf.DUMMYFUNCTION("""COMPUTED_VALUE"""),"Sedes mantenidas")</f>
        <v>Sedes mantenidas</v>
      </c>
      <c r="O4" s="44">
        <f>IFERROR(__xludf.DUMMYFUNCTION("""COMPUTED_VALUE"""),1.0)</f>
        <v>1</v>
      </c>
      <c r="P4" s="45">
        <f>IFERROR(__xludf.DUMMYFUNCTION("""COMPUTED_VALUE"""),1.0)</f>
        <v>1</v>
      </c>
      <c r="Q4" s="46" t="str">
        <f>IFERROR(__xludf.DUMMYFUNCTION("""COMPUTED_VALUE"""),"Realizar un mantenimiento a un bien inmueble de la AUNAP")</f>
        <v>Realizar un mantenimiento a un bien inmueble de la AUNAP</v>
      </c>
      <c r="R4" s="47" t="str">
        <f>IFERROR(__xludf.DUMMYFUNCTION("""COMPUTED_VALUE"""),"Anual")</f>
        <v>Anual</v>
      </c>
      <c r="S4" s="45">
        <f>IFERROR(__xludf.DUMMYFUNCTION("""COMPUTED_VALUE"""),0.0)</f>
        <v>0</v>
      </c>
      <c r="T4" s="45">
        <f>IFERROR(__xludf.DUMMYFUNCTION("""COMPUTED_VALUE"""),0.0)</f>
        <v>0</v>
      </c>
      <c r="U4" s="45">
        <f>IFERROR(__xludf.DUMMYFUNCTION("""COMPUTED_VALUE"""),0.0)</f>
        <v>0</v>
      </c>
      <c r="V4" s="45">
        <f>IFERROR(__xludf.DUMMYFUNCTION("""COMPUTED_VALUE"""),1.0)</f>
        <v>1</v>
      </c>
      <c r="W4" s="48" t="str">
        <f>IFERROR(__xludf.DUMMYFUNCTION("""COMPUTED_VALUE"""),"Coordinación Administrativa")</f>
        <v>Coordinación Administrativa</v>
      </c>
      <c r="X4" s="49" t="str">
        <f>IFERROR(__xludf.DUMMYFUNCTION("""COMPUTED_VALUE"""),"Gustavo Polo")</f>
        <v>Gustavo Polo</v>
      </c>
      <c r="Y4" s="39" t="str">
        <f>IFERROR(__xludf.DUMMYFUNCTION("""COMPUTED_VALUE"""),"Coordinador Administrativa")</f>
        <v>Coordinador Administrativa</v>
      </c>
      <c r="Z4" s="49" t="str">
        <f>IFERROR(__xludf.DUMMYFUNCTION("""COMPUTED_VALUE"""),"gustavo.polo@aunap.gov.co")</f>
        <v>gustavo.polo@aunap.gov.co</v>
      </c>
      <c r="AA4" s="39" t="str">
        <f>IFERROR(__xludf.DUMMYFUNCTION("""COMPUTED_VALUE"""),"Humanos, fisicos, financieros")</f>
        <v>Humanos, fisicos, financieros</v>
      </c>
      <c r="AB4" s="39" t="str">
        <f>IFERROR(__xludf.DUMMYFUNCTION("""COMPUTED_VALUE"""),"Plan Anual de Adquisiciones - PAA")</f>
        <v>Plan Anual de Adquisiciones - PAA</v>
      </c>
      <c r="AC4" s="39" t="str">
        <f>IFERROR(__xludf.DUMMYFUNCTION("""COMPUTED_VALUE"""),"Llegar con actividades de pesca y acuicultura a todas las regiones")</f>
        <v>Llegar con actividades de pesca y acuicultura a todas las regiones</v>
      </c>
      <c r="AD4" s="39" t="str">
        <f>IFERROR(__xludf.DUMMYFUNCTION("""COMPUTED_VALUE"""),"Direccionamiento Estratégico")</f>
        <v>Direccionamiento Estratégico</v>
      </c>
      <c r="AE4" s="39" t="str">
        <f>IFERROR(__xludf.DUMMYFUNCTION("""COMPUTED_VALUE"""),"Gestión Presupuestal y Eficiencia del Gasto Público")</f>
        <v>Gestión Presupuestal y Eficiencia del Gasto Público</v>
      </c>
      <c r="AF4" s="39" t="str">
        <f>IFERROR(__xludf.DUMMYFUNCTION("""COMPUTED_VALUE"""),"16. Paz, justicia e instituciones sólidas")</f>
        <v>16. Paz, justicia e instituciones sólidas</v>
      </c>
      <c r="AG4" s="50">
        <f>IFERROR(__xludf.DUMMYFUNCTION("""COMPUTED_VALUE"""),0.05)</f>
        <v>0.05</v>
      </c>
      <c r="AH4" s="51" t="str">
        <f>IFERROR(__xludf.DUMMYFUNCTION("""COMPUTED_VALUE"""),"Ya se tiene el CDP para la ejecucion de las obras, sin embargo estamos haciendo las gestiones para la utilizacion y verificacion de las mantenimientos a realizar ")</f>
        <v>Ya se tiene el CDP para la ejecucion de las obras, sin embargo estamos haciendo las gestiones para la utilizacion y verificacion de las mantenimientos a realizar </v>
      </c>
      <c r="AI4" s="72" t="str">
        <f>IFERROR(__xludf.DUMMYFUNCTION("""COMPUTED_VALUE"""),"https://drive.google.com/drive/folders/1YOZ2PHz_hMEngA2fzScM4Y-CxRFGQgLi?usp=sharing")</f>
        <v>https://drive.google.com/drive/folders/1YOZ2PHz_hMEngA2fzScM4Y-CxRFGQgLi?usp=sharing</v>
      </c>
      <c r="AJ4" s="52">
        <f>IFERROR(__xludf.DUMMYFUNCTION("""COMPUTED_VALUE"""),44298.0)</f>
        <v>44298</v>
      </c>
      <c r="AK4" s="53" t="str">
        <f>IFERROR(IF((AL4+1)&lt;2,Alertas!$B$2&amp;TEXT(AL4,"0%")&amp;Alertas!$D$2, IF((AL4+1)=2,Alertas!$B$3,IF((AL4+1)&gt;2,Alertas!$B$4&amp;TEXT(AL4,"0%")&amp;Alertas!$D$4,AL4+1))),"Sin meta para el cuarto trimestre")</f>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L4" s="54">
        <f t="shared" si="2"/>
        <v>0.05</v>
      </c>
      <c r="AM4" s="53" t="str">
        <f t="shared" si="3"/>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N4" s="55"/>
      <c r="AO4" s="56"/>
      <c r="AP4" s="57"/>
      <c r="AQ4" s="57"/>
      <c r="AR4" s="58"/>
      <c r="AS4" s="59"/>
      <c r="AT4" s="60"/>
      <c r="AU4" s="55"/>
      <c r="AV4" s="56"/>
      <c r="AW4" s="61"/>
      <c r="AX4" s="57"/>
      <c r="AY4" s="62"/>
      <c r="AZ4" s="63"/>
      <c r="BA4" s="64"/>
      <c r="BB4" s="65"/>
      <c r="BC4" s="56"/>
      <c r="BD4" s="61"/>
      <c r="BE4" s="57"/>
      <c r="BF4" s="58"/>
      <c r="BG4" s="63"/>
      <c r="BH4" s="64"/>
      <c r="BI4" s="66"/>
      <c r="BK4" s="21" t="str">
        <f t="shared" si="4"/>
        <v>-1</v>
      </c>
      <c r="BM4" s="67" t="s">
        <v>85</v>
      </c>
      <c r="BN4" s="73">
        <f t="shared" si="5"/>
        <v>7</v>
      </c>
      <c r="BO4" s="47">
        <f t="shared" si="6"/>
        <v>6</v>
      </c>
      <c r="BP4" s="69">
        <f t="shared" si="7"/>
        <v>3</v>
      </c>
      <c r="BQ4" s="70">
        <f t="shared" si="8"/>
        <v>0.3777777778</v>
      </c>
      <c r="BR4" s="69" t="str">
        <f t="shared" si="9"/>
        <v>Baja Ejecución</v>
      </c>
      <c r="BS4" s="71">
        <f t="shared" ref="BS4:BV4" si="10">COUNTIFS($D:$D,$BM4,$BK:$BK,BS$1)</f>
        <v>1</v>
      </c>
      <c r="BT4" s="71">
        <f t="shared" si="10"/>
        <v>5</v>
      </c>
      <c r="BU4" s="71">
        <f t="shared" si="10"/>
        <v>1</v>
      </c>
      <c r="BV4" s="71">
        <f t="shared" si="10"/>
        <v>0</v>
      </c>
    </row>
    <row r="5" ht="33.75" customHeight="1">
      <c r="A5" s="37"/>
      <c r="B5" s="38">
        <f>IFERROR(__xludf.DUMMYFUNCTION("""COMPUTED_VALUE"""),3.0)</f>
        <v>3</v>
      </c>
      <c r="C5" s="39" t="str">
        <f>IFERROR(__xludf.DUMMYFUNCTION("""COMPUTED_VALUE"""),"Gestión administrativa")</f>
        <v>Gestión administrativa</v>
      </c>
      <c r="D5" s="40" t="str">
        <f>IFERROR(__xludf.DUMMYFUNCTION("""COMPUTED_VALUE"""),"Administrativa")</f>
        <v>Administrativa</v>
      </c>
      <c r="E5" s="40" t="str">
        <f>IFERROR(__xludf.DUMMYFUNCTION("""COMPUTED_VALUE"""),"Fortalecimiento de la capacidad de gestión de la autoridad nacional de acuicultura y pesca - aunap nacional")</f>
        <v>Fortalecimiento de la capacidad de gestión de la autoridad nacional de acuicultura y pesca - aunap nacional</v>
      </c>
      <c r="F5" s="40">
        <f>IFERROR(__xludf.DUMMYFUNCTION("""COMPUTED_VALUE"""),2.01801E12)</f>
        <v>2018010000000</v>
      </c>
      <c r="G5" s="41" t="str">
        <f>IFERROR(__xludf.DUMMYFUNCTION("""COMPUTED_VALUE"""),"Fortalecimiento")</f>
        <v>Fortalecimiento</v>
      </c>
      <c r="H5" s="40" t="str">
        <f>IFERROR(__xludf.DUMMYFUNCTION("""COMPUTED_VALUE"""),"Fortalecer los sistemas de gestión de la Entidad")</f>
        <v>Fortalecer los sistemas de gestión de la Entidad</v>
      </c>
      <c r="I5" s="40" t="str">
        <f>IFERROR(__xludf.DUMMYFUNCTION("""COMPUTED_VALUE"""),"Servicio de Implementación Sistemas de Gestión")</f>
        <v>Servicio de Implementación Sistemas de Gestión</v>
      </c>
      <c r="J5"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 s="42" t="str">
        <f>IFERROR(__xludf.DUMMYFUNCTION("""COMPUTED_VALUE"""),"Gestión del área")</f>
        <v>Gestión del área</v>
      </c>
      <c r="L5" s="42" t="str">
        <f>IFERROR(__xludf.DUMMYFUNCTION("""COMPUTED_VALUE"""),"Eficacia")</f>
        <v>Eficacia</v>
      </c>
      <c r="M5" s="42" t="str">
        <f>IFERROR(__xludf.DUMMYFUNCTION("""COMPUTED_VALUE"""),"Porcentaje")</f>
        <v>Porcentaje</v>
      </c>
      <c r="N5" s="43" t="str">
        <f>IFERROR(__xludf.DUMMYFUNCTION("""COMPUTED_VALUE"""),"Inventarios nivel central realizados / Total de inventarios nivel central programados")</f>
        <v>Inventarios nivel central realizados / Total de inventarios nivel central programados</v>
      </c>
      <c r="O5" s="44">
        <f>IFERROR(__xludf.DUMMYFUNCTION("""COMPUTED_VALUE"""),1.0)</f>
        <v>1</v>
      </c>
      <c r="P5" s="74">
        <f>IFERROR(__xludf.DUMMYFUNCTION("""COMPUTED_VALUE"""),1.0)</f>
        <v>1</v>
      </c>
      <c r="Q5" s="75" t="str">
        <f>IFERROR(__xludf.DUMMYFUNCTION("""COMPUTED_VALUE"""),"Hacer inventario de los bienes muebles a las oficinas Buenaventura, Magangue y Villavicencio")</f>
        <v>Hacer inventario de los bienes muebles a las oficinas Buenaventura, Magangue y Villavicencio</v>
      </c>
      <c r="R5" s="75" t="str">
        <f>IFERROR(__xludf.DUMMYFUNCTION("""COMPUTED_VALUE"""),"Anual")</f>
        <v>Anual</v>
      </c>
      <c r="S5" s="74">
        <f>IFERROR(__xludf.DUMMYFUNCTION("""COMPUTED_VALUE"""),0.0)</f>
        <v>0</v>
      </c>
      <c r="T5" s="74">
        <f>IFERROR(__xludf.DUMMYFUNCTION("""COMPUTED_VALUE"""),0.2)</f>
        <v>0.2</v>
      </c>
      <c r="U5" s="74">
        <f>IFERROR(__xludf.DUMMYFUNCTION("""COMPUTED_VALUE"""),0.3)</f>
        <v>0.3</v>
      </c>
      <c r="V5" s="74">
        <f>IFERROR(__xludf.DUMMYFUNCTION("""COMPUTED_VALUE"""),0.5)</f>
        <v>0.5</v>
      </c>
      <c r="W5" s="48" t="str">
        <f>IFERROR(__xludf.DUMMYFUNCTION("""COMPUTED_VALUE"""),"Coordinación Administrativa")</f>
        <v>Coordinación Administrativa</v>
      </c>
      <c r="X5" s="49" t="str">
        <f>IFERROR(__xludf.DUMMYFUNCTION("""COMPUTED_VALUE"""),"Gustavo Polo")</f>
        <v>Gustavo Polo</v>
      </c>
      <c r="Y5" s="39" t="str">
        <f>IFERROR(__xludf.DUMMYFUNCTION("""COMPUTED_VALUE"""),"Coordinador Administrativa")</f>
        <v>Coordinador Administrativa</v>
      </c>
      <c r="Z5" s="49" t="str">
        <f>IFERROR(__xludf.DUMMYFUNCTION("""COMPUTED_VALUE"""),"gustavo.polo@aunap.gov.co")</f>
        <v>gustavo.polo@aunap.gov.co</v>
      </c>
      <c r="AA5" s="39" t="str">
        <f>IFERROR(__xludf.DUMMYFUNCTION("""COMPUTED_VALUE"""),"Humanos, fisicos, financieros")</f>
        <v>Humanos, fisicos, financieros</v>
      </c>
      <c r="AB5" s="39" t="str">
        <f>IFERROR(__xludf.DUMMYFUNCTION("""COMPUTED_VALUE"""),"Plan Anual de Adquisiciones - PAA")</f>
        <v>Plan Anual de Adquisiciones - PAA</v>
      </c>
      <c r="AC5" s="39" t="str">
        <f>IFERROR(__xludf.DUMMYFUNCTION("""COMPUTED_VALUE"""),"Llegar con actividades de pesca y acuicultura a todas las regiones")</f>
        <v>Llegar con actividades de pesca y acuicultura a todas las regiones</v>
      </c>
      <c r="AD5" s="39" t="str">
        <f>IFERROR(__xludf.DUMMYFUNCTION("""COMPUTED_VALUE"""),"Direccionamiento Estratégico")</f>
        <v>Direccionamiento Estratégico</v>
      </c>
      <c r="AE5" s="39" t="str">
        <f>IFERROR(__xludf.DUMMYFUNCTION("""COMPUTED_VALUE"""),"Gestión Presupuestal y Eficiencia del Gasto Público")</f>
        <v>Gestión Presupuestal y Eficiencia del Gasto Público</v>
      </c>
      <c r="AF5" s="39" t="str">
        <f>IFERROR(__xludf.DUMMYFUNCTION("""COMPUTED_VALUE"""),"16. Paz, justicia e instituciones sólidas")</f>
        <v>16. Paz, justicia e instituciones sólidas</v>
      </c>
      <c r="AG5" s="50">
        <f>IFERROR(__xludf.DUMMYFUNCTION("""COMPUTED_VALUE"""),0.05)</f>
        <v>0.05</v>
      </c>
      <c r="AH5" s="51" t="str">
        <f>IFERROR(__xludf.DUMMYFUNCTION("""COMPUTED_VALUE"""),"Se solicitaron los insumos, es decir los reportes de los bienes asignados a estas oficinas, para iniciar labores de inventario en el mes de mayo")</f>
        <v>Se solicitaron los insumos, es decir los reportes de los bienes asignados a estas oficinas, para iniciar labores de inventario en el mes de mayo</v>
      </c>
      <c r="AI5" s="72" t="str">
        <f>IFERROR(__xludf.DUMMYFUNCTION("""COMPUTED_VALUE"""),"https://drive.google.com/drive/folders/1YOZ2PHz_hMEngA2fzScM4Y-CxRFGQgLi?usp=sharing")</f>
        <v>https://drive.google.com/drive/folders/1YOZ2PHz_hMEngA2fzScM4Y-CxRFGQgLi?usp=sharing</v>
      </c>
      <c r="AJ5" s="52">
        <f>IFERROR(__xludf.DUMMYFUNCTION("""COMPUTED_VALUE"""),44298.0)</f>
        <v>44298</v>
      </c>
      <c r="AK5" s="53" t="str">
        <f>IFERROR(IF((AL5+1)&lt;2,Alertas!$B$2&amp;TEXT(AL5,"0%")&amp;Alertas!$D$2, IF((AL5+1)=2,Alertas!$B$3,IF((AL5+1)&gt;2,Alertas!$B$4&amp;TEXT(AL5,"0%")&amp;Alertas!$D$4,AL5+1))),"Sin meta para el cuarto trimestre")</f>
        <v>La ejecución de la meta registrada se encuentra por debajo de la meta programada en la formulación del plan de acción para el cuarto trimestre, su porcentaje de cumplimiento es 10%, lo cual indica un incumplimiento que puede ser entendido por los entes de control como falencias en el proceso de planeación. se recomienda tomar este antecedente como insumo para disminuir la meta en la próxima vigencia</v>
      </c>
      <c r="AL5" s="54">
        <f t="shared" si="2"/>
        <v>0.1</v>
      </c>
      <c r="AM5" s="53" t="str">
        <f t="shared" si="3"/>
        <v>La ejecución de la meta registrada se encuentra por debajo de la meta programada en la formulación del plan de acción para el cuarto trimestre, su porcentaje de cumplimiento es 10%, lo cual indica un incumplimiento que puede ser entendido por los entes de control como falencias en el proceso de planeación. se recomienda tomar este antecedente como insumo para disminuir la meta en la próxima vigencia.</v>
      </c>
      <c r="AN5" s="55"/>
      <c r="AO5" s="56"/>
      <c r="AP5" s="57"/>
      <c r="AQ5" s="57"/>
      <c r="AR5" s="58"/>
      <c r="AS5" s="59"/>
      <c r="AT5" s="60"/>
      <c r="AU5" s="55"/>
      <c r="AV5" s="56"/>
      <c r="AW5" s="61"/>
      <c r="AX5" s="57"/>
      <c r="AY5" s="62"/>
      <c r="AZ5" s="63"/>
      <c r="BA5" s="64"/>
      <c r="BB5" s="65"/>
      <c r="BC5" s="56"/>
      <c r="BD5" s="61"/>
      <c r="BE5" s="57"/>
      <c r="BF5" s="58"/>
      <c r="BG5" s="63"/>
      <c r="BH5" s="64"/>
      <c r="BI5" s="66"/>
      <c r="BK5" s="21" t="str">
        <f t="shared" si="4"/>
        <v>-1</v>
      </c>
      <c r="BM5" s="67" t="s">
        <v>86</v>
      </c>
      <c r="BN5" s="73">
        <f t="shared" si="5"/>
        <v>3</v>
      </c>
      <c r="BO5" s="47">
        <f t="shared" si="6"/>
        <v>2</v>
      </c>
      <c r="BP5" s="69">
        <f t="shared" si="7"/>
        <v>0</v>
      </c>
      <c r="BQ5" s="70">
        <f t="shared" si="8"/>
        <v>0</v>
      </c>
      <c r="BR5" s="69" t="str">
        <f t="shared" si="9"/>
        <v>Baja Ejecución</v>
      </c>
      <c r="BS5" s="71">
        <f t="shared" ref="BS5:BV5" si="11">COUNTIFS($D:$D,$BM5,$BK:$BK,BS$1)</f>
        <v>1</v>
      </c>
      <c r="BT5" s="71">
        <f t="shared" si="11"/>
        <v>2</v>
      </c>
      <c r="BU5" s="71">
        <f t="shared" si="11"/>
        <v>0</v>
      </c>
      <c r="BV5" s="71">
        <f t="shared" si="11"/>
        <v>0</v>
      </c>
    </row>
    <row r="6" ht="33.75" customHeight="1">
      <c r="A6" s="37"/>
      <c r="B6" s="38">
        <f>IFERROR(__xludf.DUMMYFUNCTION("""COMPUTED_VALUE"""),7.0)</f>
        <v>7</v>
      </c>
      <c r="C6" s="39" t="str">
        <f>IFERROR(__xludf.DUMMYFUNCTION("""COMPUTED_VALUE"""),"Comunicación estratégica")</f>
        <v>Comunicación estratégica</v>
      </c>
      <c r="D6" s="40" t="str">
        <f>IFERROR(__xludf.DUMMYFUNCTION("""COMPUTED_VALUE"""),"Comunicaciones")</f>
        <v>Comunicaciones</v>
      </c>
      <c r="E6" s="40" t="str">
        <f>IFERROR(__xludf.DUMMYFUNCTION("""COMPUTED_VALUE"""),"Fortalecimiento de la capacidad de gestión de la autoridad nacional de acuicultura y pesca - aunap nacional")</f>
        <v>Fortalecimiento de la capacidad de gestión de la autoridad nacional de acuicultura y pesca - aunap nacional</v>
      </c>
      <c r="F6" s="40">
        <f>IFERROR(__xludf.DUMMYFUNCTION("""COMPUTED_VALUE"""),2.01801E12)</f>
        <v>2018010000000</v>
      </c>
      <c r="G6" s="41" t="str">
        <f>IFERROR(__xludf.DUMMYFUNCTION("""COMPUTED_VALUE"""),"Fortalecimiento")</f>
        <v>Fortalecimiento</v>
      </c>
      <c r="H6" s="40" t="str">
        <f>IFERROR(__xludf.DUMMYFUNCTION("""COMPUTED_VALUE"""),"Fortalecer los sistemas de gestión de la Entidad")</f>
        <v>Fortalecer los sistemas de gestión de la Entidad</v>
      </c>
      <c r="I6" s="40" t="str">
        <f>IFERROR(__xludf.DUMMYFUNCTION("""COMPUTED_VALUE"""),"Servicio de Implementación Sistemas de Gestión")</f>
        <v>Servicio de Implementación Sistemas de Gestión</v>
      </c>
      <c r="J6"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6" s="42" t="str">
        <f>IFERROR(__xludf.DUMMYFUNCTION("""COMPUTED_VALUE"""),"Gestión del área")</f>
        <v>Gestión del área</v>
      </c>
      <c r="L6" s="42" t="str">
        <f>IFERROR(__xludf.DUMMYFUNCTION("""COMPUTED_VALUE"""),"Eficacia")</f>
        <v>Eficacia</v>
      </c>
      <c r="M6" s="42" t="str">
        <f>IFERROR(__xludf.DUMMYFUNCTION("""COMPUTED_VALUE"""),"Numero")</f>
        <v>Numero</v>
      </c>
      <c r="N6" s="43" t="str">
        <f>IFERROR(__xludf.DUMMYFUNCTION("""COMPUTED_VALUE"""),"Documento con el componente de comunicaciones para la estrategia de rendición de cuentas.")</f>
        <v>Documento con el componente de comunicaciones para la estrategia de rendición de cuentas.</v>
      </c>
      <c r="O6" s="44"/>
      <c r="P6" s="45">
        <f>IFERROR(__xludf.DUMMYFUNCTION("""COMPUTED_VALUE"""),1.0)</f>
        <v>1</v>
      </c>
      <c r="Q6" s="46" t="str">
        <f>IFERROR(__xludf.DUMMYFUNCTION("""COMPUTED_VALUE"""),"Elaborar e implementar el componente de comunicaciones para la estrategia de rendición de cuentas adoptada por la entidad.")</f>
        <v>Elaborar e implementar el componente de comunicaciones para la estrategia de rendición de cuentas adoptada por la entidad.</v>
      </c>
      <c r="R6" s="47" t="str">
        <f>IFERROR(__xludf.DUMMYFUNCTION("""COMPUTED_VALUE"""),"Semestral")</f>
        <v>Semestral</v>
      </c>
      <c r="S6" s="45">
        <f>IFERROR(__xludf.DUMMYFUNCTION("""COMPUTED_VALUE"""),0.0)</f>
        <v>0</v>
      </c>
      <c r="T6" s="45">
        <f>IFERROR(__xludf.DUMMYFUNCTION("""COMPUTED_VALUE"""),1.0)</f>
        <v>1</v>
      </c>
      <c r="U6" s="45">
        <f>IFERROR(__xludf.DUMMYFUNCTION("""COMPUTED_VALUE"""),0.0)</f>
        <v>0</v>
      </c>
      <c r="V6" s="45">
        <f>IFERROR(__xludf.DUMMYFUNCTION("""COMPUTED_VALUE"""),0.0)</f>
        <v>0</v>
      </c>
      <c r="W6" s="48" t="str">
        <f>IFERROR(__xludf.DUMMYFUNCTION("""COMPUTED_VALUE"""),"Comunicaciones")</f>
        <v>Comunicaciones</v>
      </c>
      <c r="X6" s="49" t="str">
        <f>IFERROR(__xludf.DUMMYFUNCTION("""COMPUTED_VALUE"""),"Leidy Hidalgo")</f>
        <v>Leidy Hidalgo</v>
      </c>
      <c r="Y6" s="39" t="str">
        <f>IFERROR(__xludf.DUMMYFUNCTION("""COMPUTED_VALUE"""),"Profesional Especializado")</f>
        <v>Profesional Especializado</v>
      </c>
      <c r="Z6" s="49" t="str">
        <f>IFERROR(__xludf.DUMMYFUNCTION("""COMPUTED_VALUE"""),"leidy.hidalgo@aunap.gov.co")</f>
        <v>leidy.hidalgo@aunap.gov.co</v>
      </c>
      <c r="AA6" s="39" t="str">
        <f>IFERROR(__xludf.DUMMYFUNCTION("""COMPUTED_VALUE"""),"Humanos, Físicos, Financieros, Tecnológicos")</f>
        <v>Humanos, Físicos, Financieros, Tecnológicos</v>
      </c>
      <c r="AB6" s="39" t="str">
        <f>IFERROR(__xludf.DUMMYFUNCTION("""COMPUTED_VALUE"""),"Plan Anticorrupción y de Atención al Ciudadano - PAAC")</f>
        <v>Plan Anticorrupción y de Atención al Ciudadano - PAAC</v>
      </c>
      <c r="AC6" s="39" t="str">
        <f>IFERROR(__xludf.DUMMYFUNCTION("""COMPUTED_VALUE"""),"Llegar con actividades de pesca y acuicultura a todas las regiones")</f>
        <v>Llegar con actividades de pesca y acuicultura a todas las regiones</v>
      </c>
      <c r="AD6" s="39" t="str">
        <f>IFERROR(__xludf.DUMMYFUNCTION("""COMPUTED_VALUE"""),"Información y comunicación")</f>
        <v>Información y comunicación</v>
      </c>
      <c r="AE6" s="39" t="str">
        <f>IFERROR(__xludf.DUMMYFUNCTION("""COMPUTED_VALUE"""),"Transparencia, acceso a la información pública y lucha contra la corrupción")</f>
        <v>Transparencia, acceso a la información pública y lucha contra la corrupción</v>
      </c>
      <c r="AF6" s="39" t="str">
        <f>IFERROR(__xludf.DUMMYFUNCTION("""COMPUTED_VALUE"""),"12. Producción y consumo responsable")</f>
        <v>12. Producción y consumo responsable</v>
      </c>
      <c r="AG6" s="76">
        <f>IFERROR(__xludf.DUMMYFUNCTION("""COMPUTED_VALUE"""),0.0)</f>
        <v>0</v>
      </c>
      <c r="AH6" s="51" t="str">
        <f>IFERROR(__xludf.DUMMYFUNCTION("""COMPUTED_VALUE"""),"No aplica para I trimestre")</f>
        <v>No aplica para I trimestre</v>
      </c>
      <c r="AI6" s="51"/>
      <c r="AJ6" s="52">
        <f>IFERROR(__xludf.DUMMYFUNCTION("""COMPUTED_VALUE"""),44298.0)</f>
        <v>44298</v>
      </c>
      <c r="AK6" s="53" t="str">
        <f>IFERROR(IF((AL6+1)&lt;2,Alertas!$B$2&amp;TEXT(AL6,"0%")&amp;Alertas!$D$2, IF((AL6+1)=2,Alertas!$B$3,IF((AL6+1)&gt;2,Alertas!$B$4&amp;TEXT(AL6,"0%")&amp;Alertas!$D$4,AL6+1))),"Sin meta para el cuarto trimestre")</f>
        <v>Sin meta para el cuarto trimestre</v>
      </c>
      <c r="AL6" s="54" t="str">
        <f t="shared" si="2"/>
        <v>-</v>
      </c>
      <c r="AM6" s="53" t="str">
        <f t="shared" si="3"/>
        <v>Sin meta para el cuarto trimestre.</v>
      </c>
      <c r="AN6" s="55"/>
      <c r="AO6" s="56"/>
      <c r="AP6" s="57"/>
      <c r="AQ6" s="57"/>
      <c r="AR6" s="58"/>
      <c r="AS6" s="59"/>
      <c r="AT6" s="60"/>
      <c r="AU6" s="55"/>
      <c r="AV6" s="56"/>
      <c r="AW6" s="61"/>
      <c r="AX6" s="57"/>
      <c r="AY6" s="62"/>
      <c r="AZ6" s="63"/>
      <c r="BA6" s="64"/>
      <c r="BB6" s="65"/>
      <c r="BC6" s="56"/>
      <c r="BD6" s="61"/>
      <c r="BE6" s="57"/>
      <c r="BF6" s="58"/>
      <c r="BG6" s="63"/>
      <c r="BH6" s="64"/>
      <c r="BI6" s="66"/>
      <c r="BK6" s="21" t="str">
        <f t="shared" si="4"/>
        <v>-</v>
      </c>
      <c r="BM6" s="67" t="s">
        <v>87</v>
      </c>
      <c r="BN6" s="73">
        <f t="shared" si="5"/>
        <v>7</v>
      </c>
      <c r="BO6" s="47">
        <f t="shared" si="6"/>
        <v>7</v>
      </c>
      <c r="BP6" s="69">
        <f t="shared" si="7"/>
        <v>7</v>
      </c>
      <c r="BQ6" s="70">
        <f t="shared" si="8"/>
        <v>0.9935714286</v>
      </c>
      <c r="BR6" s="69" t="str">
        <f t="shared" si="9"/>
        <v>Cumplimiento Adecuado</v>
      </c>
      <c r="BS6" s="71">
        <f t="shared" ref="BS6:BV6" si="12">COUNTIFS($D:$D,$BM6,$BK:$BK,BS$1)</f>
        <v>0</v>
      </c>
      <c r="BT6" s="71">
        <f t="shared" si="12"/>
        <v>1</v>
      </c>
      <c r="BU6" s="71">
        <f t="shared" si="12"/>
        <v>4</v>
      </c>
      <c r="BV6" s="71">
        <f t="shared" si="12"/>
        <v>0</v>
      </c>
    </row>
    <row r="7" ht="33.75" customHeight="1">
      <c r="A7" s="37"/>
      <c r="B7" s="38">
        <f>IFERROR(__xludf.DUMMYFUNCTION("""COMPUTED_VALUE"""),8.0)</f>
        <v>8</v>
      </c>
      <c r="C7" s="39" t="str">
        <f>IFERROR(__xludf.DUMMYFUNCTION("""COMPUTED_VALUE"""),"Comunicación estratégica")</f>
        <v>Comunicación estratégica</v>
      </c>
      <c r="D7" s="40" t="str">
        <f>IFERROR(__xludf.DUMMYFUNCTION("""COMPUTED_VALUE"""),"Comunicaciones")</f>
        <v>Comunicaciones</v>
      </c>
      <c r="E7" s="40" t="str">
        <f>IFERROR(__xludf.DUMMYFUNCTION("""COMPUTED_VALUE"""),"Fortalecimiento de la capacidad de gestión de la autoridad nacional de acuicultura y pesca - aunap nacional")</f>
        <v>Fortalecimiento de la capacidad de gestión de la autoridad nacional de acuicultura y pesca - aunap nacional</v>
      </c>
      <c r="F7" s="40">
        <f>IFERROR(__xludf.DUMMYFUNCTION("""COMPUTED_VALUE"""),2.01801E12)</f>
        <v>2018010000000</v>
      </c>
      <c r="G7" s="41" t="str">
        <f>IFERROR(__xludf.DUMMYFUNCTION("""COMPUTED_VALUE"""),"Fortalecimiento")</f>
        <v>Fortalecimiento</v>
      </c>
      <c r="H7" s="40" t="str">
        <f>IFERROR(__xludf.DUMMYFUNCTION("""COMPUTED_VALUE"""),"Fortalecer los sistemas de gestión de la Entidad")</f>
        <v>Fortalecer los sistemas de gestión de la Entidad</v>
      </c>
      <c r="I7" s="40" t="str">
        <f>IFERROR(__xludf.DUMMYFUNCTION("""COMPUTED_VALUE"""),"Servicio de Implementación Sistemas de Gestión")</f>
        <v>Servicio de Implementación Sistemas de Gestión</v>
      </c>
      <c r="J7"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7" s="42" t="str">
        <f>IFERROR(__xludf.DUMMYFUNCTION("""COMPUTED_VALUE"""),"Gestión del área")</f>
        <v>Gestión del área</v>
      </c>
      <c r="L7" s="42" t="str">
        <f>IFERROR(__xludf.DUMMYFUNCTION("""COMPUTED_VALUE"""),"Eficacia")</f>
        <v>Eficacia</v>
      </c>
      <c r="M7" s="42" t="str">
        <f>IFERROR(__xludf.DUMMYFUNCTION("""COMPUTED_VALUE"""),"Numero")</f>
        <v>Numero</v>
      </c>
      <c r="N7" s="43" t="str">
        <f>IFERROR(__xludf.DUMMYFUNCTION("""COMPUTED_VALUE"""),"Publicaciones en medios Free Press información de gestión institucional para los diferentes grupos de interés")</f>
        <v>Publicaciones en medios Free Press información de gestión institucional para los diferentes grupos de interés</v>
      </c>
      <c r="O7" s="44"/>
      <c r="P7" s="45">
        <f>IFERROR(__xludf.DUMMYFUNCTION("""COMPUTED_VALUE"""),50.0)</f>
        <v>50</v>
      </c>
      <c r="Q7" s="46" t="str">
        <f>IFERROR(__xludf.DUMMYFUNCTION("""COMPUTED_VALUE"""),"Publicar en medios Free Press información de gestión institucional para los diferentes grupos de interés")</f>
        <v>Publicar en medios Free Press información de gestión institucional para los diferentes grupos de interés</v>
      </c>
      <c r="R7" s="47" t="str">
        <f>IFERROR(__xludf.DUMMYFUNCTION("""COMPUTED_VALUE"""),"Trimestral")</f>
        <v>Trimestral</v>
      </c>
      <c r="S7" s="45">
        <f>IFERROR(__xludf.DUMMYFUNCTION("""COMPUTED_VALUE"""),0.0)</f>
        <v>0</v>
      </c>
      <c r="T7" s="45">
        <f>IFERROR(__xludf.DUMMYFUNCTION("""COMPUTED_VALUE"""),20.0)</f>
        <v>20</v>
      </c>
      <c r="U7" s="45">
        <f>IFERROR(__xludf.DUMMYFUNCTION("""COMPUTED_VALUE"""),20.0)</f>
        <v>20</v>
      </c>
      <c r="V7" s="45">
        <f>IFERROR(__xludf.DUMMYFUNCTION("""COMPUTED_VALUE"""),10.0)</f>
        <v>10</v>
      </c>
      <c r="W7" s="48" t="str">
        <f>IFERROR(__xludf.DUMMYFUNCTION("""COMPUTED_VALUE"""),"Comunicaciones")</f>
        <v>Comunicaciones</v>
      </c>
      <c r="X7" s="49" t="str">
        <f>IFERROR(__xludf.DUMMYFUNCTION("""COMPUTED_VALUE"""),"Leidy Hidalgo")</f>
        <v>Leidy Hidalgo</v>
      </c>
      <c r="Y7" s="39" t="str">
        <f>IFERROR(__xludf.DUMMYFUNCTION("""COMPUTED_VALUE"""),"Profesional Especializado")</f>
        <v>Profesional Especializado</v>
      </c>
      <c r="Z7" s="49" t="str">
        <f>IFERROR(__xludf.DUMMYFUNCTION("""COMPUTED_VALUE"""),"leidy.hidalgo@aunap.gov.co")</f>
        <v>leidy.hidalgo@aunap.gov.co</v>
      </c>
      <c r="AA7" s="39" t="str">
        <f>IFERROR(__xludf.DUMMYFUNCTION("""COMPUTED_VALUE"""),"Humanos, Físicos, Financieros, Tecnológicos")</f>
        <v>Humanos, Físicos, Financieros, Tecnológicos</v>
      </c>
      <c r="AB7" s="39" t="str">
        <f>IFERROR(__xludf.DUMMYFUNCTION("""COMPUTED_VALUE"""),"No asociado")</f>
        <v>No asociado</v>
      </c>
      <c r="AC7" s="39" t="str">
        <f>IFERROR(__xludf.DUMMYFUNCTION("""COMPUTED_VALUE"""),"Llegar con actividades de pesca y acuicultura a todas las regiones")</f>
        <v>Llegar con actividades de pesca y acuicultura a todas las regiones</v>
      </c>
      <c r="AD7" s="39" t="str">
        <f>IFERROR(__xludf.DUMMYFUNCTION("""COMPUTED_VALUE"""),"Información y comunicación")</f>
        <v>Información y comunicación</v>
      </c>
      <c r="AE7" s="39" t="str">
        <f>IFERROR(__xludf.DUMMYFUNCTION("""COMPUTED_VALUE"""),"Transparencia, acceso a la información pública y lucha contra la corrupción")</f>
        <v>Transparencia, acceso a la información pública y lucha contra la corrupción</v>
      </c>
      <c r="AF7" s="39" t="str">
        <f>IFERROR(__xludf.DUMMYFUNCTION("""COMPUTED_VALUE"""),"12. Producción y consumo responsable")</f>
        <v>12. Producción y consumo responsable</v>
      </c>
      <c r="AG7" s="76">
        <f>IFERROR(__xludf.DUMMYFUNCTION("""COMPUTED_VALUE"""),0.0)</f>
        <v>0</v>
      </c>
      <c r="AH7" s="51" t="str">
        <f>IFERROR(__xludf.DUMMYFUNCTION("""COMPUTED_VALUE"""),"No aplica para I trimestre")</f>
        <v>No aplica para I trimestre</v>
      </c>
      <c r="AI7" s="51"/>
      <c r="AJ7" s="52">
        <f>IFERROR(__xludf.DUMMYFUNCTION("""COMPUTED_VALUE"""),44298.0)</f>
        <v>44298</v>
      </c>
      <c r="AK7" s="53" t="str">
        <f>IFERROR(IF((AL7+1)&lt;2,Alertas!$B$2&amp;TEXT(AL7,"0%")&amp;Alertas!$D$2, IF((AL7+1)=2,Alertas!$B$3,IF((AL7+1)&gt;2,Alertas!$B$4&amp;TEXT(AL7,"0%")&amp;Alertas!$D$4,AL7+1))),"Sin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 s="54">
        <f t="shared" si="2"/>
        <v>0</v>
      </c>
      <c r="AM7"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 s="55"/>
      <c r="AO7" s="56"/>
      <c r="AP7" s="57"/>
      <c r="AQ7" s="57"/>
      <c r="AR7" s="58"/>
      <c r="AS7" s="59"/>
      <c r="AT7" s="60"/>
      <c r="AU7" s="55"/>
      <c r="AV7" s="56"/>
      <c r="AW7" s="61"/>
      <c r="AX7" s="57"/>
      <c r="AY7" s="62"/>
      <c r="AZ7" s="63"/>
      <c r="BA7" s="64"/>
      <c r="BB7" s="65"/>
      <c r="BC7" s="56"/>
      <c r="BD7" s="61"/>
      <c r="BE7" s="57"/>
      <c r="BF7" s="58"/>
      <c r="BG7" s="63"/>
      <c r="BH7" s="64"/>
      <c r="BI7" s="66"/>
      <c r="BK7" s="21" t="str">
        <f t="shared" si="4"/>
        <v>-1</v>
      </c>
      <c r="BM7" s="67" t="s">
        <v>88</v>
      </c>
      <c r="BN7" s="73">
        <f t="shared" si="5"/>
        <v>1</v>
      </c>
      <c r="BO7" s="47">
        <f t="shared" si="6"/>
        <v>1</v>
      </c>
      <c r="BP7" s="69">
        <f t="shared" si="7"/>
        <v>0</v>
      </c>
      <c r="BQ7" s="70">
        <f t="shared" si="8"/>
        <v>0</v>
      </c>
      <c r="BR7" s="69" t="str">
        <f t="shared" si="9"/>
        <v>Baja Ejecución</v>
      </c>
      <c r="BS7" s="71">
        <f t="shared" ref="BS7:BV7" si="13">COUNTIFS($D:$D,$BM7,$BK:$BK,BS$1)</f>
        <v>0</v>
      </c>
      <c r="BT7" s="71">
        <f t="shared" si="13"/>
        <v>1</v>
      </c>
      <c r="BU7" s="71">
        <f t="shared" si="13"/>
        <v>0</v>
      </c>
      <c r="BV7" s="71">
        <f t="shared" si="13"/>
        <v>0</v>
      </c>
    </row>
    <row r="8" ht="33.75" customHeight="1">
      <c r="A8" s="37"/>
      <c r="B8" s="38">
        <f>IFERROR(__xludf.DUMMYFUNCTION("""COMPUTED_VALUE"""),9.0)</f>
        <v>9</v>
      </c>
      <c r="C8" s="39" t="str">
        <f>IFERROR(__xludf.DUMMYFUNCTION("""COMPUTED_VALUE"""),"Comunicación estratégica")</f>
        <v>Comunicación estratégica</v>
      </c>
      <c r="D8" s="40" t="str">
        <f>IFERROR(__xludf.DUMMYFUNCTION("""COMPUTED_VALUE"""),"Comunicaciones")</f>
        <v>Comunicaciones</v>
      </c>
      <c r="E8" s="40" t="str">
        <f>IFERROR(__xludf.DUMMYFUNCTION("""COMPUTED_VALUE"""),"Fortalecimiento de la capacidad de gestión de la autoridad nacional de acuicultura y pesca - aunap nacional")</f>
        <v>Fortalecimiento de la capacidad de gestión de la autoridad nacional de acuicultura y pesca - aunap nacional</v>
      </c>
      <c r="F8" s="40">
        <f>IFERROR(__xludf.DUMMYFUNCTION("""COMPUTED_VALUE"""),2.01801E12)</f>
        <v>2018010000000</v>
      </c>
      <c r="G8" s="41" t="str">
        <f>IFERROR(__xludf.DUMMYFUNCTION("""COMPUTED_VALUE"""),"Fortalecimiento")</f>
        <v>Fortalecimiento</v>
      </c>
      <c r="H8" s="40" t="str">
        <f>IFERROR(__xludf.DUMMYFUNCTION("""COMPUTED_VALUE"""),"Fortalecer los sistemas de gestión de la Entidad")</f>
        <v>Fortalecer los sistemas de gestión de la Entidad</v>
      </c>
      <c r="I8" s="40" t="str">
        <f>IFERROR(__xludf.DUMMYFUNCTION("""COMPUTED_VALUE"""),"Servicio de Implementación Sistemas de Gestión")</f>
        <v>Servicio de Implementación Sistemas de Gestión</v>
      </c>
      <c r="J8"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8" s="42" t="str">
        <f>IFERROR(__xludf.DUMMYFUNCTION("""COMPUTED_VALUE"""),"Gestión del área")</f>
        <v>Gestión del área</v>
      </c>
      <c r="L8" s="42" t="str">
        <f>IFERROR(__xludf.DUMMYFUNCTION("""COMPUTED_VALUE"""),"Eficacia")</f>
        <v>Eficacia</v>
      </c>
      <c r="M8" s="42" t="str">
        <f>IFERROR(__xludf.DUMMYFUNCTION("""COMPUTED_VALUE"""),"Numero")</f>
        <v>Numero</v>
      </c>
      <c r="N8" s="43" t="str">
        <f>IFERROR(__xludf.DUMMYFUNCTION("""COMPUTED_VALUE"""),"Acciones de comunicaciones en alianza con cooperantes, aliados y entiades adscritas")</f>
        <v>Acciones de comunicaciones en alianza con cooperantes, aliados y entiades adscritas</v>
      </c>
      <c r="O8" s="44"/>
      <c r="P8" s="45">
        <f>IFERROR(__xludf.DUMMYFUNCTION("""COMPUTED_VALUE"""),11.0)</f>
        <v>11</v>
      </c>
      <c r="Q8" s="46" t="str">
        <f>IFERROR(__xludf.DUMMYFUNCTION("""COMPUTED_VALUE"""),"Desarrolar acciones de comunicacion en alianza con cooperantes, aliados, entidades del sector para dar un mayor alcance de la gestion institucional")</f>
        <v>Desarrolar acciones de comunicacion en alianza con cooperantes, aliados, entidades del sector para dar un mayor alcance de la gestion institucional</v>
      </c>
      <c r="R8" s="47" t="str">
        <f>IFERROR(__xludf.DUMMYFUNCTION("""COMPUTED_VALUE"""),"Semestral")</f>
        <v>Semestral</v>
      </c>
      <c r="S8" s="45">
        <f>IFERROR(__xludf.DUMMYFUNCTION("""COMPUTED_VALUE"""),0.0)</f>
        <v>0</v>
      </c>
      <c r="T8" s="45">
        <f>IFERROR(__xludf.DUMMYFUNCTION("""COMPUTED_VALUE"""),3.0)</f>
        <v>3</v>
      </c>
      <c r="U8" s="45">
        <f>IFERROR(__xludf.DUMMYFUNCTION("""COMPUTED_VALUE"""),4.0)</f>
        <v>4</v>
      </c>
      <c r="V8" s="45">
        <f>IFERROR(__xludf.DUMMYFUNCTION("""COMPUTED_VALUE"""),4.0)</f>
        <v>4</v>
      </c>
      <c r="W8" s="48" t="str">
        <f>IFERROR(__xludf.DUMMYFUNCTION("""COMPUTED_VALUE"""),"Comunicaciones")</f>
        <v>Comunicaciones</v>
      </c>
      <c r="X8" s="49" t="str">
        <f>IFERROR(__xludf.DUMMYFUNCTION("""COMPUTED_VALUE"""),"Leidy Hidalgo")</f>
        <v>Leidy Hidalgo</v>
      </c>
      <c r="Y8" s="39" t="str">
        <f>IFERROR(__xludf.DUMMYFUNCTION("""COMPUTED_VALUE"""),"Profesional Especializado")</f>
        <v>Profesional Especializado</v>
      </c>
      <c r="Z8" s="49" t="str">
        <f>IFERROR(__xludf.DUMMYFUNCTION("""COMPUTED_VALUE"""),"leidy.hidalgo@aunap.gov.co")</f>
        <v>leidy.hidalgo@aunap.gov.co</v>
      </c>
      <c r="AA8" s="39" t="str">
        <f>IFERROR(__xludf.DUMMYFUNCTION("""COMPUTED_VALUE"""),"Humanos, Físicos, Financieros, Tecnológicos")</f>
        <v>Humanos, Físicos, Financieros, Tecnológicos</v>
      </c>
      <c r="AB8" s="39" t="str">
        <f>IFERROR(__xludf.DUMMYFUNCTION("""COMPUTED_VALUE"""),"No asociado")</f>
        <v>No asociado</v>
      </c>
      <c r="AC8" s="39" t="str">
        <f>IFERROR(__xludf.DUMMYFUNCTION("""COMPUTED_VALUE"""),"Llegar con actividades de pesca y acuicultura a todas las regiones")</f>
        <v>Llegar con actividades de pesca y acuicultura a todas las regiones</v>
      </c>
      <c r="AD8" s="39" t="str">
        <f>IFERROR(__xludf.DUMMYFUNCTION("""COMPUTED_VALUE"""),"Información y comunicación")</f>
        <v>Información y comunicación</v>
      </c>
      <c r="AE8" s="39" t="str">
        <f>IFERROR(__xludf.DUMMYFUNCTION("""COMPUTED_VALUE"""),"Planeación Institucional")</f>
        <v>Planeación Institucional</v>
      </c>
      <c r="AF8" s="39" t="str">
        <f>IFERROR(__xludf.DUMMYFUNCTION("""COMPUTED_VALUE"""),"12. Producción y consumo responsable")</f>
        <v>12. Producción y consumo responsable</v>
      </c>
      <c r="AG8" s="76">
        <f>IFERROR(__xludf.DUMMYFUNCTION("""COMPUTED_VALUE"""),0.0)</f>
        <v>0</v>
      </c>
      <c r="AH8" s="51" t="str">
        <f>IFERROR(__xludf.DUMMYFUNCTION("""COMPUTED_VALUE"""),"No aplica para I trimestre")</f>
        <v>No aplica para I trimestre</v>
      </c>
      <c r="AI8" s="51"/>
      <c r="AJ8" s="52">
        <f>IFERROR(__xludf.DUMMYFUNCTION("""COMPUTED_VALUE"""),44298.0)</f>
        <v>44298</v>
      </c>
      <c r="AK8" s="53" t="str">
        <f>IFERROR(IF((AL8+1)&lt;2,Alertas!$B$2&amp;TEXT(AL8,"0%")&amp;Alertas!$D$2, IF((AL8+1)=2,Alertas!$B$3,IF((AL8+1)&gt;2,Alertas!$B$4&amp;TEXT(AL8,"0%")&amp;Alertas!$D$4,AL8+1))),"Sin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 s="54">
        <f t="shared" si="2"/>
        <v>0</v>
      </c>
      <c r="AM8"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 s="55"/>
      <c r="AO8" s="56"/>
      <c r="AP8" s="57"/>
      <c r="AQ8" s="57"/>
      <c r="AR8" s="58"/>
      <c r="AS8" s="59"/>
      <c r="AT8" s="60"/>
      <c r="AU8" s="55"/>
      <c r="AV8" s="56"/>
      <c r="AW8" s="61"/>
      <c r="AX8" s="57"/>
      <c r="AY8" s="62"/>
      <c r="AZ8" s="63"/>
      <c r="BA8" s="64"/>
      <c r="BB8" s="65"/>
      <c r="BC8" s="56"/>
      <c r="BD8" s="61"/>
      <c r="BE8" s="57"/>
      <c r="BF8" s="58"/>
      <c r="BG8" s="63"/>
      <c r="BH8" s="64"/>
      <c r="BI8" s="66"/>
      <c r="BK8" s="21" t="str">
        <f t="shared" si="4"/>
        <v>-1</v>
      </c>
      <c r="BM8" s="67" t="s">
        <v>89</v>
      </c>
      <c r="BN8" s="73">
        <f t="shared" si="5"/>
        <v>13</v>
      </c>
      <c r="BO8" s="47">
        <f t="shared" si="6"/>
        <v>13</v>
      </c>
      <c r="BP8" s="69">
        <f t="shared" si="7"/>
        <v>1</v>
      </c>
      <c r="BQ8" s="70" t="str">
        <f t="shared" si="8"/>
        <v>-</v>
      </c>
      <c r="BR8" s="69" t="str">
        <f t="shared" si="9"/>
        <v>-</v>
      </c>
      <c r="BS8" s="71">
        <f t="shared" ref="BS8:BV8" si="14">COUNTIFS($D:$D,$BM8,$BK:$BK,BS$1)</f>
        <v>12</v>
      </c>
      <c r="BT8" s="71">
        <f t="shared" si="14"/>
        <v>1</v>
      </c>
      <c r="BU8" s="71">
        <f t="shared" si="14"/>
        <v>0</v>
      </c>
      <c r="BV8" s="71">
        <f t="shared" si="14"/>
        <v>0</v>
      </c>
    </row>
    <row r="9" ht="33.75" customHeight="1">
      <c r="A9" s="37"/>
      <c r="B9" s="38">
        <f>IFERROR(__xludf.DUMMYFUNCTION("""COMPUTED_VALUE"""),10.0)</f>
        <v>10</v>
      </c>
      <c r="C9" s="39" t="str">
        <f>IFERROR(__xludf.DUMMYFUNCTION("""COMPUTED_VALUE"""),"Comunicación estratégica")</f>
        <v>Comunicación estratégica</v>
      </c>
      <c r="D9" s="40" t="str">
        <f>IFERROR(__xludf.DUMMYFUNCTION("""COMPUTED_VALUE"""),"Comunicaciones")</f>
        <v>Comunicaciones</v>
      </c>
      <c r="E9" s="40" t="str">
        <f>IFERROR(__xludf.DUMMYFUNCTION("""COMPUTED_VALUE"""),"Fortalecimiento de la capacidad de gestión de la autoridad nacional de acuicultura y pesca - aunap nacional")</f>
        <v>Fortalecimiento de la capacidad de gestión de la autoridad nacional de acuicultura y pesca - aunap nacional</v>
      </c>
      <c r="F9" s="40">
        <f>IFERROR(__xludf.DUMMYFUNCTION("""COMPUTED_VALUE"""),2.01801E12)</f>
        <v>2018010000000</v>
      </c>
      <c r="G9" s="41" t="str">
        <f>IFERROR(__xludf.DUMMYFUNCTION("""COMPUTED_VALUE"""),"Fortalecimiento")</f>
        <v>Fortalecimiento</v>
      </c>
      <c r="H9" s="40" t="str">
        <f>IFERROR(__xludf.DUMMYFUNCTION("""COMPUTED_VALUE"""),"Fortalecer los sistemas de gestión de la Entidad")</f>
        <v>Fortalecer los sistemas de gestión de la Entidad</v>
      </c>
      <c r="I9" s="40" t="str">
        <f>IFERROR(__xludf.DUMMYFUNCTION("""COMPUTED_VALUE"""),"Servicio de Implementación Sistemas de Gestión")</f>
        <v>Servicio de Implementación Sistemas de Gestión</v>
      </c>
      <c r="J9"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9" s="42" t="str">
        <f>IFERROR(__xludf.DUMMYFUNCTION("""COMPUTED_VALUE"""),"Gestión del área")</f>
        <v>Gestión del área</v>
      </c>
      <c r="L9" s="42" t="str">
        <f>IFERROR(__xludf.DUMMYFUNCTION("""COMPUTED_VALUE"""),"Eficacia")</f>
        <v>Eficacia</v>
      </c>
      <c r="M9" s="42" t="str">
        <f>IFERROR(__xludf.DUMMYFUNCTION("""COMPUTED_VALUE"""),"Numero")</f>
        <v>Numero</v>
      </c>
      <c r="N9" s="43" t="str">
        <f>IFERROR(__xludf.DUMMYFUNCTION("""COMPUTED_VALUE"""),"Publicaciones de contenido institucional divulgado en alguno de los canales dispuestos por la entidad")</f>
        <v>Publicaciones de contenido institucional divulgado en alguno de los canales dispuestos por la entidad</v>
      </c>
      <c r="O9" s="44"/>
      <c r="P9" s="45">
        <f>IFERROR(__xludf.DUMMYFUNCTION("""COMPUTED_VALUE"""),22.0)</f>
        <v>22</v>
      </c>
      <c r="Q9" s="46" t="str">
        <f>IFERROR(__xludf.DUMMYFUNCTION("""COMPUTED_VALUE"""),"Editar, adaptar y divulgar contenido institucional de la gestión realizada por la entidad para su posicionamiento externo ante los diferentes grupos de interés")</f>
        <v>Editar, adaptar y divulgar contenido institucional de la gestión realizada por la entidad para su posicionamiento externo ante los diferentes grupos de interés</v>
      </c>
      <c r="R9" s="47" t="str">
        <f>IFERROR(__xludf.DUMMYFUNCTION("""COMPUTED_VALUE"""),"Mensual")</f>
        <v>Mensual</v>
      </c>
      <c r="S9" s="45">
        <f>IFERROR(__xludf.DUMMYFUNCTION("""COMPUTED_VALUE"""),4.0)</f>
        <v>4</v>
      </c>
      <c r="T9" s="45">
        <f>IFERROR(__xludf.DUMMYFUNCTION("""COMPUTED_VALUE"""),6.0)</f>
        <v>6</v>
      </c>
      <c r="U9" s="45">
        <f>IFERROR(__xludf.DUMMYFUNCTION("""COMPUTED_VALUE"""),6.0)</f>
        <v>6</v>
      </c>
      <c r="V9" s="45">
        <f>IFERROR(__xludf.DUMMYFUNCTION("""COMPUTED_VALUE"""),6.0)</f>
        <v>6</v>
      </c>
      <c r="W9" s="48" t="str">
        <f>IFERROR(__xludf.DUMMYFUNCTION("""COMPUTED_VALUE"""),"Comunicaciones")</f>
        <v>Comunicaciones</v>
      </c>
      <c r="X9" s="49" t="str">
        <f>IFERROR(__xludf.DUMMYFUNCTION("""COMPUTED_VALUE"""),"Leidy Hidalgo")</f>
        <v>Leidy Hidalgo</v>
      </c>
      <c r="Y9" s="39" t="str">
        <f>IFERROR(__xludf.DUMMYFUNCTION("""COMPUTED_VALUE"""),"Profesional Especializado")</f>
        <v>Profesional Especializado</v>
      </c>
      <c r="Z9" s="49" t="str">
        <f>IFERROR(__xludf.DUMMYFUNCTION("""COMPUTED_VALUE"""),"leidy.hidalgo@aunap.gov.co")</f>
        <v>leidy.hidalgo@aunap.gov.co</v>
      </c>
      <c r="AA9" s="39" t="str">
        <f>IFERROR(__xludf.DUMMYFUNCTION("""COMPUTED_VALUE"""),"Humanos, Físicos, Financieros, Tecnológicos")</f>
        <v>Humanos, Físicos, Financieros, Tecnológicos</v>
      </c>
      <c r="AB9" s="39" t="str">
        <f>IFERROR(__xludf.DUMMYFUNCTION("""COMPUTED_VALUE"""),"No asociado")</f>
        <v>No asociado</v>
      </c>
      <c r="AC9" s="39" t="str">
        <f>IFERROR(__xludf.DUMMYFUNCTION("""COMPUTED_VALUE"""),"Llegar con actividades de pesca y acuicultura a todas las regiones")</f>
        <v>Llegar con actividades de pesca y acuicultura a todas las regiones</v>
      </c>
      <c r="AD9" s="39" t="str">
        <f>IFERROR(__xludf.DUMMYFUNCTION("""COMPUTED_VALUE"""),"Información y comunicación")</f>
        <v>Información y comunicación</v>
      </c>
      <c r="AE9" s="39" t="str">
        <f>IFERROR(__xludf.DUMMYFUNCTION("""COMPUTED_VALUE"""),"Transparencia, acceso a la información pública y lucha contra la corrupción")</f>
        <v>Transparencia, acceso a la información pública y lucha contra la corrupción</v>
      </c>
      <c r="AF9" s="39" t="str">
        <f>IFERROR(__xludf.DUMMYFUNCTION("""COMPUTED_VALUE"""),"12. Producción y consumo responsable")</f>
        <v>12. Producción y consumo responsable</v>
      </c>
      <c r="AG9" s="76">
        <f>IFERROR(__xludf.DUMMYFUNCTION("""COMPUTED_VALUE"""),4.0)</f>
        <v>4</v>
      </c>
      <c r="AH9" s="51" t="str">
        <f>IFERROR(__xludf.DUMMYFUNCTION("""COMPUTED_VALUE"""),"
Durante el I trimestre se Editó, adaptó y divulgó (4) contenido institucional de la gestión realizada por la entidad para su posicionamiento externo ante los diferentes grupos de interés. En esta oportunidad el insumo fue brindado por la DTAF, la DTIV y "&amp;"la Regional Barrancabermeja. 
")</f>
        <v>
Durante el I trimestre se Editó, adaptó y divulgó (4) contenido institucional de la gestión realizada por la entidad para su posicionamiento externo ante los diferentes grupos de interés. En esta oportunidad el insumo fue brindado por la DTAF, la DTIV y la Regional Barrancabermeja. 
</v>
      </c>
      <c r="AI9" s="72" t="str">
        <f>IFERROR(__xludf.DUMMYFUNCTION("""COMPUTED_VALUE"""),"https://drive.google.com/drive/folders/1rv1j4N0nvkRSFU_GqlOupFWq8yBuYrIx?usp=sharing")</f>
        <v>https://drive.google.com/drive/folders/1rv1j4N0nvkRSFU_GqlOupFWq8yBuYrIx?usp=sharing</v>
      </c>
      <c r="AJ9" s="52">
        <f>IFERROR(__xludf.DUMMYFUNCTION("""COMPUTED_VALUE"""),44298.0)</f>
        <v>44298</v>
      </c>
      <c r="AK9" s="53" t="str">
        <f>IFERROR(IF((AL9+1)&lt;2,Alertas!$B$2&amp;TEXT(AL9,"0%")&amp;Alertas!$D$2, IF((AL9+1)=2,Alertas!$B$3,IF((AL9+1)&gt;2,Alertas!$B$4&amp;TEXT(AL9,"0%")&amp;Alertas!$D$4,AL9+1))),"Sin meta para el cuarto trimestre")</f>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L9" s="54">
        <f t="shared" si="2"/>
        <v>0.6666666667</v>
      </c>
      <c r="AM9" s="53" t="str">
        <f t="shared" si="3"/>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N9" s="55"/>
      <c r="AO9" s="56"/>
      <c r="AP9" s="57"/>
      <c r="AQ9" s="57"/>
      <c r="AR9" s="58"/>
      <c r="AS9" s="59"/>
      <c r="AT9" s="60"/>
      <c r="AU9" s="55"/>
      <c r="AV9" s="56"/>
      <c r="AW9" s="61"/>
      <c r="AX9" s="57"/>
      <c r="AY9" s="62"/>
      <c r="AZ9" s="63"/>
      <c r="BA9" s="64"/>
      <c r="BB9" s="65"/>
      <c r="BC9" s="56"/>
      <c r="BD9" s="61"/>
      <c r="BE9" s="57"/>
      <c r="BF9" s="58"/>
      <c r="BG9" s="63"/>
      <c r="BH9" s="64"/>
      <c r="BI9" s="66"/>
      <c r="BK9" s="21" t="str">
        <f t="shared" si="4"/>
        <v>-1</v>
      </c>
      <c r="BM9" s="67" t="s">
        <v>90</v>
      </c>
      <c r="BN9" s="73">
        <f t="shared" si="5"/>
        <v>3</v>
      </c>
      <c r="BO9" s="47">
        <f t="shared" si="6"/>
        <v>3</v>
      </c>
      <c r="BP9" s="69">
        <f t="shared" si="7"/>
        <v>2</v>
      </c>
      <c r="BQ9" s="70">
        <f t="shared" si="8"/>
        <v>0.5555555556</v>
      </c>
      <c r="BR9" s="69" t="str">
        <f t="shared" si="9"/>
        <v>Baja Ejecución</v>
      </c>
      <c r="BS9" s="71">
        <f t="shared" ref="BS9:BV9" si="15">COUNTIFS($D:$D,$BM9,$BK:$BK,BS$1)</f>
        <v>0</v>
      </c>
      <c r="BT9" s="71">
        <f t="shared" si="15"/>
        <v>2</v>
      </c>
      <c r="BU9" s="71">
        <f t="shared" si="15"/>
        <v>1</v>
      </c>
      <c r="BV9" s="71">
        <f t="shared" si="15"/>
        <v>0</v>
      </c>
    </row>
    <row r="10" ht="33.75" customHeight="1">
      <c r="A10" s="37"/>
      <c r="B10" s="38">
        <f>IFERROR(__xludf.DUMMYFUNCTION("""COMPUTED_VALUE"""),11.0)</f>
        <v>11</v>
      </c>
      <c r="C10" s="39" t="str">
        <f>IFERROR(__xludf.DUMMYFUNCTION("""COMPUTED_VALUE"""),"Comunicación estratégica")</f>
        <v>Comunicación estratégica</v>
      </c>
      <c r="D10" s="40" t="str">
        <f>IFERROR(__xludf.DUMMYFUNCTION("""COMPUTED_VALUE"""),"Comunicaciones")</f>
        <v>Comunicaciones</v>
      </c>
      <c r="E10" s="40" t="str">
        <f>IFERROR(__xludf.DUMMYFUNCTION("""COMPUTED_VALUE"""),"Fortalecimiento de la capacidad de gestión de la autoridad nacional de acuicultura y pesca - aunap nacional")</f>
        <v>Fortalecimiento de la capacidad de gestión de la autoridad nacional de acuicultura y pesca - aunap nacional</v>
      </c>
      <c r="F10" s="40">
        <f>IFERROR(__xludf.DUMMYFUNCTION("""COMPUTED_VALUE"""),2.01801E12)</f>
        <v>2018010000000</v>
      </c>
      <c r="G10" s="41" t="str">
        <f>IFERROR(__xludf.DUMMYFUNCTION("""COMPUTED_VALUE"""),"Fortalecimiento")</f>
        <v>Fortalecimiento</v>
      </c>
      <c r="H10" s="40" t="str">
        <f>IFERROR(__xludf.DUMMYFUNCTION("""COMPUTED_VALUE"""),"Fortalecer los sistemas de gestión de la Entidad")</f>
        <v>Fortalecer los sistemas de gestión de la Entidad</v>
      </c>
      <c r="I10" s="40" t="str">
        <f>IFERROR(__xludf.DUMMYFUNCTION("""COMPUTED_VALUE"""),"Servicio de Implementación Sistemas de Gestión")</f>
        <v>Servicio de Implementación Sistemas de Gestión</v>
      </c>
      <c r="J10"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0" s="42" t="str">
        <f>IFERROR(__xludf.DUMMYFUNCTION("""COMPUTED_VALUE"""),"Gestión del área")</f>
        <v>Gestión del área</v>
      </c>
      <c r="L10" s="42" t="str">
        <f>IFERROR(__xludf.DUMMYFUNCTION("""COMPUTED_VALUE"""),"Eficacia")</f>
        <v>Eficacia</v>
      </c>
      <c r="M10" s="42" t="str">
        <f>IFERROR(__xludf.DUMMYFUNCTION("""COMPUTED_VALUE"""),"Porcentaje")</f>
        <v>Porcentaje</v>
      </c>
      <c r="N10" s="43" t="str">
        <f>IFERROR(__xludf.DUMMYFUNCTION("""COMPUTED_VALUE"""),"Número de piezas de comunicación interna diseñadas y divulgadas/Número de piezas de comunicación interna solicitadas")</f>
        <v>Número de piezas de comunicación interna diseñadas y divulgadas/Número de piezas de comunicación interna solicitadas</v>
      </c>
      <c r="O10" s="44"/>
      <c r="P10" s="45">
        <f>IFERROR(__xludf.DUMMYFUNCTION("""COMPUTED_VALUE"""),1.0)</f>
        <v>1</v>
      </c>
      <c r="Q10" s="46" t="str">
        <f>IFERROR(__xludf.DUMMYFUNCTION("""COMPUTED_VALUE"""),"Diseñar y divulgar piezas de comunicación internas con base a la información allegada por las diferentes dependencias de la entidad")</f>
        <v>Diseñar y divulgar piezas de comunicación internas con base a la información allegada por las diferentes dependencias de la entidad</v>
      </c>
      <c r="R10" s="47" t="str">
        <f>IFERROR(__xludf.DUMMYFUNCTION("""COMPUTED_VALUE"""),"Mensual")</f>
        <v>Mensual</v>
      </c>
      <c r="S10" s="45">
        <f>IFERROR(__xludf.DUMMYFUNCTION("""COMPUTED_VALUE"""),1.0)</f>
        <v>1</v>
      </c>
      <c r="T10" s="45">
        <f>IFERROR(__xludf.DUMMYFUNCTION("""COMPUTED_VALUE"""),1.0)</f>
        <v>1</v>
      </c>
      <c r="U10" s="45">
        <f>IFERROR(__xludf.DUMMYFUNCTION("""COMPUTED_VALUE"""),1.0)</f>
        <v>1</v>
      </c>
      <c r="V10" s="45">
        <f>IFERROR(__xludf.DUMMYFUNCTION("""COMPUTED_VALUE"""),1.0)</f>
        <v>1</v>
      </c>
      <c r="W10" s="48" t="str">
        <f>IFERROR(__xludf.DUMMYFUNCTION("""COMPUTED_VALUE"""),"Comunicaciones")</f>
        <v>Comunicaciones</v>
      </c>
      <c r="X10" s="49" t="str">
        <f>IFERROR(__xludf.DUMMYFUNCTION("""COMPUTED_VALUE"""),"Leidy Hidalgo")</f>
        <v>Leidy Hidalgo</v>
      </c>
      <c r="Y10" s="39" t="str">
        <f>IFERROR(__xludf.DUMMYFUNCTION("""COMPUTED_VALUE"""),"Profesional Especializado")</f>
        <v>Profesional Especializado</v>
      </c>
      <c r="Z10" s="49" t="str">
        <f>IFERROR(__xludf.DUMMYFUNCTION("""COMPUTED_VALUE"""),"leidy.hidalgo@aunap.gov.co")</f>
        <v>leidy.hidalgo@aunap.gov.co</v>
      </c>
      <c r="AA10" s="39" t="str">
        <f>IFERROR(__xludf.DUMMYFUNCTION("""COMPUTED_VALUE"""),"Humanos, Físicos, Financieros, Tecnológicos")</f>
        <v>Humanos, Físicos, Financieros, Tecnológicos</v>
      </c>
      <c r="AB10" s="39" t="str">
        <f>IFERROR(__xludf.DUMMYFUNCTION("""COMPUTED_VALUE"""),"No asociado")</f>
        <v>No asociado</v>
      </c>
      <c r="AC10" s="39" t="str">
        <f>IFERROR(__xludf.DUMMYFUNCTION("""COMPUTED_VALUE"""),"Llegar con actividades de pesca y acuicultura a todas las regiones")</f>
        <v>Llegar con actividades de pesca y acuicultura a todas las regiones</v>
      </c>
      <c r="AD10" s="39" t="str">
        <f>IFERROR(__xludf.DUMMYFUNCTION("""COMPUTED_VALUE"""),"Información y comunicación")</f>
        <v>Información y comunicación</v>
      </c>
      <c r="AE10" s="39" t="str">
        <f>IFERROR(__xludf.DUMMYFUNCTION("""COMPUTED_VALUE"""),"Transparencia, acceso a la información pública y lucha contra la corrupción")</f>
        <v>Transparencia, acceso a la información pública y lucha contra la corrupción</v>
      </c>
      <c r="AF10" s="39" t="str">
        <f>IFERROR(__xludf.DUMMYFUNCTION("""COMPUTED_VALUE"""),"12. Producción y consumo responsable")</f>
        <v>12. Producción y consumo responsable</v>
      </c>
      <c r="AG10" s="50">
        <f>IFERROR(__xludf.DUMMYFUNCTION("""COMPUTED_VALUE"""),1.0)</f>
        <v>1</v>
      </c>
      <c r="AH10" s="51" t="str">
        <f>IFERROR(__xludf.DUMMYFUNCTION("""COMPUTED_VALUE"""),"
Durante el I trimestre de 2021, el proceso de comunicaciones elaboró piezas para la divulgación de información interna, acorde a las solicitudes allegadas por las diferentes áreas. El canal de recepción de dichas solicitudes fue el formulario para la di"&amp;"vulgación de contenidos institucionales establecido en el procedimiento de Comunicaciones, el cual se encuentra publicado en la intranet y fue socializado con los colaboradores. 
")</f>
        <v>
Durante el I trimestre de 2021, el proceso de comunicaciones elaboró piezas para la divulgación de información interna, acorde a las solicitudes allegadas por las diferentes áreas. El canal de recepción de dichas solicitudes fue el formulario para la divulgación de contenidos institucionales establecido en el procedimiento de Comunicaciones, el cual se encuentra publicado en la intranet y fue socializado con los colaboradores. 
</v>
      </c>
      <c r="AI10" s="77" t="str">
        <f>IFERROR(__xludf.DUMMYFUNCTION("""COMPUTED_VALUE"""),"https://drive.google.com/drive/folders/1pkJEPm6aJeQPLPo56xqLUXDhlTkX18fL?usp=sharing")</f>
        <v>https://drive.google.com/drive/folders/1pkJEPm6aJeQPLPo56xqLUXDhlTkX18fL?usp=sharing</v>
      </c>
      <c r="AJ10" s="52">
        <f>IFERROR(__xludf.DUMMYFUNCTION("""COMPUTED_VALUE"""),44298.0)</f>
        <v>44298</v>
      </c>
      <c r="AK10" s="53" t="str">
        <f>IFERROR(IF((AL10+1)&lt;2,Alertas!$B$2&amp;TEXT(AL10,"0%")&amp;Alertas!$D$2, IF((AL10+1)=2,Alertas!$B$3,IF((AL10+1)&gt;2,Alertas!$B$4&amp;TEXT(AL10,"0%")&amp;Alertas!$D$4,AL10+1))),"Sin meta para el cuarto trimestre")</f>
        <v>La ejecución de la meta registrada se encuentra acorde a la meta programada en la formulación del plan de acción para el cuarto trimestre</v>
      </c>
      <c r="AL10" s="54">
        <f t="shared" si="2"/>
        <v>1</v>
      </c>
      <c r="AM10" s="53" t="str">
        <f t="shared" si="3"/>
        <v>La ejecución de la meta registrada se encuentra acorde a la meta programada en la formulación del plan de acción para el cuarto trimestre.</v>
      </c>
      <c r="AN10" s="55"/>
      <c r="AO10" s="56"/>
      <c r="AP10" s="57"/>
      <c r="AQ10" s="57"/>
      <c r="AR10" s="58"/>
      <c r="AS10" s="59"/>
      <c r="AT10" s="60"/>
      <c r="AU10" s="55"/>
      <c r="AV10" s="56"/>
      <c r="AW10" s="61"/>
      <c r="AX10" s="57"/>
      <c r="AY10" s="62"/>
      <c r="AZ10" s="63"/>
      <c r="BA10" s="64"/>
      <c r="BB10" s="65"/>
      <c r="BC10" s="56"/>
      <c r="BD10" s="61"/>
      <c r="BE10" s="57"/>
      <c r="BF10" s="58"/>
      <c r="BG10" s="63"/>
      <c r="BH10" s="64"/>
      <c r="BI10" s="66"/>
      <c r="BK10" s="21" t="str">
        <f t="shared" si="4"/>
        <v>0</v>
      </c>
      <c r="BM10" s="67" t="s">
        <v>91</v>
      </c>
      <c r="BN10" s="73">
        <f t="shared" si="5"/>
        <v>7</v>
      </c>
      <c r="BO10" s="47">
        <f t="shared" si="6"/>
        <v>6</v>
      </c>
      <c r="BP10" s="69">
        <f t="shared" si="7"/>
        <v>4</v>
      </c>
      <c r="BQ10" s="70">
        <f t="shared" si="8"/>
        <v>0.514739229</v>
      </c>
      <c r="BR10" s="69" t="str">
        <f t="shared" si="9"/>
        <v>Baja Ejecución</v>
      </c>
      <c r="BS10" s="71">
        <f t="shared" ref="BS10:BV10" si="16">COUNTIFS($D:$D,$BM10,$BK:$BK,BS$1)</f>
        <v>1</v>
      </c>
      <c r="BT10" s="71">
        <f t="shared" si="16"/>
        <v>4</v>
      </c>
      <c r="BU10" s="71">
        <f t="shared" si="16"/>
        <v>2</v>
      </c>
      <c r="BV10" s="71">
        <f t="shared" si="16"/>
        <v>0</v>
      </c>
    </row>
    <row r="11" ht="33.75" customHeight="1">
      <c r="A11" s="37"/>
      <c r="B11" s="38">
        <f>IFERROR(__xludf.DUMMYFUNCTION("""COMPUTED_VALUE"""),12.0)</f>
        <v>12</v>
      </c>
      <c r="C11" s="39" t="str">
        <f>IFERROR(__xludf.DUMMYFUNCTION("""COMPUTED_VALUE"""),"Comunicación estratégica")</f>
        <v>Comunicación estratégica</v>
      </c>
      <c r="D11" s="40" t="str">
        <f>IFERROR(__xludf.DUMMYFUNCTION("""COMPUTED_VALUE"""),"Comunicaciones")</f>
        <v>Comunicaciones</v>
      </c>
      <c r="E11" s="40" t="str">
        <f>IFERROR(__xludf.DUMMYFUNCTION("""COMPUTED_VALUE"""),"Fortalecimiento de la capacidad de gestión de la autoridad nacional de acuicultura y pesca - aunap nacional")</f>
        <v>Fortalecimiento de la capacidad de gestión de la autoridad nacional de acuicultura y pesca - aunap nacional</v>
      </c>
      <c r="F11" s="40">
        <f>IFERROR(__xludf.DUMMYFUNCTION("""COMPUTED_VALUE"""),2.01801E12)</f>
        <v>2018010000000</v>
      </c>
      <c r="G11" s="41" t="str">
        <f>IFERROR(__xludf.DUMMYFUNCTION("""COMPUTED_VALUE"""),"Fortalecimiento")</f>
        <v>Fortalecimiento</v>
      </c>
      <c r="H11" s="40" t="str">
        <f>IFERROR(__xludf.DUMMYFUNCTION("""COMPUTED_VALUE"""),"Fortalecer los sistemas de gestión de la Entidad")</f>
        <v>Fortalecer los sistemas de gestión de la Entidad</v>
      </c>
      <c r="I11" s="40" t="str">
        <f>IFERROR(__xludf.DUMMYFUNCTION("""COMPUTED_VALUE"""),"Servicio de Implementación Sistemas de Gestión")</f>
        <v>Servicio de Implementación Sistemas de Gestión</v>
      </c>
      <c r="J11"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1" s="42" t="str">
        <f>IFERROR(__xludf.DUMMYFUNCTION("""COMPUTED_VALUE"""),"Gestión del área")</f>
        <v>Gestión del área</v>
      </c>
      <c r="L11" s="42" t="str">
        <f>IFERROR(__xludf.DUMMYFUNCTION("""COMPUTED_VALUE"""),"Eficacia")</f>
        <v>Eficacia</v>
      </c>
      <c r="M11" s="42" t="str">
        <f>IFERROR(__xludf.DUMMYFUNCTION("""COMPUTED_VALUE"""),"Numero")</f>
        <v>Numero</v>
      </c>
      <c r="N11" s="43" t="str">
        <f>IFERROR(__xludf.DUMMYFUNCTION("""COMPUTED_VALUE"""),"Espacios de comunicaciòn desarrollados")</f>
        <v>Espacios de comunicaciòn desarrollados</v>
      </c>
      <c r="O11" s="44"/>
      <c r="P11" s="74">
        <f>IFERROR(__xludf.DUMMYFUNCTION("""COMPUTED_VALUE"""),10.0)</f>
        <v>10</v>
      </c>
      <c r="Q11" s="75" t="str">
        <f>IFERROR(__xludf.DUMMYFUNCTION("""COMPUTED_VALUE"""),"Realizar espacios de comunicacion que faciliten la interlocucion de la entidad con los diferentes usuarios para mejorar la gestión pública")</f>
        <v>Realizar espacios de comunicacion que faciliten la interlocucion de la entidad con los diferentes usuarios para mejorar la gestión pública</v>
      </c>
      <c r="R11" s="75" t="str">
        <f>IFERROR(__xludf.DUMMYFUNCTION("""COMPUTED_VALUE"""),"Trimestral")</f>
        <v>Trimestral</v>
      </c>
      <c r="S11" s="74">
        <f>IFERROR(__xludf.DUMMYFUNCTION("""COMPUTED_VALUE"""),0.0)</f>
        <v>0</v>
      </c>
      <c r="T11" s="74">
        <f>IFERROR(__xludf.DUMMYFUNCTION("""COMPUTED_VALUE"""),4.0)</f>
        <v>4</v>
      </c>
      <c r="U11" s="74">
        <f>IFERROR(__xludf.DUMMYFUNCTION("""COMPUTED_VALUE"""),4.0)</f>
        <v>4</v>
      </c>
      <c r="V11" s="74">
        <f>IFERROR(__xludf.DUMMYFUNCTION("""COMPUTED_VALUE"""),2.0)</f>
        <v>2</v>
      </c>
      <c r="W11" s="48" t="str">
        <f>IFERROR(__xludf.DUMMYFUNCTION("""COMPUTED_VALUE"""),"Comunicaciones")</f>
        <v>Comunicaciones</v>
      </c>
      <c r="X11" s="49" t="str">
        <f>IFERROR(__xludf.DUMMYFUNCTION("""COMPUTED_VALUE"""),"Leidy Hidalgo")</f>
        <v>Leidy Hidalgo</v>
      </c>
      <c r="Y11" s="39" t="str">
        <f>IFERROR(__xludf.DUMMYFUNCTION("""COMPUTED_VALUE"""),"Profesional Especializado")</f>
        <v>Profesional Especializado</v>
      </c>
      <c r="Z11" s="49" t="str">
        <f>IFERROR(__xludf.DUMMYFUNCTION("""COMPUTED_VALUE"""),"leidy.hidalgo@aunap.gov.co")</f>
        <v>leidy.hidalgo@aunap.gov.co</v>
      </c>
      <c r="AA11" s="39" t="str">
        <f>IFERROR(__xludf.DUMMYFUNCTION("""COMPUTED_VALUE"""),"Humanos, Físicos, Financieros, Tecnológicos")</f>
        <v>Humanos, Físicos, Financieros, Tecnológicos</v>
      </c>
      <c r="AB11" s="39" t="str">
        <f>IFERROR(__xludf.DUMMYFUNCTION("""COMPUTED_VALUE"""),"No asociado")</f>
        <v>No asociado</v>
      </c>
      <c r="AC11" s="39" t="str">
        <f>IFERROR(__xludf.DUMMYFUNCTION("""COMPUTED_VALUE"""),"Llegar con actividades de pesca y acuicultura a todas las regiones")</f>
        <v>Llegar con actividades de pesca y acuicultura a todas las regiones</v>
      </c>
      <c r="AD11" s="39" t="str">
        <f>IFERROR(__xludf.DUMMYFUNCTION("""COMPUTED_VALUE"""),"Información y comunicación")</f>
        <v>Información y comunicación</v>
      </c>
      <c r="AE11" s="39" t="str">
        <f>IFERROR(__xludf.DUMMYFUNCTION("""COMPUTED_VALUE"""),"Transparencia, acceso a la información pública y lucha contra la corrupción")</f>
        <v>Transparencia, acceso a la información pública y lucha contra la corrupción</v>
      </c>
      <c r="AF11" s="39" t="str">
        <f>IFERROR(__xludf.DUMMYFUNCTION("""COMPUTED_VALUE"""),"12. Producción y consumo responsable")</f>
        <v>12. Producción y consumo responsable</v>
      </c>
      <c r="AG11" s="50">
        <f>IFERROR(__xludf.DUMMYFUNCTION("""COMPUTED_VALUE"""),0.0)</f>
        <v>0</v>
      </c>
      <c r="AH11" s="51" t="str">
        <f>IFERROR(__xludf.DUMMYFUNCTION("""COMPUTED_VALUE"""),"No aplica para I trimestre")</f>
        <v>No aplica para I trimestre</v>
      </c>
      <c r="AI11" s="51"/>
      <c r="AJ11" s="52">
        <f>IFERROR(__xludf.DUMMYFUNCTION("""COMPUTED_VALUE"""),44298.0)</f>
        <v>44298</v>
      </c>
      <c r="AK11" s="53" t="str">
        <f>IFERROR(IF((AL11+1)&lt;2,Alertas!$B$2&amp;TEXT(AL11,"0%")&amp;Alertas!$D$2, IF((AL11+1)=2,Alertas!$B$3,IF((AL11+1)&gt;2,Alertas!$B$4&amp;TEXT(AL11,"0%")&amp;Alertas!$D$4,AL11+1))),"Sin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1" s="54">
        <f t="shared" si="2"/>
        <v>0</v>
      </c>
      <c r="AM11"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1" s="55"/>
      <c r="AO11" s="56"/>
      <c r="AP11" s="57"/>
      <c r="AQ11" s="57"/>
      <c r="AR11" s="58"/>
      <c r="AS11" s="59"/>
      <c r="AT11" s="60"/>
      <c r="AU11" s="55"/>
      <c r="AV11" s="56"/>
      <c r="AW11" s="61"/>
      <c r="AX11" s="57"/>
      <c r="AY11" s="62"/>
      <c r="AZ11" s="63"/>
      <c r="BA11" s="64"/>
      <c r="BB11" s="65"/>
      <c r="BC11" s="56"/>
      <c r="BD11" s="61"/>
      <c r="BE11" s="57"/>
      <c r="BF11" s="58"/>
      <c r="BG11" s="63"/>
      <c r="BH11" s="64"/>
      <c r="BI11" s="66"/>
      <c r="BK11" s="21" t="str">
        <f t="shared" si="4"/>
        <v>-1</v>
      </c>
      <c r="BM11" s="67" t="s">
        <v>92</v>
      </c>
      <c r="BN11" s="73">
        <f t="shared" si="5"/>
        <v>3</v>
      </c>
      <c r="BO11" s="47">
        <f t="shared" si="6"/>
        <v>3</v>
      </c>
      <c r="BP11" s="69">
        <f t="shared" si="7"/>
        <v>2</v>
      </c>
      <c r="BQ11" s="70">
        <f t="shared" si="8"/>
        <v>0.6666666667</v>
      </c>
      <c r="BR11" s="69" t="str">
        <f t="shared" si="9"/>
        <v>Baja Ejecución</v>
      </c>
      <c r="BS11" s="71">
        <f t="shared" ref="BS11:BV11" si="17">COUNTIFS($D:$D,$BM11,$BK:$BK,BS$1)</f>
        <v>0</v>
      </c>
      <c r="BT11" s="71">
        <f t="shared" si="17"/>
        <v>1</v>
      </c>
      <c r="BU11" s="71">
        <f t="shared" si="17"/>
        <v>2</v>
      </c>
      <c r="BV11" s="71">
        <f t="shared" si="17"/>
        <v>0</v>
      </c>
    </row>
    <row r="12" ht="33.75" customHeight="1">
      <c r="A12" s="37"/>
      <c r="B12" s="38">
        <f>IFERROR(__xludf.DUMMYFUNCTION("""COMPUTED_VALUE"""),13.0)</f>
        <v>13</v>
      </c>
      <c r="C12" s="39" t="str">
        <f>IFERROR(__xludf.DUMMYFUNCTION("""COMPUTED_VALUE"""),"Comunicación estratégica")</f>
        <v>Comunicación estratégica</v>
      </c>
      <c r="D12" s="40" t="str">
        <f>IFERROR(__xludf.DUMMYFUNCTION("""COMPUTED_VALUE"""),"Comunicaciones")</f>
        <v>Comunicaciones</v>
      </c>
      <c r="E12" s="40" t="str">
        <f>IFERROR(__xludf.DUMMYFUNCTION("""COMPUTED_VALUE"""),"Fortalecimiento de la capacidad de gestión de la autoridad nacional de acuicultura y pesca - aunap nacional")</f>
        <v>Fortalecimiento de la capacidad de gestión de la autoridad nacional de acuicultura y pesca - aunap nacional</v>
      </c>
      <c r="F12" s="40">
        <f>IFERROR(__xludf.DUMMYFUNCTION("""COMPUTED_VALUE"""),2.01801E12)</f>
        <v>2018010000000</v>
      </c>
      <c r="G12" s="41" t="str">
        <f>IFERROR(__xludf.DUMMYFUNCTION("""COMPUTED_VALUE"""),"Fortalecimiento")</f>
        <v>Fortalecimiento</v>
      </c>
      <c r="H12" s="40" t="str">
        <f>IFERROR(__xludf.DUMMYFUNCTION("""COMPUTED_VALUE"""),"Fortalecer los sistemas de gestión de la Entidad")</f>
        <v>Fortalecer los sistemas de gestión de la Entidad</v>
      </c>
      <c r="I12" s="40" t="str">
        <f>IFERROR(__xludf.DUMMYFUNCTION("""COMPUTED_VALUE"""),"Servicio de Implementación Sistemas de Gestión")</f>
        <v>Servicio de Implementación Sistemas de Gestión</v>
      </c>
      <c r="J12"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2" s="42" t="str">
        <f>IFERROR(__xludf.DUMMYFUNCTION("""COMPUTED_VALUE"""),"Gestión del área")</f>
        <v>Gestión del área</v>
      </c>
      <c r="L12" s="42" t="str">
        <f>IFERROR(__xludf.DUMMYFUNCTION("""COMPUTED_VALUE"""),"eficacia")</f>
        <v>eficacia</v>
      </c>
      <c r="M12" s="42" t="str">
        <f>IFERROR(__xludf.DUMMYFUNCTION("""COMPUTED_VALUE"""),"Numero")</f>
        <v>Numero</v>
      </c>
      <c r="N12" s="43" t="str">
        <f>IFERROR(__xludf.DUMMYFUNCTION("""COMPUTED_VALUE"""),"Productos comunicativos (revistas, newletter, infografias, etc)")</f>
        <v>Productos comunicativos (revistas, newletter, infografias, etc)</v>
      </c>
      <c r="O12" s="44"/>
      <c r="P12" s="45">
        <f>IFERROR(__xludf.DUMMYFUNCTION("""COMPUTED_VALUE"""),20.0)</f>
        <v>20</v>
      </c>
      <c r="Q12" s="46" t="str">
        <f>IFERROR(__xludf.DUMMYFUNCTION("""COMPUTED_VALUE"""),"Crear y divulgar productos comunicativos internos y externos que permitan ampliar la difusión de la informacion institucional a través de los diferentes canales de comunicación.")</f>
        <v>Crear y divulgar productos comunicativos internos y externos que permitan ampliar la difusión de la informacion institucional a través de los diferentes canales de comunicación.</v>
      </c>
      <c r="R12" s="47" t="str">
        <f>IFERROR(__xludf.DUMMYFUNCTION("""COMPUTED_VALUE"""),"Mensual")</f>
        <v>Mensual</v>
      </c>
      <c r="S12" s="45">
        <f>IFERROR(__xludf.DUMMYFUNCTION("""COMPUTED_VALUE"""),3.0)</f>
        <v>3</v>
      </c>
      <c r="T12" s="45">
        <f>IFERROR(__xludf.DUMMYFUNCTION("""COMPUTED_VALUE"""),6.0)</f>
        <v>6</v>
      </c>
      <c r="U12" s="45">
        <f>IFERROR(__xludf.DUMMYFUNCTION("""COMPUTED_VALUE"""),6.0)</f>
        <v>6</v>
      </c>
      <c r="V12" s="45">
        <f>IFERROR(__xludf.DUMMYFUNCTION("""COMPUTED_VALUE"""),5.0)</f>
        <v>5</v>
      </c>
      <c r="W12" s="48" t="str">
        <f>IFERROR(__xludf.DUMMYFUNCTION("""COMPUTED_VALUE"""),"Comunicaciones")</f>
        <v>Comunicaciones</v>
      </c>
      <c r="X12" s="49" t="str">
        <f>IFERROR(__xludf.DUMMYFUNCTION("""COMPUTED_VALUE"""),"Leidy Hidalgo")</f>
        <v>Leidy Hidalgo</v>
      </c>
      <c r="Y12" s="39" t="str">
        <f>IFERROR(__xludf.DUMMYFUNCTION("""COMPUTED_VALUE"""),"Profesional Especializado")</f>
        <v>Profesional Especializado</v>
      </c>
      <c r="Z12" s="49" t="str">
        <f>IFERROR(__xludf.DUMMYFUNCTION("""COMPUTED_VALUE"""),"leidy.hidalgo@aunap.gov.co")</f>
        <v>leidy.hidalgo@aunap.gov.co</v>
      </c>
      <c r="AA12" s="39" t="str">
        <f>IFERROR(__xludf.DUMMYFUNCTION("""COMPUTED_VALUE"""),"Humanos, Físicos, Financieros, Tecnológicos")</f>
        <v>Humanos, Físicos, Financieros, Tecnológicos</v>
      </c>
      <c r="AB12" s="39" t="str">
        <f>IFERROR(__xludf.DUMMYFUNCTION("""COMPUTED_VALUE"""),"No asociado")</f>
        <v>No asociado</v>
      </c>
      <c r="AC12" s="39" t="str">
        <f>IFERROR(__xludf.DUMMYFUNCTION("""COMPUTED_VALUE"""),"Llegar con actividades de pesca y acuicultura a todas las regiones")</f>
        <v>Llegar con actividades de pesca y acuicultura a todas las regiones</v>
      </c>
      <c r="AD12" s="39" t="str">
        <f>IFERROR(__xludf.DUMMYFUNCTION("""COMPUTED_VALUE"""),"Información y comunicación")</f>
        <v>Información y comunicación</v>
      </c>
      <c r="AE12" s="39" t="str">
        <f>IFERROR(__xludf.DUMMYFUNCTION("""COMPUTED_VALUE"""),"Transparencia, acceso a la información pública y lucha contra la corrupción")</f>
        <v>Transparencia, acceso a la información pública y lucha contra la corrupción</v>
      </c>
      <c r="AF12" s="39" t="str">
        <f>IFERROR(__xludf.DUMMYFUNCTION("""COMPUTED_VALUE"""),"12. Producción y consumo responsable")</f>
        <v>12. Producción y consumo responsable</v>
      </c>
      <c r="AG12" s="50">
        <f>IFERROR(__xludf.DUMMYFUNCTION("""COMPUTED_VALUE"""),3.0)</f>
        <v>3</v>
      </c>
      <c r="AH12" s="51" t="str">
        <f>IFERROR(__xludf.DUMMYFUNCTION("""COMPUTED_VALUE"""),"Durante el I trimestre de 2021 el proceso de comunicación estratégica creó y divulgó (3) productos comunicativos internos y externos que permiten ampliar la difusión de la información institucional a través de los diferentes canales de comunicación")</f>
        <v>Durante el I trimestre de 2021 el proceso de comunicación estratégica creó y divulgó (3) productos comunicativos internos y externos que permiten ampliar la difusión de la información institucional a través de los diferentes canales de comunicación</v>
      </c>
      <c r="AI12" s="72" t="str">
        <f>IFERROR(__xludf.DUMMYFUNCTION("""COMPUTED_VALUE"""),"https://drive.google.com/drive/folders/1I_FaeZflhwGVBGU_9hu1BReDg9a4ppzo?usp=sharing")</f>
        <v>https://drive.google.com/drive/folders/1I_FaeZflhwGVBGU_9hu1BReDg9a4ppzo?usp=sharing</v>
      </c>
      <c r="AJ12" s="52">
        <f>IFERROR(__xludf.DUMMYFUNCTION("""COMPUTED_VALUE"""),44298.0)</f>
        <v>44298</v>
      </c>
      <c r="AK12" s="53" t="str">
        <f>IFERROR(IF((AL12+1)&lt;2,Alertas!$B$2&amp;TEXT(AL12,"0%")&amp;Alertas!$D$2, IF((AL12+1)=2,Alertas!$B$3,IF((AL12+1)&gt;2,Alertas!$B$4&amp;TEXT(AL12,"0%")&amp;Alertas!$D$4,AL12+1))),"Sin meta para el cuarto trimestre")</f>
        <v>La ejecución de la meta registrada se encuentra por debajo de la meta programada en la formulación del plan de acción para el cuarto trimestre, su porcentaje de cumplimiento es 60%, lo cual indica un incumplimiento que puede ser entendido por los entes de control como falencias en el proceso de planeación. se recomienda tomar este antecedente como insumo para disminuir la meta en la próxima vigencia</v>
      </c>
      <c r="AL12" s="54">
        <f t="shared" si="2"/>
        <v>0.6</v>
      </c>
      <c r="AM12" s="53" t="str">
        <f t="shared" si="3"/>
        <v>La ejecución de la meta registrada se encuentra por debajo de la meta programada en la formulación del plan de acción para el cuarto trimestre, su porcentaje de cumplimiento es 60%, lo cual indica un incumplimiento que puede ser entendido por los entes de control como falencias en el proceso de planeación. se recomienda tomar este antecedente como insumo para disminuir la meta en la próxima vigencia.</v>
      </c>
      <c r="AN12" s="55"/>
      <c r="AO12" s="56"/>
      <c r="AP12" s="57"/>
      <c r="AQ12" s="57"/>
      <c r="AR12" s="58"/>
      <c r="AS12" s="59"/>
      <c r="AT12" s="60"/>
      <c r="AU12" s="55"/>
      <c r="AV12" s="56"/>
      <c r="AW12" s="61"/>
      <c r="AX12" s="57"/>
      <c r="AY12" s="62"/>
      <c r="AZ12" s="63"/>
      <c r="BA12" s="64"/>
      <c r="BB12" s="65"/>
      <c r="BC12" s="56"/>
      <c r="BD12" s="61"/>
      <c r="BE12" s="57"/>
      <c r="BF12" s="58"/>
      <c r="BG12" s="63"/>
      <c r="BH12" s="64"/>
      <c r="BI12" s="66"/>
      <c r="BK12" s="21" t="str">
        <f t="shared" si="4"/>
        <v>-1</v>
      </c>
      <c r="BM12" s="67" t="s">
        <v>93</v>
      </c>
      <c r="BN12" s="73">
        <f t="shared" si="5"/>
        <v>3</v>
      </c>
      <c r="BO12" s="47">
        <f t="shared" si="6"/>
        <v>3</v>
      </c>
      <c r="BP12" s="69">
        <f t="shared" si="7"/>
        <v>1</v>
      </c>
      <c r="BQ12" s="70" t="str">
        <f t="shared" si="8"/>
        <v>-</v>
      </c>
      <c r="BR12" s="69" t="str">
        <f t="shared" si="9"/>
        <v>-</v>
      </c>
      <c r="BS12" s="71">
        <f t="shared" ref="BS12:BV12" si="18">COUNTIFS($D:$D,$BM12,$BK:$BK,BS$1)</f>
        <v>2</v>
      </c>
      <c r="BT12" s="71">
        <f t="shared" si="18"/>
        <v>0</v>
      </c>
      <c r="BU12" s="71">
        <f t="shared" si="18"/>
        <v>0</v>
      </c>
      <c r="BV12" s="71">
        <f t="shared" si="18"/>
        <v>1</v>
      </c>
    </row>
    <row r="13" ht="33.75" customHeight="1">
      <c r="A13" s="37"/>
      <c r="B13" s="38">
        <f>IFERROR(__xludf.DUMMYFUNCTION("""COMPUTED_VALUE"""),4.0)</f>
        <v>4</v>
      </c>
      <c r="C13" s="39" t="str">
        <f>IFERROR(__xludf.DUMMYFUNCTION("""COMPUTED_VALUE"""),"Atención al ciudadano")</f>
        <v>Atención al ciudadano</v>
      </c>
      <c r="D13" s="40" t="str">
        <f>IFERROR(__xludf.DUMMYFUNCTION("""COMPUTED_VALUE"""),"Atención al ciudadano")</f>
        <v>Atención al ciudadano</v>
      </c>
      <c r="E13" s="40" t="str">
        <f>IFERROR(__xludf.DUMMYFUNCTION("""COMPUTED_VALUE"""),"Fortalecimiento de la capacidad de gestión de la autoridad nacional de acuicultura y pesca - aunap nacional")</f>
        <v>Fortalecimiento de la capacidad de gestión de la autoridad nacional de acuicultura y pesca - aunap nacional</v>
      </c>
      <c r="F13" s="40">
        <f>IFERROR(__xludf.DUMMYFUNCTION("""COMPUTED_VALUE"""),2.01801E12)</f>
        <v>2018010000000</v>
      </c>
      <c r="G13" s="41" t="str">
        <f>IFERROR(__xludf.DUMMYFUNCTION("""COMPUTED_VALUE"""),"Fortalecimiento")</f>
        <v>Fortalecimiento</v>
      </c>
      <c r="H13" s="40" t="str">
        <f>IFERROR(__xludf.DUMMYFUNCTION("""COMPUTED_VALUE"""),"Fortalecer los sistemas de gestión de la Entidad")</f>
        <v>Fortalecer los sistemas de gestión de la Entidad</v>
      </c>
      <c r="I13" s="40" t="str">
        <f>IFERROR(__xludf.DUMMYFUNCTION("""COMPUTED_VALUE"""),"Servicio de Implementación Sistemas de Gestión")</f>
        <v>Servicio de Implementación Sistemas de Gestión</v>
      </c>
      <c r="J13"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13" s="42" t="str">
        <f>IFERROR(__xludf.DUMMYFUNCTION("""COMPUTED_VALUE"""),"Gestión del área")</f>
        <v>Gestión del área</v>
      </c>
      <c r="L13" s="42" t="str">
        <f>IFERROR(__xludf.DUMMYFUNCTION("""COMPUTED_VALUE"""),"Eficacia")</f>
        <v>Eficacia</v>
      </c>
      <c r="M13" s="42" t="str">
        <f>IFERROR(__xludf.DUMMYFUNCTION("""COMPUTED_VALUE"""),"Porcentaje")</f>
        <v>Porcentaje</v>
      </c>
      <c r="N13" s="43" t="str">
        <f>IFERROR(__xludf.DUMMYFUNCTION("""COMPUTED_VALUE"""),"Número de actividades de la estrategia de Servicio al Ciudadano ejecutadas/Número de actividades de la estrategia de Servicio al Ciudadano * 100")</f>
        <v>Número de actividades de la estrategia de Servicio al Ciudadano ejecutadas/Número de actividades de la estrategia de Servicio al Ciudadano * 100</v>
      </c>
      <c r="O13" s="44"/>
      <c r="P13" s="74">
        <f>IFERROR(__xludf.DUMMYFUNCTION("""COMPUTED_VALUE"""),1.0)</f>
        <v>1</v>
      </c>
      <c r="Q13" s="75" t="str">
        <f>IFERROR(__xludf.DUMMYFUNCTION("""COMPUTED_VALUE"""),"Ejecutar las actividades de la estrategia de  Servicio al Ciudadano.")</f>
        <v>Ejecutar las actividades de la estrategia de  Servicio al Ciudadano.</v>
      </c>
      <c r="R13" s="75" t="str">
        <f>IFERROR(__xludf.DUMMYFUNCTION("""COMPUTED_VALUE"""),"Semestral")</f>
        <v>Semestral</v>
      </c>
      <c r="S13" s="74">
        <f>IFERROR(__xludf.DUMMYFUNCTION("""COMPUTED_VALUE"""),0.0)</f>
        <v>0</v>
      </c>
      <c r="T13" s="74">
        <f>IFERROR(__xludf.DUMMYFUNCTION("""COMPUTED_VALUE"""),1.0)</f>
        <v>1</v>
      </c>
      <c r="U13" s="74">
        <f>IFERROR(__xludf.DUMMYFUNCTION("""COMPUTED_VALUE"""),0.0)</f>
        <v>0</v>
      </c>
      <c r="V13" s="74">
        <f>IFERROR(__xludf.DUMMYFUNCTION("""COMPUTED_VALUE"""),1.0)</f>
        <v>1</v>
      </c>
      <c r="W13" s="48" t="str">
        <f>IFERROR(__xludf.DUMMYFUNCTION("""COMPUTED_VALUE"""),"Administrativa")</f>
        <v>Administrativa</v>
      </c>
      <c r="X13" s="49" t="str">
        <f>IFERROR(__xludf.DUMMYFUNCTION("""COMPUTED_VALUE"""),"Gustavo Polo")</f>
        <v>Gustavo Polo</v>
      </c>
      <c r="Y13" s="39" t="str">
        <f>IFERROR(__xludf.DUMMYFUNCTION("""COMPUTED_VALUE"""),"Coordinador Administrativo")</f>
        <v>Coordinador Administrativo</v>
      </c>
      <c r="Z13" s="49" t="str">
        <f>IFERROR(__xludf.DUMMYFUNCTION("""COMPUTED_VALUE"""),"gustavo.polo@aunap.gov.co")</f>
        <v>gustavo.polo@aunap.gov.co</v>
      </c>
      <c r="AA13" s="39" t="str">
        <f>IFERROR(__xludf.DUMMYFUNCTION("""COMPUTED_VALUE"""),"Humanos, Físicos, Financieros, Tecnológicos")</f>
        <v>Humanos, Físicos, Financieros, Tecnológicos</v>
      </c>
      <c r="AB13" s="39" t="str">
        <f>IFERROR(__xludf.DUMMYFUNCTION("""COMPUTED_VALUE"""),"Plan Anticorrupción y de Atención al Ciudadano - PAAC")</f>
        <v>Plan Anticorrupción y de Atención al Ciudadano - PAAC</v>
      </c>
      <c r="AC13" s="39" t="str">
        <f>IFERROR(__xludf.DUMMYFUNCTION("""COMPUTED_VALUE"""),"Llegar con actividades de pesca y acuicultura a todas las regiones")</f>
        <v>Llegar con actividades de pesca y acuicultura a todas las regiones</v>
      </c>
      <c r="AD13" s="39" t="str">
        <f>IFERROR(__xludf.DUMMYFUNCTION("""COMPUTED_VALUE"""),"Gestión con valores para resultados")</f>
        <v>Gestión con valores para resultados</v>
      </c>
      <c r="AE13" s="39" t="str">
        <f>IFERROR(__xludf.DUMMYFUNCTION("""COMPUTED_VALUE"""),"Servicio al Ciudadano")</f>
        <v>Servicio al Ciudadano</v>
      </c>
      <c r="AF13" s="39" t="str">
        <f>IFERROR(__xludf.DUMMYFUNCTION("""COMPUTED_VALUE"""),"16. Paz, justicia e instituciones sólidas")</f>
        <v>16. Paz, justicia e instituciones sólidas</v>
      </c>
      <c r="AG13" s="50"/>
      <c r="AH13" s="51" t="str">
        <f>IFERROR(__xludf.DUMMYFUNCTION("""COMPUTED_VALUE"""),"Dicha estrategia fue contruido y actualizada hasta el presente mes de abril y su reporte es semestral.")</f>
        <v>Dicha estrategia fue contruido y actualizada hasta el presente mes de abril y su reporte es semestral.</v>
      </c>
      <c r="AI13" s="51"/>
      <c r="AJ13" s="52">
        <f>IFERROR(__xludf.DUMMYFUNCTION("""COMPUTED_VALUE"""),44298.0)</f>
        <v>44298</v>
      </c>
      <c r="AK13" s="53" t="str">
        <f>IFERROR(IF((AL13+1)&lt;2,Alertas!$B$2&amp;TEXT(AL13,"0%")&amp;Alertas!$D$2, IF((AL13+1)=2,Alertas!$B$3,IF((AL13+1)&gt;2,Alertas!$B$4&amp;TEXT(AL13,"0%")&amp;Alertas!$D$4,AL13+1))),"Sin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3" s="54">
        <f t="shared" si="2"/>
        <v>0</v>
      </c>
      <c r="AM13" s="53" t="str">
        <f t="shared" si="3"/>
        <v>No reporto ejecución.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3" s="55"/>
      <c r="AO13" s="56"/>
      <c r="AP13" s="57"/>
      <c r="AQ13" s="57"/>
      <c r="AR13" s="58"/>
      <c r="AS13" s="59"/>
      <c r="AT13" s="60"/>
      <c r="AU13" s="55"/>
      <c r="AV13" s="56"/>
      <c r="AW13" s="61"/>
      <c r="AX13" s="57"/>
      <c r="AY13" s="62"/>
      <c r="AZ13" s="63"/>
      <c r="BA13" s="64"/>
      <c r="BB13" s="65"/>
      <c r="BC13" s="56"/>
      <c r="BD13" s="61"/>
      <c r="BE13" s="57"/>
      <c r="BF13" s="58"/>
      <c r="BG13" s="63"/>
      <c r="BH13" s="64"/>
      <c r="BI13" s="66"/>
      <c r="BK13" s="21" t="str">
        <f t="shared" si="4"/>
        <v>-1</v>
      </c>
      <c r="BM13" s="67" t="s">
        <v>94</v>
      </c>
      <c r="BN13" s="73">
        <f t="shared" si="5"/>
        <v>10</v>
      </c>
      <c r="BO13" s="47">
        <f t="shared" si="6"/>
        <v>10</v>
      </c>
      <c r="BP13" s="69">
        <f t="shared" si="7"/>
        <v>10</v>
      </c>
      <c r="BQ13" s="70">
        <f t="shared" si="8"/>
        <v>1</v>
      </c>
      <c r="BR13" s="69" t="str">
        <f t="shared" si="9"/>
        <v>Cumplimiento Adecuado</v>
      </c>
      <c r="BS13" s="71">
        <f t="shared" ref="BS13:BV13" si="19">COUNTIFS($D:$D,$BM13,$BK:$BK,BS$1)</f>
        <v>0</v>
      </c>
      <c r="BT13" s="71">
        <f t="shared" si="19"/>
        <v>0</v>
      </c>
      <c r="BU13" s="71">
        <f t="shared" si="19"/>
        <v>10</v>
      </c>
      <c r="BV13" s="71">
        <f t="shared" si="19"/>
        <v>0</v>
      </c>
    </row>
    <row r="14" ht="33.75" customHeight="1">
      <c r="A14" s="37"/>
      <c r="B14" s="38">
        <f>IFERROR(__xludf.DUMMYFUNCTION("""COMPUTED_VALUE"""),5.0)</f>
        <v>5</v>
      </c>
      <c r="C14" s="39" t="str">
        <f>IFERROR(__xludf.DUMMYFUNCTION("""COMPUTED_VALUE"""),"Atención al ciudadano")</f>
        <v>Atención al ciudadano</v>
      </c>
      <c r="D14" s="40" t="str">
        <f>IFERROR(__xludf.DUMMYFUNCTION("""COMPUTED_VALUE"""),"Atención al ciudadano")</f>
        <v>Atención al ciudadano</v>
      </c>
      <c r="E14" s="40" t="str">
        <f>IFERROR(__xludf.DUMMYFUNCTION("""COMPUTED_VALUE"""),"Fortalecimiento de la capacidad de gestión de la autoridad nacional de acuicultura y pesca - aunap nacional")</f>
        <v>Fortalecimiento de la capacidad de gestión de la autoridad nacional de acuicultura y pesca - aunap nacional</v>
      </c>
      <c r="F14" s="40">
        <f>IFERROR(__xludf.DUMMYFUNCTION("""COMPUTED_VALUE"""),2.01801E12)</f>
        <v>2018010000000</v>
      </c>
      <c r="G14" s="41" t="str">
        <f>IFERROR(__xludf.DUMMYFUNCTION("""COMPUTED_VALUE"""),"Fortalecimiento")</f>
        <v>Fortalecimiento</v>
      </c>
      <c r="H14" s="40" t="str">
        <f>IFERROR(__xludf.DUMMYFUNCTION("""COMPUTED_VALUE"""),"Fortalecer los sistemas de gestión de la Entidad")</f>
        <v>Fortalecer los sistemas de gestión de la Entidad</v>
      </c>
      <c r="I14" s="40" t="str">
        <f>IFERROR(__xludf.DUMMYFUNCTION("""COMPUTED_VALUE"""),"Servicio de Implementación Sistemas de Gestión")</f>
        <v>Servicio de Implementación Sistemas de Gestión</v>
      </c>
      <c r="J14"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14" s="42" t="str">
        <f>IFERROR(__xludf.DUMMYFUNCTION("""COMPUTED_VALUE"""),"Gestión del área")</f>
        <v>Gestión del área</v>
      </c>
      <c r="L14" s="42" t="str">
        <f>IFERROR(__xludf.DUMMYFUNCTION("""COMPUTED_VALUE"""),"Eficacia")</f>
        <v>Eficacia</v>
      </c>
      <c r="M14" s="42" t="str">
        <f>IFERROR(__xludf.DUMMYFUNCTION("""COMPUTED_VALUE"""),"Porcentaje")</f>
        <v>Porcentaje</v>
      </c>
      <c r="N14" s="43" t="str">
        <f>IFERROR(__xludf.DUMMYFUNCTION("""COMPUTED_VALUE"""),"Cantidad de PQRD´s con seguimiento atendidas en los terminos establecidos/cantidad total de PQRDs recibidas")</f>
        <v>Cantidad de PQRD´s con seguimiento atendidas en los terminos establecidos/cantidad total de PQRDs recibidas</v>
      </c>
      <c r="O14" s="44"/>
      <c r="P14" s="74">
        <f>IFERROR(__xludf.DUMMYFUNCTION("""COMPUTED_VALUE"""),1.0)</f>
        <v>1</v>
      </c>
      <c r="Q14" s="75" t="str">
        <f>IFERROR(__xludf.DUMMYFUNCTION("""COMPUTED_VALUE"""),"Hacer Seguimiento a las diferentes areas de la entidad con el fin de dar respuesta oportuna a las PQRD’s")</f>
        <v>Hacer Seguimiento a las diferentes areas de la entidad con el fin de dar respuesta oportuna a las PQRD’s</v>
      </c>
      <c r="R14" s="75" t="str">
        <f>IFERROR(__xludf.DUMMYFUNCTION("""COMPUTED_VALUE"""),"Semestral")</f>
        <v>Semestral</v>
      </c>
      <c r="S14" s="74">
        <f>IFERROR(__xludf.DUMMYFUNCTION("""COMPUTED_VALUE"""),0.0)</f>
        <v>0</v>
      </c>
      <c r="T14" s="74">
        <f>IFERROR(__xludf.DUMMYFUNCTION("""COMPUTED_VALUE"""),1.0)</f>
        <v>1</v>
      </c>
      <c r="U14" s="74">
        <f>IFERROR(__xludf.DUMMYFUNCTION("""COMPUTED_VALUE"""),0.0)</f>
        <v>0</v>
      </c>
      <c r="V14" s="74">
        <f>IFERROR(__xludf.DUMMYFUNCTION("""COMPUTED_VALUE"""),1.0)</f>
        <v>1</v>
      </c>
      <c r="W14" s="48" t="str">
        <f>IFERROR(__xludf.DUMMYFUNCTION("""COMPUTED_VALUE"""),"Administrativa")</f>
        <v>Administrativa</v>
      </c>
      <c r="X14" s="49" t="str">
        <f>IFERROR(__xludf.DUMMYFUNCTION("""COMPUTED_VALUE"""),"Gustavo Polo")</f>
        <v>Gustavo Polo</v>
      </c>
      <c r="Y14" s="39" t="str">
        <f>IFERROR(__xludf.DUMMYFUNCTION("""COMPUTED_VALUE"""),"Coordinador Administrativo")</f>
        <v>Coordinador Administrativo</v>
      </c>
      <c r="Z14" s="49" t="str">
        <f>IFERROR(__xludf.DUMMYFUNCTION("""COMPUTED_VALUE"""),"gustavo.polo@aunap.gov.co")</f>
        <v>gustavo.polo@aunap.gov.co</v>
      </c>
      <c r="AA14" s="39" t="str">
        <f>IFERROR(__xludf.DUMMYFUNCTION("""COMPUTED_VALUE"""),"Humanos, Físicos, Financieros, Tecnológicos")</f>
        <v>Humanos, Físicos, Financieros, Tecnológicos</v>
      </c>
      <c r="AB14" s="39" t="str">
        <f>IFERROR(__xludf.DUMMYFUNCTION("""COMPUTED_VALUE"""),"Plan Anticorrupción y de Atención al Ciudadano - PAAC")</f>
        <v>Plan Anticorrupción y de Atención al Ciudadano - PAAC</v>
      </c>
      <c r="AC14" s="39" t="str">
        <f>IFERROR(__xludf.DUMMYFUNCTION("""COMPUTED_VALUE"""),"Llegar con actividades de pesca y acuicultura a todas las regiones")</f>
        <v>Llegar con actividades de pesca y acuicultura a todas las regiones</v>
      </c>
      <c r="AD14" s="39" t="str">
        <f>IFERROR(__xludf.DUMMYFUNCTION("""COMPUTED_VALUE"""),"Gestión con valores para resultados")</f>
        <v>Gestión con valores para resultados</v>
      </c>
      <c r="AE14" s="39" t="str">
        <f>IFERROR(__xludf.DUMMYFUNCTION("""COMPUTED_VALUE"""),"Servicio al Ciudadano")</f>
        <v>Servicio al Ciudadano</v>
      </c>
      <c r="AF14" s="39" t="str">
        <f>IFERROR(__xludf.DUMMYFUNCTION("""COMPUTED_VALUE"""),"16. Paz, justicia e instituciones sólidas")</f>
        <v>16. Paz, justicia e instituciones sólidas</v>
      </c>
      <c r="AG14" s="50"/>
      <c r="AH14" s="51" t="str">
        <f>IFERROR(__xludf.DUMMYFUNCTION("""COMPUTED_VALUE"""),"Se diligencio dentro de una matriz propia, el seguimiento a las diferentes pqrsd que ingresaron a la entidad.")</f>
        <v>Se diligencio dentro de una matriz propia, el seguimiento a las diferentes pqrsd que ingresaron a la entidad.</v>
      </c>
      <c r="AI14" s="72" t="str">
        <f>IFERROR(__xludf.DUMMYFUNCTION("""COMPUTED_VALUE"""),"https://drive.google.com/drive/u/0/folders/1ueDHg43A1arq0Yd7PUg_Yhmh0C1BhZwL")</f>
        <v>https://drive.google.com/drive/u/0/folders/1ueDHg43A1arq0Yd7PUg_Yhmh0C1BhZwL</v>
      </c>
      <c r="AJ14" s="52">
        <f>IFERROR(__xludf.DUMMYFUNCTION("""COMPUTED_VALUE"""),44298.0)</f>
        <v>44298</v>
      </c>
      <c r="AK14" s="53" t="str">
        <f>IFERROR(IF((AL14+1)&lt;2,Alertas!$B$2&amp;TEXT(AL14,"0%")&amp;Alertas!$D$2, IF((AL14+1)=2,Alertas!$B$3,IF((AL14+1)&gt;2,Alertas!$B$4&amp;TEXT(AL14,"0%")&amp;Alertas!$D$4,AL14+1))),"Sin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4" s="54">
        <f t="shared" si="2"/>
        <v>0</v>
      </c>
      <c r="AM14" s="53" t="str">
        <f t="shared" si="3"/>
        <v>No reporto ejecución.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4" s="55"/>
      <c r="AO14" s="56"/>
      <c r="AP14" s="57"/>
      <c r="AQ14" s="57"/>
      <c r="AR14" s="58"/>
      <c r="AS14" s="59"/>
      <c r="AT14" s="60"/>
      <c r="AU14" s="55"/>
      <c r="AV14" s="56"/>
      <c r="AW14" s="61"/>
      <c r="AX14" s="57"/>
      <c r="AY14" s="62"/>
      <c r="AZ14" s="63"/>
      <c r="BA14" s="64"/>
      <c r="BB14" s="65"/>
      <c r="BC14" s="56"/>
      <c r="BD14" s="61"/>
      <c r="BE14" s="57"/>
      <c r="BF14" s="58"/>
      <c r="BG14" s="63"/>
      <c r="BH14" s="64"/>
      <c r="BI14" s="66"/>
      <c r="BK14" s="21" t="str">
        <f t="shared" si="4"/>
        <v>-1</v>
      </c>
      <c r="BM14" s="67" t="s">
        <v>95</v>
      </c>
      <c r="BN14" s="73">
        <f t="shared" si="5"/>
        <v>12</v>
      </c>
      <c r="BO14" s="47">
        <f t="shared" si="6"/>
        <v>12</v>
      </c>
      <c r="BP14" s="69">
        <f t="shared" si="7"/>
        <v>2</v>
      </c>
      <c r="BQ14" s="70">
        <f t="shared" si="8"/>
        <v>0.1666666667</v>
      </c>
      <c r="BR14" s="69" t="str">
        <f t="shared" si="9"/>
        <v>Baja Ejecución</v>
      </c>
      <c r="BS14" s="71">
        <f t="shared" ref="BS14:BV14" si="20">COUNTIFS($D:$D,$BM14,$BK:$BK,BS$1)</f>
        <v>0</v>
      </c>
      <c r="BT14" s="71">
        <f t="shared" si="20"/>
        <v>10</v>
      </c>
      <c r="BU14" s="71">
        <f t="shared" si="20"/>
        <v>2</v>
      </c>
      <c r="BV14" s="71">
        <f t="shared" si="20"/>
        <v>0</v>
      </c>
    </row>
    <row r="15" ht="33.75" customHeight="1">
      <c r="A15" s="37"/>
      <c r="B15" s="38">
        <f>IFERROR(__xludf.DUMMYFUNCTION("""COMPUTED_VALUE"""),6.0)</f>
        <v>6</v>
      </c>
      <c r="C15" s="39" t="str">
        <f>IFERROR(__xludf.DUMMYFUNCTION("""COMPUTED_VALUE"""),"Atención al ciudadano")</f>
        <v>Atención al ciudadano</v>
      </c>
      <c r="D15" s="40" t="str">
        <f>IFERROR(__xludf.DUMMYFUNCTION("""COMPUTED_VALUE"""),"Atención al ciudadano")</f>
        <v>Atención al ciudadano</v>
      </c>
      <c r="E15" s="40" t="str">
        <f>IFERROR(__xludf.DUMMYFUNCTION("""COMPUTED_VALUE"""),"Fortalecimiento de la capacidad de gestión de la autoridad nacional de acuicultura y pesca - aunap nacional")</f>
        <v>Fortalecimiento de la capacidad de gestión de la autoridad nacional de acuicultura y pesca - aunap nacional</v>
      </c>
      <c r="F15" s="40">
        <f>IFERROR(__xludf.DUMMYFUNCTION("""COMPUTED_VALUE"""),2.01801E12)</f>
        <v>2018010000000</v>
      </c>
      <c r="G15" s="41" t="str">
        <f>IFERROR(__xludf.DUMMYFUNCTION("""COMPUTED_VALUE"""),"Fortalecimiento")</f>
        <v>Fortalecimiento</v>
      </c>
      <c r="H15" s="40" t="str">
        <f>IFERROR(__xludf.DUMMYFUNCTION("""COMPUTED_VALUE"""),"Fortalecer los sistemas de gestión de la Entidad")</f>
        <v>Fortalecer los sistemas de gestión de la Entidad</v>
      </c>
      <c r="I15" s="40" t="str">
        <f>IFERROR(__xludf.DUMMYFUNCTION("""COMPUTED_VALUE"""),"Servicio de Implementación Sistemas de Gestión")</f>
        <v>Servicio de Implementación Sistemas de Gestión</v>
      </c>
      <c r="J15"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15" s="42" t="str">
        <f>IFERROR(__xludf.DUMMYFUNCTION("""COMPUTED_VALUE"""),"Gestión del área")</f>
        <v>Gestión del área</v>
      </c>
      <c r="L15" s="42" t="str">
        <f>IFERROR(__xludf.DUMMYFUNCTION("""COMPUTED_VALUE"""),"Eficacia")</f>
        <v>Eficacia</v>
      </c>
      <c r="M15" s="42" t="str">
        <f>IFERROR(__xludf.DUMMYFUNCTION("""COMPUTED_VALUE"""),"Número")</f>
        <v>Número</v>
      </c>
      <c r="N15" s="43" t="str">
        <f>IFERROR(__xludf.DUMMYFUNCTION("""COMPUTED_VALUE"""),"Numero de actividades que realice la entidad donde se interactue con los ciudadanos apoyadas")</f>
        <v>Numero de actividades que realice la entidad donde se interactue con los ciudadanos apoyadas</v>
      </c>
      <c r="O15" s="44"/>
      <c r="P15" s="45">
        <f>IFERROR(__xludf.DUMMYFUNCTION("""COMPUTED_VALUE"""),4.0)</f>
        <v>4</v>
      </c>
      <c r="Q15" s="46" t="str">
        <f>IFERROR(__xludf.DUMMYFUNCTION("""COMPUTED_VALUE"""),"Apoyar en las diferentes actividades que haga la entidad donde se interactue conforme al plan de Participacion ciudadana")</f>
        <v>Apoyar en las diferentes actividades que haga la entidad donde se interactue conforme al plan de Participacion ciudadana</v>
      </c>
      <c r="R15" s="47" t="str">
        <f>IFERROR(__xludf.DUMMYFUNCTION("""COMPUTED_VALUE"""),"Trimestral")</f>
        <v>Trimestral</v>
      </c>
      <c r="S15" s="45">
        <f>IFERROR(__xludf.DUMMYFUNCTION("""COMPUTED_VALUE"""),0.0)</f>
        <v>0</v>
      </c>
      <c r="T15" s="45">
        <f>IFERROR(__xludf.DUMMYFUNCTION("""COMPUTED_VALUE"""),0.0)</f>
        <v>0</v>
      </c>
      <c r="U15" s="45">
        <f>IFERROR(__xludf.DUMMYFUNCTION("""COMPUTED_VALUE"""),0.0)</f>
        <v>0</v>
      </c>
      <c r="V15" s="45">
        <f>IFERROR(__xludf.DUMMYFUNCTION("""COMPUTED_VALUE"""),0.0)</f>
        <v>0</v>
      </c>
      <c r="W15" s="48" t="str">
        <f>IFERROR(__xludf.DUMMYFUNCTION("""COMPUTED_VALUE"""),"Administrativa")</f>
        <v>Administrativa</v>
      </c>
      <c r="X15" s="49" t="str">
        <f>IFERROR(__xludf.DUMMYFUNCTION("""COMPUTED_VALUE"""),"Gustavo Polo")</f>
        <v>Gustavo Polo</v>
      </c>
      <c r="Y15" s="39" t="str">
        <f>IFERROR(__xludf.DUMMYFUNCTION("""COMPUTED_VALUE"""),"Coordinador Administrativo")</f>
        <v>Coordinador Administrativo</v>
      </c>
      <c r="Z15" s="49" t="str">
        <f>IFERROR(__xludf.DUMMYFUNCTION("""COMPUTED_VALUE"""),"gustavo.polo@aunap.gov.co")</f>
        <v>gustavo.polo@aunap.gov.co</v>
      </c>
      <c r="AA15" s="39" t="str">
        <f>IFERROR(__xludf.DUMMYFUNCTION("""COMPUTED_VALUE"""),"Humanos, Físicos, Financieros, Tecnológicos")</f>
        <v>Humanos, Físicos, Financieros, Tecnológicos</v>
      </c>
      <c r="AB15" s="39" t="str">
        <f>IFERROR(__xludf.DUMMYFUNCTION("""COMPUTED_VALUE"""),"Plan de Participación Ciudadana")</f>
        <v>Plan de Participación Ciudadana</v>
      </c>
      <c r="AC15" s="39" t="str">
        <f>IFERROR(__xludf.DUMMYFUNCTION("""COMPUTED_VALUE"""),"Llegar con actividades de pesca y acuicultura a todas las regiones")</f>
        <v>Llegar con actividades de pesca y acuicultura a todas las regiones</v>
      </c>
      <c r="AD15" s="39" t="str">
        <f>IFERROR(__xludf.DUMMYFUNCTION("""COMPUTED_VALUE"""),"Gestión con valores para resultados")</f>
        <v>Gestión con valores para resultados</v>
      </c>
      <c r="AE15" s="39" t="str">
        <f>IFERROR(__xludf.DUMMYFUNCTION("""COMPUTED_VALUE"""),"Servicio al Ciudadano")</f>
        <v>Servicio al Ciudadano</v>
      </c>
      <c r="AF15" s="39" t="str">
        <f>IFERROR(__xludf.DUMMYFUNCTION("""COMPUTED_VALUE"""),"16. Paz, justicia e instituciones sólidas")</f>
        <v>16. Paz, justicia e instituciones sólidas</v>
      </c>
      <c r="AG15" s="76"/>
      <c r="AH15" s="51" t="str">
        <f>IFERROR(__xludf.DUMMYFUNCTION("""COMPUTED_VALUE"""),"No se a requerido apoyo por parte delas àreas y no se han otorgado los medios para este cumplimineto por parte de la entidad.")</f>
        <v>No se a requerido apoyo por parte delas àreas y no se han otorgado los medios para este cumplimineto por parte de la entidad.</v>
      </c>
      <c r="AI15" s="51"/>
      <c r="AJ15" s="52">
        <f>IFERROR(__xludf.DUMMYFUNCTION("""COMPUTED_VALUE"""),44298.0)</f>
        <v>44298</v>
      </c>
      <c r="AK15" s="53" t="str">
        <f>IFERROR(IF((AL15+1)&lt;2,Alertas!$B$2&amp;TEXT(AL15,"0%")&amp;Alertas!$D$2, IF((AL15+1)=2,Alertas!$B$3,IF((AL15+1)&gt;2,Alertas!$B$4&amp;TEXT(AL15,"0%")&amp;Alertas!$D$4,AL15+1))),"Sin meta para el cuarto trimestre")</f>
        <v>Sin meta para el cuarto trimestre</v>
      </c>
      <c r="AL15" s="54" t="str">
        <f t="shared" si="2"/>
        <v>-</v>
      </c>
      <c r="AM15" s="53" t="str">
        <f t="shared" si="3"/>
        <v>Sin meta para el cuarto trimestre.</v>
      </c>
      <c r="AN15" s="55"/>
      <c r="AO15" s="56"/>
      <c r="AP15" s="57"/>
      <c r="AQ15" s="57"/>
      <c r="AR15" s="58"/>
      <c r="AS15" s="59"/>
      <c r="AT15" s="60"/>
      <c r="AU15" s="55"/>
      <c r="AV15" s="56"/>
      <c r="AW15" s="61"/>
      <c r="AX15" s="57"/>
      <c r="AY15" s="62"/>
      <c r="AZ15" s="63"/>
      <c r="BA15" s="64"/>
      <c r="BB15" s="65"/>
      <c r="BC15" s="56"/>
      <c r="BD15" s="61"/>
      <c r="BE15" s="57"/>
      <c r="BF15" s="58"/>
      <c r="BG15" s="63"/>
      <c r="BH15" s="64"/>
      <c r="BI15" s="66"/>
      <c r="BK15" s="21" t="str">
        <f t="shared" si="4"/>
        <v>-</v>
      </c>
      <c r="BM15" s="67" t="s">
        <v>96</v>
      </c>
      <c r="BN15" s="73">
        <f t="shared" si="5"/>
        <v>8</v>
      </c>
      <c r="BO15" s="47">
        <f t="shared" si="6"/>
        <v>6</v>
      </c>
      <c r="BP15" s="69">
        <f t="shared" si="7"/>
        <v>3</v>
      </c>
      <c r="BQ15" s="70">
        <f t="shared" si="8"/>
        <v>0.625</v>
      </c>
      <c r="BR15" s="69" t="str">
        <f t="shared" si="9"/>
        <v>Baja Ejecución</v>
      </c>
      <c r="BS15" s="71">
        <f t="shared" ref="BS15:BV15" si="21">COUNTIFS($D:$D,$BM15,$BK:$BK,BS$1)</f>
        <v>0</v>
      </c>
      <c r="BT15" s="71">
        <f t="shared" si="21"/>
        <v>5</v>
      </c>
      <c r="BU15" s="71">
        <f t="shared" si="21"/>
        <v>1</v>
      </c>
      <c r="BV15" s="71">
        <f t="shared" si="21"/>
        <v>2</v>
      </c>
    </row>
    <row r="16" ht="33.75" customHeight="1">
      <c r="A16" s="37"/>
      <c r="B16" s="38">
        <f>IFERROR(__xludf.DUMMYFUNCTION("""COMPUTED_VALUE"""),14.0)</f>
        <v>14</v>
      </c>
      <c r="C16" s="39" t="str">
        <f>IFERROR(__xludf.DUMMYFUNCTION("""COMPUTED_VALUE"""),"Gestión de contratación")</f>
        <v>Gestión de contratación</v>
      </c>
      <c r="D16" s="40" t="str">
        <f>IFERROR(__xludf.DUMMYFUNCTION("""COMPUTED_VALUE"""),"Contratos")</f>
        <v>Contratos</v>
      </c>
      <c r="E16" s="40" t="str">
        <f>IFERROR(__xludf.DUMMYFUNCTION("""COMPUTED_VALUE"""),"Fortalecimiento de la capacidad de gestión de la autoridad nacional de acuicultura y pesca - aunap nacional")</f>
        <v>Fortalecimiento de la capacidad de gestión de la autoridad nacional de acuicultura y pesca - aunap nacional</v>
      </c>
      <c r="F16" s="40">
        <f>IFERROR(__xludf.DUMMYFUNCTION("""COMPUTED_VALUE"""),2.01801E12)</f>
        <v>2018010000000</v>
      </c>
      <c r="G16" s="41" t="str">
        <f>IFERROR(__xludf.DUMMYFUNCTION("""COMPUTED_VALUE"""),"Fortalecimiento")</f>
        <v>Fortalecimiento</v>
      </c>
      <c r="H16" s="40" t="str">
        <f>IFERROR(__xludf.DUMMYFUNCTION("""COMPUTED_VALUE"""),"Fortalecer los sistemas de gestión de la Entidad")</f>
        <v>Fortalecer los sistemas de gestión de la Entidad</v>
      </c>
      <c r="I16" s="40" t="str">
        <f>IFERROR(__xludf.DUMMYFUNCTION("""COMPUTED_VALUE"""),"Servicio de Implementación Sistemas de Gestión")</f>
        <v>Servicio de Implementación Sistemas de Gestión</v>
      </c>
      <c r="J16"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6" s="42" t="str">
        <f>IFERROR(__xludf.DUMMYFUNCTION("""COMPUTED_VALUE"""),"Gestión del área")</f>
        <v>Gestión del área</v>
      </c>
      <c r="L16" s="42" t="str">
        <f>IFERROR(__xludf.DUMMYFUNCTION("""COMPUTED_VALUE"""),"Eficiencia")</f>
        <v>Eficiencia</v>
      </c>
      <c r="M16" s="42" t="str">
        <f>IFERROR(__xludf.DUMMYFUNCTION("""COMPUTED_VALUE"""),"Porcentaje")</f>
        <v>Porcentaje</v>
      </c>
      <c r="N16" s="43" t="str">
        <f>IFERROR(__xludf.DUMMYFUNCTION("""COMPUTED_VALUE"""),"N° documentos revisados/N° documentos recibidos que cumplan con la totalidad los requisitos")</f>
        <v>N° documentos revisados/N° documentos recibidos que cumplan con la totalidad los requisitos</v>
      </c>
      <c r="O16" s="44"/>
      <c r="P16" s="74">
        <f>IFERROR(__xludf.DUMMYFUNCTION("""COMPUTED_VALUE"""),1.0)</f>
        <v>1</v>
      </c>
      <c r="Q16" s="75" t="str">
        <f>IFERROR(__xludf.DUMMYFUNCTION("""COMPUTED_VALUE"""),"Revisar los estudios y documentos previos que elaboran las áreas ejecutoras, de tal forma que se ajusten a la normativa vigente")</f>
        <v>Revisar los estudios y documentos previos que elaboran las áreas ejecutoras, de tal forma que se ajusten a la normativa vigente</v>
      </c>
      <c r="R16" s="75" t="str">
        <f>IFERROR(__xludf.DUMMYFUNCTION("""COMPUTED_VALUE"""),"Trimestral")</f>
        <v>Trimestral</v>
      </c>
      <c r="S16" s="74">
        <f>IFERROR(__xludf.DUMMYFUNCTION("""COMPUTED_VALUE"""),1.0)</f>
        <v>1</v>
      </c>
      <c r="T16" s="74">
        <f>IFERROR(__xludf.DUMMYFUNCTION("""COMPUTED_VALUE"""),1.0)</f>
        <v>1</v>
      </c>
      <c r="U16" s="74">
        <f>IFERROR(__xludf.DUMMYFUNCTION("""COMPUTED_VALUE"""),1.0)</f>
        <v>1</v>
      </c>
      <c r="V16" s="74">
        <f>IFERROR(__xludf.DUMMYFUNCTION("""COMPUTED_VALUE"""),1.0)</f>
        <v>1</v>
      </c>
      <c r="W16" s="48" t="str">
        <f>IFERROR(__xludf.DUMMYFUNCTION("""COMPUTED_VALUE"""),"Contratos")</f>
        <v>Contratos</v>
      </c>
      <c r="X16" s="49" t="str">
        <f>IFERROR(__xludf.DUMMYFUNCTION("""COMPUTED_VALUE"""),"Milton Cuervo")</f>
        <v>Milton Cuervo</v>
      </c>
      <c r="Y16" s="39" t="str">
        <f>IFERROR(__xludf.DUMMYFUNCTION("""COMPUTED_VALUE"""),"Asesor")</f>
        <v>Asesor</v>
      </c>
      <c r="Z16" s="49" t="str">
        <f>IFERROR(__xludf.DUMMYFUNCTION("""COMPUTED_VALUE"""),"milton.cuervo@aunap.gov.co")</f>
        <v>milton.cuervo@aunap.gov.co</v>
      </c>
      <c r="AA16" s="39" t="str">
        <f>IFERROR(__xludf.DUMMYFUNCTION("""COMPUTED_VALUE"""),"Humanos, Físicos, Financieros, Tecnológicos")</f>
        <v>Humanos, Físicos, Financieros, Tecnológicos</v>
      </c>
      <c r="AB16" s="39" t="str">
        <f>IFERROR(__xludf.DUMMYFUNCTION("""COMPUTED_VALUE"""),"No asociado")</f>
        <v>No asociado</v>
      </c>
      <c r="AC16" s="39" t="str">
        <f>IFERROR(__xludf.DUMMYFUNCTION("""COMPUTED_VALUE"""),"Llegar con actividades de pesca y acuicultura a todas las regiones")</f>
        <v>Llegar con actividades de pesca y acuicultura a todas las regiones</v>
      </c>
      <c r="AD16" s="39" t="str">
        <f>IFERROR(__xludf.DUMMYFUNCTION("""COMPUTED_VALUE"""),"Talento Humano")</f>
        <v>Talento Humano</v>
      </c>
      <c r="AE16" s="39" t="str">
        <f>IFERROR(__xludf.DUMMYFUNCTION("""COMPUTED_VALUE"""),"Talento Humano")</f>
        <v>Talento Humano</v>
      </c>
      <c r="AF16" s="39" t="str">
        <f>IFERROR(__xludf.DUMMYFUNCTION("""COMPUTED_VALUE"""),"16. Paz, justicia e instituciones sólidas")</f>
        <v>16. Paz, justicia e instituciones sólidas</v>
      </c>
      <c r="AG16" s="50">
        <f>IFERROR(__xludf.DUMMYFUNCTION("""COMPUTED_VALUE"""),1.0)</f>
        <v>1</v>
      </c>
      <c r="AH16" s="51" t="str">
        <f>IFERROR(__xludf.DUMMYFUNCTION("""COMPUTED_VALUE"""),"De 295 documentos de estudios previos radicados y revisados, 295 documentos cumplían con la totalidad de requisitos para iniciar el trámite.")</f>
        <v>De 295 documentos de estudios previos radicados y revisados, 295 documentos cumplían con la totalidad de requisitos para iniciar el trámite.</v>
      </c>
      <c r="AI16" s="51" t="str">
        <f>IFERROR(__xludf.DUMMYFUNCTION("""COMPUTED_VALUE"""),"Hoja ""INDICADOR 1 ESTUDIOS PREVIOS""  https://drive.google.com/file/d/1jTKzep60VFDcXnxmz-wbsU3QeyeU-41i/view?usp=sharing")</f>
        <v>Hoja "INDICADOR 1 ESTUDIOS PREVIOS"  https://drive.google.com/file/d/1jTKzep60VFDcXnxmz-wbsU3QeyeU-41i/view?usp=sharing</v>
      </c>
      <c r="AJ16" s="52">
        <f>IFERROR(__xludf.DUMMYFUNCTION("""COMPUTED_VALUE"""),44298.0)</f>
        <v>44298</v>
      </c>
      <c r="AK16" s="53" t="str">
        <f>IFERROR(IF((AL16+1)&lt;2,Alertas!$B$2&amp;TEXT(AL16,"0%")&amp;Alertas!$D$2, IF((AL16+1)=2,Alertas!$B$3,IF((AL16+1)&gt;2,Alertas!$B$4&amp;TEXT(AL16,"0%")&amp;Alertas!$D$4,AL16+1))),"Sin meta para el cuarto trimestre")</f>
        <v>La ejecución de la meta registrada se encuentra acorde a la meta programada en la formulación del plan de acción para el cuarto trimestre</v>
      </c>
      <c r="AL16" s="54">
        <f t="shared" si="2"/>
        <v>1</v>
      </c>
      <c r="AM16" s="53" t="str">
        <f t="shared" si="3"/>
        <v>La ejecución de la meta registrada se encuentra acorde a la meta programada en la formulación del plan de acción para el cuarto trimestre.</v>
      </c>
      <c r="AN16" s="55"/>
      <c r="AO16" s="56"/>
      <c r="AP16" s="57"/>
      <c r="AQ16" s="57"/>
      <c r="AR16" s="58"/>
      <c r="AS16" s="59"/>
      <c r="AT16" s="60"/>
      <c r="AU16" s="55"/>
      <c r="AV16" s="56"/>
      <c r="AW16" s="61"/>
      <c r="AX16" s="57"/>
      <c r="AY16" s="62"/>
      <c r="AZ16" s="63"/>
      <c r="BA16" s="64"/>
      <c r="BB16" s="65"/>
      <c r="BC16" s="56"/>
      <c r="BD16" s="61"/>
      <c r="BE16" s="57"/>
      <c r="BF16" s="58"/>
      <c r="BG16" s="63"/>
      <c r="BH16" s="64"/>
      <c r="BI16" s="66"/>
      <c r="BM16" s="67" t="s">
        <v>97</v>
      </c>
      <c r="BN16" s="73">
        <f t="shared" si="5"/>
        <v>5</v>
      </c>
      <c r="BO16" s="47">
        <f t="shared" si="6"/>
        <v>3</v>
      </c>
      <c r="BP16" s="69">
        <f t="shared" si="7"/>
        <v>1</v>
      </c>
      <c r="BQ16" s="70">
        <f t="shared" si="8"/>
        <v>0.5</v>
      </c>
      <c r="BR16" s="69" t="str">
        <f t="shared" si="9"/>
        <v>Baja Ejecución</v>
      </c>
      <c r="BS16" s="71"/>
      <c r="BT16" s="71"/>
      <c r="BU16" s="71"/>
      <c r="BV16" s="71"/>
    </row>
    <row r="17" ht="33.75" customHeight="1">
      <c r="A17" s="37"/>
      <c r="B17" s="38">
        <f>IFERROR(__xludf.DUMMYFUNCTION("""COMPUTED_VALUE"""),15.0)</f>
        <v>15</v>
      </c>
      <c r="C17" s="39" t="str">
        <f>IFERROR(__xludf.DUMMYFUNCTION("""COMPUTED_VALUE"""),"Gestión de contratación")</f>
        <v>Gestión de contratación</v>
      </c>
      <c r="D17" s="40" t="str">
        <f>IFERROR(__xludf.DUMMYFUNCTION("""COMPUTED_VALUE"""),"Contratos")</f>
        <v>Contratos</v>
      </c>
      <c r="E17" s="40" t="str">
        <f>IFERROR(__xludf.DUMMYFUNCTION("""COMPUTED_VALUE"""),"Fortalecimiento de la capacidad de gestión de la autoridad nacional de acuicultura y pesca - aunap nacional")</f>
        <v>Fortalecimiento de la capacidad de gestión de la autoridad nacional de acuicultura y pesca - aunap nacional</v>
      </c>
      <c r="F17" s="40">
        <f>IFERROR(__xludf.DUMMYFUNCTION("""COMPUTED_VALUE"""),2.01801E12)</f>
        <v>2018010000000</v>
      </c>
      <c r="G17" s="41" t="str">
        <f>IFERROR(__xludf.DUMMYFUNCTION("""COMPUTED_VALUE"""),"Fortalecimiento")</f>
        <v>Fortalecimiento</v>
      </c>
      <c r="H17" s="40" t="str">
        <f>IFERROR(__xludf.DUMMYFUNCTION("""COMPUTED_VALUE"""),"Fortalecer los sistemas de gestión de la Entidad")</f>
        <v>Fortalecer los sistemas de gestión de la Entidad</v>
      </c>
      <c r="I17" s="40" t="str">
        <f>IFERROR(__xludf.DUMMYFUNCTION("""COMPUTED_VALUE"""),"Servicio de Implementación Sistemas de Gestión")</f>
        <v>Servicio de Implementación Sistemas de Gestión</v>
      </c>
      <c r="J17"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7" s="42" t="str">
        <f>IFERROR(__xludf.DUMMYFUNCTION("""COMPUTED_VALUE"""),"Gestión del área")</f>
        <v>Gestión del área</v>
      </c>
      <c r="L17" s="42" t="str">
        <f>IFERROR(__xludf.DUMMYFUNCTION("""COMPUTED_VALUE"""),"Eficiencia")</f>
        <v>Eficiencia</v>
      </c>
      <c r="M17" s="42" t="str">
        <f>IFERROR(__xludf.DUMMYFUNCTION("""COMPUTED_VALUE"""),"Porcentaje")</f>
        <v>Porcentaje</v>
      </c>
      <c r="N17" s="43" t="str">
        <f>IFERROR(__xludf.DUMMYFUNCTION("""COMPUTED_VALUE"""),"N° de procesos publicados / N° de procesos radicados que cumplan con la totalidad los requisitos.")</f>
        <v>N° de procesos publicados / N° de procesos radicados que cumplan con la totalidad los requisitos.</v>
      </c>
      <c r="O17" s="44"/>
      <c r="P17" s="74">
        <f>IFERROR(__xludf.DUMMYFUNCTION("""COMPUTED_VALUE"""),1.0)</f>
        <v>1</v>
      </c>
      <c r="Q17" s="75" t="str">
        <f>IFERROR(__xludf.DUMMYFUNCTION("""COMPUTED_VALUE"""),"Desarrollar los procesos públicos de selección de acuerdo con las modalidades de selección establecidas en la ley.")</f>
        <v>Desarrollar los procesos públicos de selección de acuerdo con las modalidades de selección establecidas en la ley.</v>
      </c>
      <c r="R17" s="75" t="str">
        <f>IFERROR(__xludf.DUMMYFUNCTION("""COMPUTED_VALUE"""),"Trimestral")</f>
        <v>Trimestral</v>
      </c>
      <c r="S17" s="74">
        <f>IFERROR(__xludf.DUMMYFUNCTION("""COMPUTED_VALUE"""),1.0)</f>
        <v>1</v>
      </c>
      <c r="T17" s="74">
        <f>IFERROR(__xludf.DUMMYFUNCTION("""COMPUTED_VALUE"""),1.0)</f>
        <v>1</v>
      </c>
      <c r="U17" s="74">
        <f>IFERROR(__xludf.DUMMYFUNCTION("""COMPUTED_VALUE"""),1.0)</f>
        <v>1</v>
      </c>
      <c r="V17" s="74">
        <f>IFERROR(__xludf.DUMMYFUNCTION("""COMPUTED_VALUE"""),1.0)</f>
        <v>1</v>
      </c>
      <c r="W17" s="48" t="str">
        <f>IFERROR(__xludf.DUMMYFUNCTION("""COMPUTED_VALUE"""),"Contratos")</f>
        <v>Contratos</v>
      </c>
      <c r="X17" s="49" t="str">
        <f>IFERROR(__xludf.DUMMYFUNCTION("""COMPUTED_VALUE"""),"Milton Cuervo")</f>
        <v>Milton Cuervo</v>
      </c>
      <c r="Y17" s="39" t="str">
        <f>IFERROR(__xludf.DUMMYFUNCTION("""COMPUTED_VALUE"""),"Asesor")</f>
        <v>Asesor</v>
      </c>
      <c r="Z17" s="49" t="str">
        <f>IFERROR(__xludf.DUMMYFUNCTION("""COMPUTED_VALUE"""),"milton.cuervo@aunap.gov.co")</f>
        <v>milton.cuervo@aunap.gov.co</v>
      </c>
      <c r="AA17" s="39" t="str">
        <f>IFERROR(__xludf.DUMMYFUNCTION("""COMPUTED_VALUE"""),"Humanos, Físicos, Financieros, Tecnológicos")</f>
        <v>Humanos, Físicos, Financieros, Tecnológicos</v>
      </c>
      <c r="AB17" s="39" t="str">
        <f>IFERROR(__xludf.DUMMYFUNCTION("""COMPUTED_VALUE"""),"No asociado")</f>
        <v>No asociado</v>
      </c>
      <c r="AC17" s="39" t="str">
        <f>IFERROR(__xludf.DUMMYFUNCTION("""COMPUTED_VALUE"""),"Llegar con actividades de pesca y acuicultura a todas las regiones")</f>
        <v>Llegar con actividades de pesca y acuicultura a todas las regiones</v>
      </c>
      <c r="AD17" s="39" t="str">
        <f>IFERROR(__xludf.DUMMYFUNCTION("""COMPUTED_VALUE"""),"Talento Humano")</f>
        <v>Talento Humano</v>
      </c>
      <c r="AE17" s="39" t="str">
        <f>IFERROR(__xludf.DUMMYFUNCTION("""COMPUTED_VALUE"""),"Talento Humano")</f>
        <v>Talento Humano</v>
      </c>
      <c r="AF17" s="39" t="str">
        <f>IFERROR(__xludf.DUMMYFUNCTION("""COMPUTED_VALUE"""),"16. Paz, justicia e instituciones sólidas")</f>
        <v>16. Paz, justicia e instituciones sólidas</v>
      </c>
      <c r="AG17" s="50">
        <f>IFERROR(__xludf.DUMMYFUNCTION("""COMPUTED_VALUE"""),1.0)</f>
        <v>1</v>
      </c>
      <c r="AH17" s="51" t="str">
        <f>IFERROR(__xludf.DUMMYFUNCTION("""COMPUTED_VALUE"""),"De 9 solicitudes de procesos públicos de selección radicadas que cumplían con la totalidad de requisitos, se desarrollaron 9 procesos públicos de selección en SECOP II.")</f>
        <v>De 9 solicitudes de procesos públicos de selección radicadas que cumplían con la totalidad de requisitos, se desarrollaron 9 procesos públicos de selección en SECOP II.</v>
      </c>
      <c r="AI17" s="51" t="str">
        <f>IFERROR(__xludf.DUMMYFUNCTION("""COMPUTED_VALUE"""),"Hoja ""INDICADOR 2 PROCESOS PUBLICADOS"" https://drive.google.com/file/d/1jTKzep60VFDcXnxmz-wbsU3QeyeU-41i/view?usp=sharing")</f>
        <v>Hoja "INDICADOR 2 PROCESOS PUBLICADOS" https://drive.google.com/file/d/1jTKzep60VFDcXnxmz-wbsU3QeyeU-41i/view?usp=sharing</v>
      </c>
      <c r="AJ17" s="52">
        <f>IFERROR(__xludf.DUMMYFUNCTION("""COMPUTED_VALUE"""),44298.0)</f>
        <v>44298</v>
      </c>
      <c r="AK17" s="53" t="str">
        <f>IFERROR(IF((AL17+1)&lt;2,Alertas!$B$2&amp;TEXT(AL17,"0%")&amp;Alertas!$D$2, IF((AL17+1)=2,Alertas!$B$3,IF((AL17+1)&gt;2,Alertas!$B$4&amp;TEXT(AL17,"0%")&amp;Alertas!$D$4,AL17+1))),"Sin meta para el cuarto trimestre")</f>
        <v>La ejecución de la meta registrada se encuentra acorde a la meta programada en la formulación del plan de acción para el cuarto trimestre</v>
      </c>
      <c r="AL17" s="54">
        <f t="shared" si="2"/>
        <v>1</v>
      </c>
      <c r="AM17" s="53" t="str">
        <f t="shared" si="3"/>
        <v>La ejecución de la meta registrada se encuentra acorde a la meta programada en la formulación del plan de acción para el cuarto trimestre.</v>
      </c>
      <c r="AN17" s="55"/>
      <c r="AO17" s="56"/>
      <c r="AP17" s="57"/>
      <c r="AQ17" s="57"/>
      <c r="AR17" s="58"/>
      <c r="AS17" s="59"/>
      <c r="AT17" s="60"/>
      <c r="AU17" s="55"/>
      <c r="AV17" s="56"/>
      <c r="AW17" s="61"/>
      <c r="AX17" s="57"/>
      <c r="AY17" s="62"/>
      <c r="AZ17" s="63"/>
      <c r="BA17" s="64"/>
      <c r="BB17" s="65"/>
      <c r="BC17" s="56"/>
      <c r="BD17" s="61"/>
      <c r="BE17" s="57"/>
      <c r="BF17" s="58"/>
      <c r="BG17" s="63"/>
      <c r="BH17" s="64"/>
      <c r="BI17" s="66"/>
      <c r="BM17" s="67" t="s">
        <v>98</v>
      </c>
      <c r="BN17" s="73">
        <f t="shared" si="5"/>
        <v>4</v>
      </c>
      <c r="BO17" s="47">
        <f t="shared" si="6"/>
        <v>4</v>
      </c>
      <c r="BP17" s="69">
        <f t="shared" si="7"/>
        <v>4</v>
      </c>
      <c r="BQ17" s="70">
        <f t="shared" si="8"/>
        <v>0.3</v>
      </c>
      <c r="BR17" s="69" t="str">
        <f t="shared" si="9"/>
        <v>Baja Ejecución</v>
      </c>
      <c r="BS17" s="71"/>
      <c r="BT17" s="71"/>
      <c r="BU17" s="71"/>
      <c r="BV17" s="71"/>
    </row>
    <row r="18" ht="33.75" customHeight="1">
      <c r="A18" s="37"/>
      <c r="B18" s="38">
        <f>IFERROR(__xludf.DUMMYFUNCTION("""COMPUTED_VALUE"""),16.0)</f>
        <v>16</v>
      </c>
      <c r="C18" s="39" t="str">
        <f>IFERROR(__xludf.DUMMYFUNCTION("""COMPUTED_VALUE"""),"Gestión de contratación")</f>
        <v>Gestión de contratación</v>
      </c>
      <c r="D18" s="40" t="str">
        <f>IFERROR(__xludf.DUMMYFUNCTION("""COMPUTED_VALUE"""),"Contratos")</f>
        <v>Contratos</v>
      </c>
      <c r="E18" s="40" t="str">
        <f>IFERROR(__xludf.DUMMYFUNCTION("""COMPUTED_VALUE"""),"Fortalecimiento de la capacidad de gestión de la autoridad nacional de acuicultura y pesca - aunap nacional")</f>
        <v>Fortalecimiento de la capacidad de gestión de la autoridad nacional de acuicultura y pesca - aunap nacional</v>
      </c>
      <c r="F18" s="40">
        <f>IFERROR(__xludf.DUMMYFUNCTION("""COMPUTED_VALUE"""),2.01801E12)</f>
        <v>2018010000000</v>
      </c>
      <c r="G18" s="41" t="str">
        <f>IFERROR(__xludf.DUMMYFUNCTION("""COMPUTED_VALUE"""),"Fortalecimiento")</f>
        <v>Fortalecimiento</v>
      </c>
      <c r="H18" s="40" t="str">
        <f>IFERROR(__xludf.DUMMYFUNCTION("""COMPUTED_VALUE"""),"Fortalecer los sistemas de gestión de la Entidad")</f>
        <v>Fortalecer los sistemas de gestión de la Entidad</v>
      </c>
      <c r="I18" s="40" t="str">
        <f>IFERROR(__xludf.DUMMYFUNCTION("""COMPUTED_VALUE"""),"Servicio de Implementación Sistemas de Gestión")</f>
        <v>Servicio de Implementación Sistemas de Gestión</v>
      </c>
      <c r="J18"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8" s="42" t="str">
        <f>IFERROR(__xludf.DUMMYFUNCTION("""COMPUTED_VALUE"""),"Gestión del área")</f>
        <v>Gestión del área</v>
      </c>
      <c r="L18" s="42" t="str">
        <f>IFERROR(__xludf.DUMMYFUNCTION("""COMPUTED_VALUE"""),"Eficiencia")</f>
        <v>Eficiencia</v>
      </c>
      <c r="M18" s="42" t="str">
        <f>IFERROR(__xludf.DUMMYFUNCTION("""COMPUTED_VALUE"""),"Porcentaje")</f>
        <v>Porcentaje</v>
      </c>
      <c r="N18" s="43" t="str">
        <f>IFERROR(__xludf.DUMMYFUNCTION("""COMPUTED_VALUE"""),"N° contratos suscritos/N° contratos adjudicados.")</f>
        <v>N° contratos suscritos/N° contratos adjudicados.</v>
      </c>
      <c r="O18" s="44"/>
      <c r="P18" s="74">
        <f>IFERROR(__xludf.DUMMYFUNCTION("""COMPUTED_VALUE"""),1.0)</f>
        <v>1</v>
      </c>
      <c r="Q18" s="75" t="str">
        <f>IFERROR(__xludf.DUMMYFUNCTION("""COMPUTED_VALUE"""),"Elaborar y/o estructurar los contratos con todas las condiciones para su formalización")</f>
        <v>Elaborar y/o estructurar los contratos con todas las condiciones para su formalización</v>
      </c>
      <c r="R18" s="75" t="str">
        <f>IFERROR(__xludf.DUMMYFUNCTION("""COMPUTED_VALUE"""),"Trimestral")</f>
        <v>Trimestral</v>
      </c>
      <c r="S18" s="74">
        <f>IFERROR(__xludf.DUMMYFUNCTION("""COMPUTED_VALUE"""),1.0)</f>
        <v>1</v>
      </c>
      <c r="T18" s="74">
        <f>IFERROR(__xludf.DUMMYFUNCTION("""COMPUTED_VALUE"""),1.0)</f>
        <v>1</v>
      </c>
      <c r="U18" s="74">
        <f>IFERROR(__xludf.DUMMYFUNCTION("""COMPUTED_VALUE"""),1.0)</f>
        <v>1</v>
      </c>
      <c r="V18" s="74">
        <f>IFERROR(__xludf.DUMMYFUNCTION("""COMPUTED_VALUE"""),1.0)</f>
        <v>1</v>
      </c>
      <c r="W18" s="48" t="str">
        <f>IFERROR(__xludf.DUMMYFUNCTION("""COMPUTED_VALUE"""),"Contratos")</f>
        <v>Contratos</v>
      </c>
      <c r="X18" s="49" t="str">
        <f>IFERROR(__xludf.DUMMYFUNCTION("""COMPUTED_VALUE"""),"Milton Cuervo")</f>
        <v>Milton Cuervo</v>
      </c>
      <c r="Y18" s="39" t="str">
        <f>IFERROR(__xludf.DUMMYFUNCTION("""COMPUTED_VALUE"""),"Asesor")</f>
        <v>Asesor</v>
      </c>
      <c r="Z18" s="49" t="str">
        <f>IFERROR(__xludf.DUMMYFUNCTION("""COMPUTED_VALUE"""),"milton.cuervo@aunap.gov.co")</f>
        <v>milton.cuervo@aunap.gov.co</v>
      </c>
      <c r="AA18" s="39" t="str">
        <f>IFERROR(__xludf.DUMMYFUNCTION("""COMPUTED_VALUE"""),"Humanos, Físicos, Financieros, Tecnológicos")</f>
        <v>Humanos, Físicos, Financieros, Tecnológicos</v>
      </c>
      <c r="AB18" s="39" t="str">
        <f>IFERROR(__xludf.DUMMYFUNCTION("""COMPUTED_VALUE"""),"No asociado")</f>
        <v>No asociado</v>
      </c>
      <c r="AC18" s="39" t="str">
        <f>IFERROR(__xludf.DUMMYFUNCTION("""COMPUTED_VALUE"""),"Llegar con actividades de pesca y acuicultura a todas las regiones")</f>
        <v>Llegar con actividades de pesca y acuicultura a todas las regiones</v>
      </c>
      <c r="AD18" s="39" t="str">
        <f>IFERROR(__xludf.DUMMYFUNCTION("""COMPUTED_VALUE"""),"Talento Humano")</f>
        <v>Talento Humano</v>
      </c>
      <c r="AE18" s="39" t="str">
        <f>IFERROR(__xludf.DUMMYFUNCTION("""COMPUTED_VALUE"""),"Talento Humano")</f>
        <v>Talento Humano</v>
      </c>
      <c r="AF18" s="39" t="str">
        <f>IFERROR(__xludf.DUMMYFUNCTION("""COMPUTED_VALUE"""),"16. Paz, justicia e instituciones sólidas")</f>
        <v>16. Paz, justicia e instituciones sólidas</v>
      </c>
      <c r="AG18" s="50">
        <f>IFERROR(__xludf.DUMMYFUNCTION("""COMPUTED_VALUE"""),1.0)</f>
        <v>1</v>
      </c>
      <c r="AH18" s="51" t="str">
        <f>IFERROR(__xludf.DUMMYFUNCTION("""COMPUTED_VALUE"""),"se suscribieron y estructuraron 290 contratos de 290 que cumplían con todas las condiciones para su formalización.")</f>
        <v>se suscribieron y estructuraron 290 contratos de 290 que cumplían con todas las condiciones para su formalización.</v>
      </c>
      <c r="AI18" s="51" t="str">
        <f>IFERROR(__xludf.DUMMYFUNCTION("""COMPUTED_VALUE"""),"Hoja ""INDICADOR 3 CONTRATOS SUSCRITOS""https://drive.google.com/file/d/1jTKzep60VFDcXnxmz-wbsU3QeyeU-41i/view?usp=sharing")</f>
        <v>Hoja "INDICADOR 3 CONTRATOS SUSCRITOS"https://drive.google.com/file/d/1jTKzep60VFDcXnxmz-wbsU3QeyeU-41i/view?usp=sharing</v>
      </c>
      <c r="AJ18" s="52">
        <f>IFERROR(__xludf.DUMMYFUNCTION("""COMPUTED_VALUE"""),44298.0)</f>
        <v>44298</v>
      </c>
      <c r="AK18" s="53" t="str">
        <f>IFERROR(IF((AL18+1)&lt;2,Alertas!$B$2&amp;TEXT(AL18,"0%")&amp;Alertas!$D$2, IF((AL18+1)=2,Alertas!$B$3,IF((AL18+1)&gt;2,Alertas!$B$4&amp;TEXT(AL18,"0%")&amp;Alertas!$D$4,AL18+1))),"Sin meta para el cuarto trimestre")</f>
        <v>La ejecución de la meta registrada se encuentra acorde a la meta programada en la formulación del plan de acción para el cuarto trimestre</v>
      </c>
      <c r="AL18" s="54">
        <f t="shared" si="2"/>
        <v>1</v>
      </c>
      <c r="AM18" s="53" t="str">
        <f t="shared" si="3"/>
        <v>La ejecución de la meta registrada se encuentra acorde a la meta programada en la formulación del plan de acción para el cuarto trimestre.</v>
      </c>
      <c r="AN18" s="55"/>
      <c r="AO18" s="56"/>
      <c r="AP18" s="57"/>
      <c r="AQ18" s="57"/>
      <c r="AR18" s="58"/>
      <c r="AS18" s="59"/>
      <c r="AT18" s="60"/>
      <c r="AU18" s="55"/>
      <c r="AV18" s="56"/>
      <c r="AW18" s="61"/>
      <c r="AX18" s="57"/>
      <c r="AY18" s="62"/>
      <c r="AZ18" s="63"/>
      <c r="BA18" s="64"/>
      <c r="BB18" s="65"/>
      <c r="BC18" s="56"/>
      <c r="BD18" s="61"/>
      <c r="BE18" s="57"/>
      <c r="BF18" s="58"/>
      <c r="BG18" s="63"/>
      <c r="BH18" s="64"/>
      <c r="BI18" s="66"/>
      <c r="BK18" s="21" t="str">
        <f t="shared" ref="BK18:BK159" si="23">IFERROR(IF((AL18+1)&lt;2,"-1", IF((AL18+1)=2,"0",IF((AL18+1)&gt;2,"1",AL18+1))),"-")</f>
        <v>0</v>
      </c>
      <c r="BM18" s="67" t="s">
        <v>99</v>
      </c>
      <c r="BN18" s="73">
        <f t="shared" si="5"/>
        <v>8</v>
      </c>
      <c r="BO18" s="47">
        <f t="shared" si="6"/>
        <v>7</v>
      </c>
      <c r="BP18" s="69">
        <f t="shared" si="7"/>
        <v>6</v>
      </c>
      <c r="BQ18" s="70">
        <f t="shared" si="8"/>
        <v>0.845627001</v>
      </c>
      <c r="BR18" s="69" t="str">
        <f t="shared" si="9"/>
        <v>Baja Ejecución</v>
      </c>
      <c r="BS18" s="71">
        <f t="shared" ref="BS18:BV18" si="22">COUNTIFS($D:$D,$BM18,$BK:$BK,BS$1)</f>
        <v>1</v>
      </c>
      <c r="BT18" s="71">
        <f t="shared" si="22"/>
        <v>4</v>
      </c>
      <c r="BU18" s="71">
        <f t="shared" si="22"/>
        <v>0</v>
      </c>
      <c r="BV18" s="71">
        <f t="shared" si="22"/>
        <v>3</v>
      </c>
    </row>
    <row r="19" ht="33.75" customHeight="1">
      <c r="A19" s="37"/>
      <c r="B19" s="38">
        <f>IFERROR(__xludf.DUMMYFUNCTION("""COMPUTED_VALUE"""),17.0)</f>
        <v>17</v>
      </c>
      <c r="C19" s="39" t="str">
        <f>IFERROR(__xludf.DUMMYFUNCTION("""COMPUTED_VALUE"""),"Gestión de contratación")</f>
        <v>Gestión de contratación</v>
      </c>
      <c r="D19" s="40" t="str">
        <f>IFERROR(__xludf.DUMMYFUNCTION("""COMPUTED_VALUE"""),"Contratos")</f>
        <v>Contratos</v>
      </c>
      <c r="E19" s="40" t="str">
        <f>IFERROR(__xludf.DUMMYFUNCTION("""COMPUTED_VALUE"""),"Fortalecimiento de la capacidad de gestión de la autoridad nacional de acuicultura y pesca - aunap nacional")</f>
        <v>Fortalecimiento de la capacidad de gestión de la autoridad nacional de acuicultura y pesca - aunap nacional</v>
      </c>
      <c r="F19" s="40">
        <f>IFERROR(__xludf.DUMMYFUNCTION("""COMPUTED_VALUE"""),2.01801E12)</f>
        <v>2018010000000</v>
      </c>
      <c r="G19" s="41" t="str">
        <f>IFERROR(__xludf.DUMMYFUNCTION("""COMPUTED_VALUE"""),"Fortalecimiento")</f>
        <v>Fortalecimiento</v>
      </c>
      <c r="H19" s="40" t="str">
        <f>IFERROR(__xludf.DUMMYFUNCTION("""COMPUTED_VALUE"""),"Fortalecer los sistemas de gestión de la Entidad")</f>
        <v>Fortalecer los sistemas de gestión de la Entidad</v>
      </c>
      <c r="I19" s="40" t="str">
        <f>IFERROR(__xludf.DUMMYFUNCTION("""COMPUTED_VALUE"""),"Servicio de Implementación Sistemas de Gestión")</f>
        <v>Servicio de Implementación Sistemas de Gestión</v>
      </c>
      <c r="J19"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19" s="42" t="str">
        <f>IFERROR(__xludf.DUMMYFUNCTION("""COMPUTED_VALUE"""),"Gestión del área")</f>
        <v>Gestión del área</v>
      </c>
      <c r="L19" s="42" t="str">
        <f>IFERROR(__xludf.DUMMYFUNCTION("""COMPUTED_VALUE"""),"Eficiencia")</f>
        <v>Eficiencia</v>
      </c>
      <c r="M19" s="42" t="str">
        <f>IFERROR(__xludf.DUMMYFUNCTION("""COMPUTED_VALUE"""),"Porcentaje")</f>
        <v>Porcentaje</v>
      </c>
      <c r="N19" s="43" t="str">
        <f>IFERROR(__xludf.DUMMYFUNCTION("""COMPUTED_VALUE"""),"N° de contratos y/o convenios liquidados/N°contratos y/o convenios con solicitud de liquidación con la totalidad los requisitos..")</f>
        <v>N° de contratos y/o convenios liquidados/N°contratos y/o convenios con solicitud de liquidación con la totalidad los requisitos..</v>
      </c>
      <c r="O19" s="44"/>
      <c r="P19" s="74">
        <f>IFERROR(__xludf.DUMMYFUNCTION("""COMPUTED_VALUE"""),1.0)</f>
        <v>1</v>
      </c>
      <c r="Q19" s="75" t="str">
        <f>IFERROR(__xludf.DUMMYFUNCTION("""COMPUTED_VALUE"""),"Revisar y aprobar actas de liquidación de contratos y convenios")</f>
        <v>Revisar y aprobar actas de liquidación de contratos y convenios</v>
      </c>
      <c r="R19" s="75" t="str">
        <f>IFERROR(__xludf.DUMMYFUNCTION("""COMPUTED_VALUE"""),"Trimestral")</f>
        <v>Trimestral</v>
      </c>
      <c r="S19" s="74">
        <f>IFERROR(__xludf.DUMMYFUNCTION("""COMPUTED_VALUE"""),1.0)</f>
        <v>1</v>
      </c>
      <c r="T19" s="74">
        <f>IFERROR(__xludf.DUMMYFUNCTION("""COMPUTED_VALUE"""),1.0)</f>
        <v>1</v>
      </c>
      <c r="U19" s="74">
        <f>IFERROR(__xludf.DUMMYFUNCTION("""COMPUTED_VALUE"""),1.0)</f>
        <v>1</v>
      </c>
      <c r="V19" s="74">
        <f>IFERROR(__xludf.DUMMYFUNCTION("""COMPUTED_VALUE"""),1.0)</f>
        <v>1</v>
      </c>
      <c r="W19" s="48" t="str">
        <f>IFERROR(__xludf.DUMMYFUNCTION("""COMPUTED_VALUE"""),"Contratos")</f>
        <v>Contratos</v>
      </c>
      <c r="X19" s="49" t="str">
        <f>IFERROR(__xludf.DUMMYFUNCTION("""COMPUTED_VALUE"""),"Milton Cuervo")</f>
        <v>Milton Cuervo</v>
      </c>
      <c r="Y19" s="39" t="str">
        <f>IFERROR(__xludf.DUMMYFUNCTION("""COMPUTED_VALUE"""),"Asesor")</f>
        <v>Asesor</v>
      </c>
      <c r="Z19" s="49" t="str">
        <f>IFERROR(__xludf.DUMMYFUNCTION("""COMPUTED_VALUE"""),"milton.cuervo@aunap.gov.co")</f>
        <v>milton.cuervo@aunap.gov.co</v>
      </c>
      <c r="AA19" s="39" t="str">
        <f>IFERROR(__xludf.DUMMYFUNCTION("""COMPUTED_VALUE"""),"Humanos, Físicos, Financieros, Tecnológicos")</f>
        <v>Humanos, Físicos, Financieros, Tecnológicos</v>
      </c>
      <c r="AB19" s="39" t="str">
        <f>IFERROR(__xludf.DUMMYFUNCTION("""COMPUTED_VALUE"""),"No asociado")</f>
        <v>No asociado</v>
      </c>
      <c r="AC19" s="39" t="str">
        <f>IFERROR(__xludf.DUMMYFUNCTION("""COMPUTED_VALUE"""),"Llegar con actividades de pesca y acuicultura a todas las regiones")</f>
        <v>Llegar con actividades de pesca y acuicultura a todas las regiones</v>
      </c>
      <c r="AD19" s="39" t="str">
        <f>IFERROR(__xludf.DUMMYFUNCTION("""COMPUTED_VALUE"""),"Talento Humano")</f>
        <v>Talento Humano</v>
      </c>
      <c r="AE19" s="39" t="str">
        <f>IFERROR(__xludf.DUMMYFUNCTION("""COMPUTED_VALUE"""),"Talento Humano")</f>
        <v>Talento Humano</v>
      </c>
      <c r="AF19" s="39" t="str">
        <f>IFERROR(__xludf.DUMMYFUNCTION("""COMPUTED_VALUE"""),"16. Paz, justicia e instituciones sólidas")</f>
        <v>16. Paz, justicia e instituciones sólidas</v>
      </c>
      <c r="AG19" s="50">
        <f>IFERROR(__xludf.DUMMYFUNCTION("""COMPUTED_VALUE"""),1.0)</f>
        <v>1</v>
      </c>
      <c r="AH19" s="51" t="str">
        <f>IFERROR(__xludf.DUMMYFUNCTION("""COMPUTED_VALUE"""),"En el primer trimestre 2021,se liquidaron 9 contratos y convenios, de los 9 solicitudes radicadas que cumplían con la totalidad de requisitos.")</f>
        <v>En el primer trimestre 2021,se liquidaron 9 contratos y convenios, de los 9 solicitudes radicadas que cumplían con la totalidad de requisitos.</v>
      </c>
      <c r="AI19" s="51" t="str">
        <f>IFERROR(__xludf.DUMMYFUNCTION("""COMPUTED_VALUE"""),"Hoja ""INDICADOR 4 CTO LIQUIDADOS""https://drive.google.com/file/d/1jTKzep60VFDcXnxmz-wbsU3QeyeU-41i/view?usp=sharing")</f>
        <v>Hoja "INDICADOR 4 CTO LIQUIDADOS"https://drive.google.com/file/d/1jTKzep60VFDcXnxmz-wbsU3QeyeU-41i/view?usp=sharing</v>
      </c>
      <c r="AJ19" s="52">
        <f>IFERROR(__xludf.DUMMYFUNCTION("""COMPUTED_VALUE"""),44298.0)</f>
        <v>44298</v>
      </c>
      <c r="AK19" s="53" t="str">
        <f>IFERROR(IF((AL19+1)&lt;2,Alertas!$B$2&amp;TEXT(AL19,"0%")&amp;Alertas!$D$2, IF((AL19+1)=2,Alertas!$B$3,IF((AL19+1)&gt;2,Alertas!$B$4&amp;TEXT(AL19,"0%")&amp;Alertas!$D$4,AL19+1))),"Sin meta para el cuarto trimestre")</f>
        <v>La ejecución de la meta registrada se encuentra acorde a la meta programada en la formulación del plan de acción para el cuarto trimestre</v>
      </c>
      <c r="AL19" s="54">
        <f t="shared" si="2"/>
        <v>1</v>
      </c>
      <c r="AM19" s="53" t="str">
        <f t="shared" si="3"/>
        <v>La ejecución de la meta registrada se encuentra acorde a la meta programada en la formulación del plan de acción para el cuarto trimestre.</v>
      </c>
      <c r="AN19" s="55"/>
      <c r="AO19" s="56"/>
      <c r="AP19" s="57"/>
      <c r="AQ19" s="57"/>
      <c r="AR19" s="58"/>
      <c r="AS19" s="59"/>
      <c r="AT19" s="60"/>
      <c r="AU19" s="55"/>
      <c r="AV19" s="56"/>
      <c r="AW19" s="61"/>
      <c r="AX19" s="57"/>
      <c r="AY19" s="62"/>
      <c r="AZ19" s="63"/>
      <c r="BA19" s="64"/>
      <c r="BB19" s="65"/>
      <c r="BC19" s="56"/>
      <c r="BD19" s="61"/>
      <c r="BE19" s="57"/>
      <c r="BF19" s="58"/>
      <c r="BG19" s="63"/>
      <c r="BH19" s="64"/>
      <c r="BI19" s="66"/>
      <c r="BK19" s="21" t="str">
        <f t="shared" si="23"/>
        <v>0</v>
      </c>
      <c r="BM19" s="67" t="s">
        <v>100</v>
      </c>
      <c r="BN19" s="73">
        <f t="shared" si="5"/>
        <v>17</v>
      </c>
      <c r="BO19" s="47">
        <f t="shared" si="6"/>
        <v>15</v>
      </c>
      <c r="BP19" s="69">
        <f t="shared" si="7"/>
        <v>10</v>
      </c>
      <c r="BQ19" s="70">
        <f t="shared" si="8"/>
        <v>581435.8543</v>
      </c>
      <c r="BR19" s="69" t="str">
        <f t="shared" si="9"/>
        <v>Sobre Ejecución</v>
      </c>
      <c r="BS19" s="71">
        <f t="shared" ref="BS19:BV19" si="24">COUNTIFS($D:$D,$BM19,$BK:$BK,BS$1)</f>
        <v>0</v>
      </c>
      <c r="BT19" s="71">
        <f t="shared" si="24"/>
        <v>12</v>
      </c>
      <c r="BU19" s="71">
        <f t="shared" si="24"/>
        <v>0</v>
      </c>
      <c r="BV19" s="71">
        <f t="shared" si="24"/>
        <v>5</v>
      </c>
    </row>
    <row r="20" ht="33.75" customHeight="1">
      <c r="A20" s="37"/>
      <c r="B20" s="38">
        <f>IFERROR(__xludf.DUMMYFUNCTION("""COMPUTED_VALUE"""),18.0)</f>
        <v>18</v>
      </c>
      <c r="C20" s="39" t="str">
        <f>IFERROR(__xludf.DUMMYFUNCTION("""COMPUTED_VALUE"""),"Gestión de contratación")</f>
        <v>Gestión de contratación</v>
      </c>
      <c r="D20" s="40" t="str">
        <f>IFERROR(__xludf.DUMMYFUNCTION("""COMPUTED_VALUE"""),"Contratos")</f>
        <v>Contratos</v>
      </c>
      <c r="E20" s="40" t="str">
        <f>IFERROR(__xludf.DUMMYFUNCTION("""COMPUTED_VALUE"""),"Fortalecimiento de la capacidad de gestión de la autoridad nacional de acuicultura y pesca - aunap nacional")</f>
        <v>Fortalecimiento de la capacidad de gestión de la autoridad nacional de acuicultura y pesca - aunap nacional</v>
      </c>
      <c r="F20" s="40">
        <f>IFERROR(__xludf.DUMMYFUNCTION("""COMPUTED_VALUE"""),2.01801E12)</f>
        <v>2018010000000</v>
      </c>
      <c r="G20" s="41" t="str">
        <f>IFERROR(__xludf.DUMMYFUNCTION("""COMPUTED_VALUE"""),"Fortalecimiento")</f>
        <v>Fortalecimiento</v>
      </c>
      <c r="H20" s="40" t="str">
        <f>IFERROR(__xludf.DUMMYFUNCTION("""COMPUTED_VALUE"""),"Fortalecer los sistemas de gestión de la Entidad")</f>
        <v>Fortalecer los sistemas de gestión de la Entidad</v>
      </c>
      <c r="I20" s="40" t="str">
        <f>IFERROR(__xludf.DUMMYFUNCTION("""COMPUTED_VALUE"""),"Servicio de Implementación Sistemas de Gestión")</f>
        <v>Servicio de Implementación Sistemas de Gestión</v>
      </c>
      <c r="J20"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20" s="42" t="str">
        <f>IFERROR(__xludf.DUMMYFUNCTION("""COMPUTED_VALUE"""),"Gestión del área")</f>
        <v>Gestión del área</v>
      </c>
      <c r="L20" s="42" t="str">
        <f>IFERROR(__xludf.DUMMYFUNCTION("""COMPUTED_VALUE"""),"Eficiencia")</f>
        <v>Eficiencia</v>
      </c>
      <c r="M20" s="42" t="str">
        <f>IFERROR(__xludf.DUMMYFUNCTION("""COMPUTED_VALUE"""),"Porcentaje")</f>
        <v>Porcentaje</v>
      </c>
      <c r="N20" s="43" t="str">
        <f>IFERROR(__xludf.DUMMYFUNCTION("""COMPUTED_VALUE"""),"N° de procesos publicados / N° de procesos desarrollados")</f>
        <v>N° de procesos publicados / N° de procesos desarrollados</v>
      </c>
      <c r="O20" s="44"/>
      <c r="P20" s="74">
        <f>IFERROR(__xludf.DUMMYFUNCTION("""COMPUTED_VALUE"""),1.0)</f>
        <v>1</v>
      </c>
      <c r="Q20" s="75" t="str">
        <f>IFERROR(__xludf.DUMMYFUNCTION("""COMPUTED_VALUE"""),"Publicar los procesos de contratación con la documentación derivada del mismo en el sistema electrónico de contratación pública")</f>
        <v>Publicar los procesos de contratación con la documentación derivada del mismo en el sistema electrónico de contratación pública</v>
      </c>
      <c r="R20" s="75" t="str">
        <f>IFERROR(__xludf.DUMMYFUNCTION("""COMPUTED_VALUE"""),"Trimestral")</f>
        <v>Trimestral</v>
      </c>
      <c r="S20" s="74">
        <f>IFERROR(__xludf.DUMMYFUNCTION("""COMPUTED_VALUE"""),1.0)</f>
        <v>1</v>
      </c>
      <c r="T20" s="74">
        <f>IFERROR(__xludf.DUMMYFUNCTION("""COMPUTED_VALUE"""),1.0)</f>
        <v>1</v>
      </c>
      <c r="U20" s="74">
        <f>IFERROR(__xludf.DUMMYFUNCTION("""COMPUTED_VALUE"""),1.0)</f>
        <v>1</v>
      </c>
      <c r="V20" s="74">
        <f>IFERROR(__xludf.DUMMYFUNCTION("""COMPUTED_VALUE"""),1.0)</f>
        <v>1</v>
      </c>
      <c r="W20" s="48" t="str">
        <f>IFERROR(__xludf.DUMMYFUNCTION("""COMPUTED_VALUE"""),"Contratos")</f>
        <v>Contratos</v>
      </c>
      <c r="X20" s="49" t="str">
        <f>IFERROR(__xludf.DUMMYFUNCTION("""COMPUTED_VALUE"""),"Milton Cuervo")</f>
        <v>Milton Cuervo</v>
      </c>
      <c r="Y20" s="39" t="str">
        <f>IFERROR(__xludf.DUMMYFUNCTION("""COMPUTED_VALUE"""),"Asesor")</f>
        <v>Asesor</v>
      </c>
      <c r="Z20" s="49" t="str">
        <f>IFERROR(__xludf.DUMMYFUNCTION("""COMPUTED_VALUE"""),"milton.cuervo@aunap.gov.co")</f>
        <v>milton.cuervo@aunap.gov.co</v>
      </c>
      <c r="AA20" s="39" t="str">
        <f>IFERROR(__xludf.DUMMYFUNCTION("""COMPUTED_VALUE"""),"Humanos, Físicos, Financieros, Tecnológicos")</f>
        <v>Humanos, Físicos, Financieros, Tecnológicos</v>
      </c>
      <c r="AB20" s="39" t="str">
        <f>IFERROR(__xludf.DUMMYFUNCTION("""COMPUTED_VALUE"""),"No asociado")</f>
        <v>No asociado</v>
      </c>
      <c r="AC20" s="39" t="str">
        <f>IFERROR(__xludf.DUMMYFUNCTION("""COMPUTED_VALUE"""),"Llegar con actividades de pesca y acuicultura a todas las regiones")</f>
        <v>Llegar con actividades de pesca y acuicultura a todas las regiones</v>
      </c>
      <c r="AD20" s="39" t="str">
        <f>IFERROR(__xludf.DUMMYFUNCTION("""COMPUTED_VALUE"""),"Talento Humano")</f>
        <v>Talento Humano</v>
      </c>
      <c r="AE20" s="39" t="str">
        <f>IFERROR(__xludf.DUMMYFUNCTION("""COMPUTED_VALUE"""),"Talento Humano")</f>
        <v>Talento Humano</v>
      </c>
      <c r="AF20" s="39" t="str">
        <f>IFERROR(__xludf.DUMMYFUNCTION("""COMPUTED_VALUE"""),"16. Paz, justicia e instituciones sólidas")</f>
        <v>16. Paz, justicia e instituciones sólidas</v>
      </c>
      <c r="AG20" s="50">
        <f>IFERROR(__xludf.DUMMYFUNCTION("""COMPUTED_VALUE"""),1.0)</f>
        <v>1</v>
      </c>
      <c r="AH20" s="51" t="str">
        <f>IFERROR(__xludf.DUMMYFUNCTION("""COMPUTED_VALUE"""),"En el primer trimestre 2021, se publicaron 295 procesos junto con la documentación derivada del mismo, de los 295 procesos que se estaban desarrollando, esto incluyendo los procesos públicos de selección y los de contratación directa.")</f>
        <v>En el primer trimestre 2021, se publicaron 295 procesos junto con la documentación derivada del mismo, de los 295 procesos que se estaban desarrollando, esto incluyendo los procesos públicos de selección y los de contratación directa.</v>
      </c>
      <c r="AI20" s="51" t="str">
        <f>IFERROR(__xludf.DUMMYFUNCTION("""COMPUTED_VALUE"""),"Hoja ""INDICADOR 5 PROCESOS "" https://drive.google.com/file/d/1jTKzep60VFDcXnxmz-wbsU3QeyeU-41i/view?usp=sharing")</f>
        <v>Hoja "INDICADOR 5 PROCESOS " https://drive.google.com/file/d/1jTKzep60VFDcXnxmz-wbsU3QeyeU-41i/view?usp=sharing</v>
      </c>
      <c r="AJ20" s="52">
        <f>IFERROR(__xludf.DUMMYFUNCTION("""COMPUTED_VALUE"""),44298.0)</f>
        <v>44298</v>
      </c>
      <c r="AK20" s="53" t="str">
        <f>IFERROR(IF((AL20+1)&lt;2,Alertas!$B$2&amp;TEXT(AL20,"0%")&amp;Alertas!$D$2, IF((AL20+1)=2,Alertas!$B$3,IF((AL20+1)&gt;2,Alertas!$B$4&amp;TEXT(AL20,"0%")&amp;Alertas!$D$4,AL20+1))),"Sin meta para el cuarto trimestre")</f>
        <v>La ejecución de la meta registrada se encuentra acorde a la meta programada en la formulación del plan de acción para el cuarto trimestre</v>
      </c>
      <c r="AL20" s="54">
        <f t="shared" si="2"/>
        <v>1</v>
      </c>
      <c r="AM20" s="53" t="str">
        <f t="shared" si="3"/>
        <v>La ejecución de la meta registrada se encuentra acorde a la meta programada en la formulación del plan de acción para el cuarto trimestre.</v>
      </c>
      <c r="AN20" s="55"/>
      <c r="AO20" s="56"/>
      <c r="AP20" s="57"/>
      <c r="AQ20" s="57"/>
      <c r="AR20" s="58"/>
      <c r="AS20" s="59"/>
      <c r="AT20" s="60"/>
      <c r="AU20" s="55"/>
      <c r="AV20" s="56"/>
      <c r="AW20" s="61"/>
      <c r="AX20" s="57"/>
      <c r="AY20" s="62"/>
      <c r="AZ20" s="63"/>
      <c r="BA20" s="64"/>
      <c r="BB20" s="65"/>
      <c r="BC20" s="56"/>
      <c r="BD20" s="61"/>
      <c r="BE20" s="57"/>
      <c r="BF20" s="58"/>
      <c r="BG20" s="63"/>
      <c r="BH20" s="64"/>
      <c r="BI20" s="66"/>
      <c r="BK20" s="21" t="str">
        <f t="shared" si="23"/>
        <v>0</v>
      </c>
      <c r="BM20" s="67" t="s">
        <v>101</v>
      </c>
      <c r="BN20" s="73">
        <f t="shared" si="5"/>
        <v>10</v>
      </c>
      <c r="BO20" s="47">
        <f t="shared" si="6"/>
        <v>10</v>
      </c>
      <c r="BP20" s="69">
        <f t="shared" si="7"/>
        <v>5</v>
      </c>
      <c r="BQ20" s="70">
        <f t="shared" si="8"/>
        <v>0.174145769</v>
      </c>
      <c r="BR20" s="69" t="str">
        <f t="shared" si="9"/>
        <v>Baja Ejecución</v>
      </c>
      <c r="BS20" s="71">
        <f t="shared" ref="BS20:BV20" si="25">COUNTIFS($D:$D,$BM20,$BK:$BK,BS$1)</f>
        <v>0</v>
      </c>
      <c r="BT20" s="71">
        <f t="shared" si="25"/>
        <v>10</v>
      </c>
      <c r="BU20" s="71">
        <f t="shared" si="25"/>
        <v>0</v>
      </c>
      <c r="BV20" s="71">
        <f t="shared" si="25"/>
        <v>0</v>
      </c>
    </row>
    <row r="21" ht="33.75" customHeight="1">
      <c r="A21" s="37"/>
      <c r="B21" s="38">
        <f>IFERROR(__xludf.DUMMYFUNCTION("""COMPUTED_VALUE"""),19.0)</f>
        <v>19</v>
      </c>
      <c r="C21" s="39" t="str">
        <f>IFERROR(__xludf.DUMMYFUNCTION("""COMPUTED_VALUE"""),"Gestión de contratación")</f>
        <v>Gestión de contratación</v>
      </c>
      <c r="D21" s="40" t="str">
        <f>IFERROR(__xludf.DUMMYFUNCTION("""COMPUTED_VALUE"""),"Contratos")</f>
        <v>Contratos</v>
      </c>
      <c r="E21" s="40" t="str">
        <f>IFERROR(__xludf.DUMMYFUNCTION("""COMPUTED_VALUE"""),"Fortalecimiento de la capacidad de gestión de la autoridad nacional de acuicultura y pesca - aunap nacional")</f>
        <v>Fortalecimiento de la capacidad de gestión de la autoridad nacional de acuicultura y pesca - aunap nacional</v>
      </c>
      <c r="F21" s="40">
        <f>IFERROR(__xludf.DUMMYFUNCTION("""COMPUTED_VALUE"""),2.01801E12)</f>
        <v>2018010000000</v>
      </c>
      <c r="G21" s="41" t="str">
        <f>IFERROR(__xludf.DUMMYFUNCTION("""COMPUTED_VALUE"""),"Fortalecimiento")</f>
        <v>Fortalecimiento</v>
      </c>
      <c r="H21" s="40" t="str">
        <f>IFERROR(__xludf.DUMMYFUNCTION("""COMPUTED_VALUE"""),"Fortalecer los sistemas de gestión de la Entidad")</f>
        <v>Fortalecer los sistemas de gestión de la Entidad</v>
      </c>
      <c r="I21" s="40" t="str">
        <f>IFERROR(__xludf.DUMMYFUNCTION("""COMPUTED_VALUE"""),"Servicio de Implementación Sistemas de Gestión")</f>
        <v>Servicio de Implementación Sistemas de Gestión</v>
      </c>
      <c r="J21"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21" s="42" t="str">
        <f>IFERROR(__xludf.DUMMYFUNCTION("""COMPUTED_VALUE"""),"Gestión del área")</f>
        <v>Gestión del área</v>
      </c>
      <c r="L21" s="42" t="str">
        <f>IFERROR(__xludf.DUMMYFUNCTION("""COMPUTED_VALUE"""),"Eficiencia")</f>
        <v>Eficiencia</v>
      </c>
      <c r="M21" s="42" t="str">
        <f>IFERROR(__xludf.DUMMYFUNCTION("""COMPUTED_VALUE"""),"Porcentaje")</f>
        <v>Porcentaje</v>
      </c>
      <c r="N21" s="43" t="str">
        <f>IFERROR(__xludf.DUMMYFUNCTION("""COMPUTED_VALUE"""),"N° de trámites adelantados /N° de solicitudes de incumplimiento")</f>
        <v>N° de trámites adelantados /N° de solicitudes de incumplimiento</v>
      </c>
      <c r="O21" s="44"/>
      <c r="P21" s="74">
        <f>IFERROR(__xludf.DUMMYFUNCTION("""COMPUTED_VALUE"""),1.0)</f>
        <v>1</v>
      </c>
      <c r="Q21" s="75" t="str">
        <f>IFERROR(__xludf.DUMMYFUNCTION("""COMPUTED_VALUE"""),"Adelantar los trámites de incumplimientos de acuerdo con la normatividad vigente")</f>
        <v>Adelantar los trámites de incumplimientos de acuerdo con la normatividad vigente</v>
      </c>
      <c r="R21" s="75" t="str">
        <f>IFERROR(__xludf.DUMMYFUNCTION("""COMPUTED_VALUE"""),"Trimestral")</f>
        <v>Trimestral</v>
      </c>
      <c r="S21" s="74">
        <f>IFERROR(__xludf.DUMMYFUNCTION("""COMPUTED_VALUE"""),1.0)</f>
        <v>1</v>
      </c>
      <c r="T21" s="74">
        <f>IFERROR(__xludf.DUMMYFUNCTION("""COMPUTED_VALUE"""),1.0)</f>
        <v>1</v>
      </c>
      <c r="U21" s="74">
        <f>IFERROR(__xludf.DUMMYFUNCTION("""COMPUTED_VALUE"""),1.0)</f>
        <v>1</v>
      </c>
      <c r="V21" s="74">
        <f>IFERROR(__xludf.DUMMYFUNCTION("""COMPUTED_VALUE"""),1.0)</f>
        <v>1</v>
      </c>
      <c r="W21" s="48" t="str">
        <f>IFERROR(__xludf.DUMMYFUNCTION("""COMPUTED_VALUE"""),"Contratos")</f>
        <v>Contratos</v>
      </c>
      <c r="X21" s="49" t="str">
        <f>IFERROR(__xludf.DUMMYFUNCTION("""COMPUTED_VALUE"""),"Milton Cuervo")</f>
        <v>Milton Cuervo</v>
      </c>
      <c r="Y21" s="39" t="str">
        <f>IFERROR(__xludf.DUMMYFUNCTION("""COMPUTED_VALUE"""),"Asesor")</f>
        <v>Asesor</v>
      </c>
      <c r="Z21" s="49" t="str">
        <f>IFERROR(__xludf.DUMMYFUNCTION("""COMPUTED_VALUE"""),"milton.cuervo@aunap.gov.co")</f>
        <v>milton.cuervo@aunap.gov.co</v>
      </c>
      <c r="AA21" s="39" t="str">
        <f>IFERROR(__xludf.DUMMYFUNCTION("""COMPUTED_VALUE"""),"Humanos, Físicos, Financieros, Tecnológicos")</f>
        <v>Humanos, Físicos, Financieros, Tecnológicos</v>
      </c>
      <c r="AB21" s="39" t="str">
        <f>IFERROR(__xludf.DUMMYFUNCTION("""COMPUTED_VALUE"""),"No asociado")</f>
        <v>No asociado</v>
      </c>
      <c r="AC21" s="39" t="str">
        <f>IFERROR(__xludf.DUMMYFUNCTION("""COMPUTED_VALUE"""),"Llegar con actividades de pesca y acuicultura a todas las regiones")</f>
        <v>Llegar con actividades de pesca y acuicultura a todas las regiones</v>
      </c>
      <c r="AD21" s="39" t="str">
        <f>IFERROR(__xludf.DUMMYFUNCTION("""COMPUTED_VALUE"""),"Talento Humano")</f>
        <v>Talento Humano</v>
      </c>
      <c r="AE21" s="39" t="str">
        <f>IFERROR(__xludf.DUMMYFUNCTION("""COMPUTED_VALUE"""),"Talento Humano")</f>
        <v>Talento Humano</v>
      </c>
      <c r="AF21" s="39" t="str">
        <f>IFERROR(__xludf.DUMMYFUNCTION("""COMPUTED_VALUE"""),"16. Paz, justicia e instituciones sólidas")</f>
        <v>16. Paz, justicia e instituciones sólidas</v>
      </c>
      <c r="AG21" s="50">
        <f>IFERROR(__xludf.DUMMYFUNCTION("""COMPUTED_VALUE"""),1.0)</f>
        <v>1</v>
      </c>
      <c r="AH21" s="51" t="str">
        <f>IFERROR(__xludf.DUMMYFUNCTION("""COMPUTED_VALUE"""),"No se recibieron solicitudes de incumplimiento. Por ello no se ha tramitado ninguno")</f>
        <v>No se recibieron solicitudes de incumplimiento. Por ello no se ha tramitado ninguno</v>
      </c>
      <c r="AI21" s="51" t="str">
        <f>IFERROR(__xludf.DUMMYFUNCTION("""COMPUTED_VALUE"""),"No se reporta evidencia por lo expuesto en la justificación del avance")</f>
        <v>No se reporta evidencia por lo expuesto en la justificación del avance</v>
      </c>
      <c r="AJ21" s="52">
        <f>IFERROR(__xludf.DUMMYFUNCTION("""COMPUTED_VALUE"""),44298.0)</f>
        <v>44298</v>
      </c>
      <c r="AK21" s="53" t="str">
        <f>IFERROR(IF((AL21+1)&lt;2,Alertas!$B$2&amp;TEXT(AL21,"0%")&amp;Alertas!$D$2, IF((AL21+1)=2,Alertas!$B$3,IF((AL21+1)&gt;2,Alertas!$B$4&amp;TEXT(AL21,"0%")&amp;Alertas!$D$4,AL21+1))),"Sin meta para el cuarto trimestre")</f>
        <v>La ejecución de la meta registrada se encuentra acorde a la meta programada en la formulación del plan de acción para el cuarto trimestre</v>
      </c>
      <c r="AL21" s="54">
        <f t="shared" si="2"/>
        <v>1</v>
      </c>
      <c r="AM21" s="53" t="str">
        <f t="shared" si="3"/>
        <v>La ejecución de la meta registrada se encuentra acorde a la meta programada en la formulación del plan de acción para el cuarto trimestre.</v>
      </c>
      <c r="AN21" s="55"/>
      <c r="AO21" s="56"/>
      <c r="AP21" s="57"/>
      <c r="AQ21" s="57"/>
      <c r="AR21" s="58"/>
      <c r="AS21" s="59"/>
      <c r="AT21" s="60"/>
      <c r="AU21" s="55"/>
      <c r="AV21" s="56"/>
      <c r="AW21" s="61"/>
      <c r="AX21" s="57"/>
      <c r="AY21" s="62"/>
      <c r="AZ21" s="63"/>
      <c r="BA21" s="64"/>
      <c r="BB21" s="65"/>
      <c r="BC21" s="56"/>
      <c r="BD21" s="61"/>
      <c r="BE21" s="57"/>
      <c r="BF21" s="58"/>
      <c r="BG21" s="63"/>
      <c r="BH21" s="64"/>
      <c r="BI21" s="66"/>
      <c r="BK21" s="21" t="str">
        <f t="shared" si="23"/>
        <v>0</v>
      </c>
      <c r="BM21" s="67" t="s">
        <v>102</v>
      </c>
      <c r="BN21" s="73">
        <f t="shared" si="5"/>
        <v>12</v>
      </c>
      <c r="BO21" s="47">
        <f t="shared" si="6"/>
        <v>12</v>
      </c>
      <c r="BP21" s="69">
        <f t="shared" si="7"/>
        <v>7</v>
      </c>
      <c r="BQ21" s="70">
        <f t="shared" si="8"/>
        <v>0.4693311966</v>
      </c>
      <c r="BR21" s="69" t="str">
        <f t="shared" si="9"/>
        <v>Baja Ejecución</v>
      </c>
      <c r="BS21" s="71">
        <f t="shared" ref="BS21:BV21" si="26">COUNTIFS($D:$D,$BM21,$BK:$BK,BS$1)</f>
        <v>0</v>
      </c>
      <c r="BT21" s="71">
        <f t="shared" si="26"/>
        <v>10</v>
      </c>
      <c r="BU21" s="71">
        <f t="shared" si="26"/>
        <v>0</v>
      </c>
      <c r="BV21" s="71">
        <f t="shared" si="26"/>
        <v>2</v>
      </c>
    </row>
    <row r="22" ht="33.75" customHeight="1">
      <c r="A22" s="37"/>
      <c r="B22" s="38">
        <f>IFERROR(__xludf.DUMMYFUNCTION("""COMPUTED_VALUE"""),20.0)</f>
        <v>20</v>
      </c>
      <c r="C22" s="39" t="str">
        <f>IFERROR(__xludf.DUMMYFUNCTION("""COMPUTED_VALUE"""),"Gestión de contratación")</f>
        <v>Gestión de contratación</v>
      </c>
      <c r="D22" s="40" t="str">
        <f>IFERROR(__xludf.DUMMYFUNCTION("""COMPUTED_VALUE"""),"Contratos")</f>
        <v>Contratos</v>
      </c>
      <c r="E22" s="40" t="str">
        <f>IFERROR(__xludf.DUMMYFUNCTION("""COMPUTED_VALUE"""),"Fortalecimiento de la capacidad de gestión de la autoridad nacional de acuicultura y pesca - aunap nacional")</f>
        <v>Fortalecimiento de la capacidad de gestión de la autoridad nacional de acuicultura y pesca - aunap nacional</v>
      </c>
      <c r="F22" s="40">
        <f>IFERROR(__xludf.DUMMYFUNCTION("""COMPUTED_VALUE"""),2.01801E12)</f>
        <v>2018010000000</v>
      </c>
      <c r="G22" s="41" t="str">
        <f>IFERROR(__xludf.DUMMYFUNCTION("""COMPUTED_VALUE"""),"Fortalecimiento")</f>
        <v>Fortalecimiento</v>
      </c>
      <c r="H22" s="40" t="str">
        <f>IFERROR(__xludf.DUMMYFUNCTION("""COMPUTED_VALUE"""),"Fortalecer los sistemas de gestión de la Entidad")</f>
        <v>Fortalecer los sistemas de gestión de la Entidad</v>
      </c>
      <c r="I22" s="40" t="str">
        <f>IFERROR(__xludf.DUMMYFUNCTION("""COMPUTED_VALUE"""),"Servicio de Implementación Sistemas de Gestión")</f>
        <v>Servicio de Implementación Sistemas de Gestión</v>
      </c>
      <c r="J22"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22" s="42" t="str">
        <f>IFERROR(__xludf.DUMMYFUNCTION("""COMPUTED_VALUE"""),"Gestión del área")</f>
        <v>Gestión del área</v>
      </c>
      <c r="L22" s="42" t="str">
        <f>IFERROR(__xludf.DUMMYFUNCTION("""COMPUTED_VALUE"""),"Eficiencia")</f>
        <v>Eficiencia</v>
      </c>
      <c r="M22" s="42" t="str">
        <f>IFERROR(__xludf.DUMMYFUNCTION("""COMPUTED_VALUE"""),"Porcentaje")</f>
        <v>Porcentaje</v>
      </c>
      <c r="N22" s="43" t="str">
        <f>IFERROR(__xludf.DUMMYFUNCTION("""COMPUTED_VALUE"""),"N° de certificaciones expedidas / N° de certificaciones solicitadas")</f>
        <v>N° de certificaciones expedidas / N° de certificaciones solicitadas</v>
      </c>
      <c r="O22" s="44"/>
      <c r="P22" s="74">
        <f>IFERROR(__xludf.DUMMYFUNCTION("""COMPUTED_VALUE"""),1.0)</f>
        <v>1</v>
      </c>
      <c r="Q22" s="75" t="str">
        <f>IFERROR(__xludf.DUMMYFUNCTION("""COMPUTED_VALUE"""),"Expedir certificaciones de los contratos")</f>
        <v>Expedir certificaciones de los contratos</v>
      </c>
      <c r="R22" s="75" t="str">
        <f>IFERROR(__xludf.DUMMYFUNCTION("""COMPUTED_VALUE"""),"Trimestral")</f>
        <v>Trimestral</v>
      </c>
      <c r="S22" s="74">
        <f>IFERROR(__xludf.DUMMYFUNCTION("""COMPUTED_VALUE"""),1.0)</f>
        <v>1</v>
      </c>
      <c r="T22" s="74">
        <f>IFERROR(__xludf.DUMMYFUNCTION("""COMPUTED_VALUE"""),1.0)</f>
        <v>1</v>
      </c>
      <c r="U22" s="74">
        <f>IFERROR(__xludf.DUMMYFUNCTION("""COMPUTED_VALUE"""),1.0)</f>
        <v>1</v>
      </c>
      <c r="V22" s="74">
        <f>IFERROR(__xludf.DUMMYFUNCTION("""COMPUTED_VALUE"""),1.0)</f>
        <v>1</v>
      </c>
      <c r="W22" s="48" t="str">
        <f>IFERROR(__xludf.DUMMYFUNCTION("""COMPUTED_VALUE"""),"Contratos")</f>
        <v>Contratos</v>
      </c>
      <c r="X22" s="49" t="str">
        <f>IFERROR(__xludf.DUMMYFUNCTION("""COMPUTED_VALUE"""),"Milton Cuervo")</f>
        <v>Milton Cuervo</v>
      </c>
      <c r="Y22" s="39" t="str">
        <f>IFERROR(__xludf.DUMMYFUNCTION("""COMPUTED_VALUE"""),"Asesor")</f>
        <v>Asesor</v>
      </c>
      <c r="Z22" s="49" t="str">
        <f>IFERROR(__xludf.DUMMYFUNCTION("""COMPUTED_VALUE"""),"milton.cuervo@aunap.gov.co")</f>
        <v>milton.cuervo@aunap.gov.co</v>
      </c>
      <c r="AA22" s="39" t="str">
        <f>IFERROR(__xludf.DUMMYFUNCTION("""COMPUTED_VALUE"""),"Humanos, Físicos, Financieros, Tecnológicos")</f>
        <v>Humanos, Físicos, Financieros, Tecnológicos</v>
      </c>
      <c r="AB22" s="39" t="str">
        <f>IFERROR(__xludf.DUMMYFUNCTION("""COMPUTED_VALUE"""),"No asociado")</f>
        <v>No asociado</v>
      </c>
      <c r="AC22" s="39" t="str">
        <f>IFERROR(__xludf.DUMMYFUNCTION("""COMPUTED_VALUE"""),"Llegar con actividades de pesca y acuicultura a todas las regiones")</f>
        <v>Llegar con actividades de pesca y acuicultura a todas las regiones</v>
      </c>
      <c r="AD22" s="39" t="str">
        <f>IFERROR(__xludf.DUMMYFUNCTION("""COMPUTED_VALUE"""),"Talento Humano")</f>
        <v>Talento Humano</v>
      </c>
      <c r="AE22" s="39" t="str">
        <f>IFERROR(__xludf.DUMMYFUNCTION("""COMPUTED_VALUE"""),"Talento Humano")</f>
        <v>Talento Humano</v>
      </c>
      <c r="AF22" s="39" t="str">
        <f>IFERROR(__xludf.DUMMYFUNCTION("""COMPUTED_VALUE"""),"16. Paz, justicia e instituciones sólidas")</f>
        <v>16. Paz, justicia e instituciones sólidas</v>
      </c>
      <c r="AG22" s="50">
        <f>IFERROR(__xludf.DUMMYFUNCTION("""COMPUTED_VALUE"""),0.955)</f>
        <v>0.955</v>
      </c>
      <c r="AH22" s="51" t="str">
        <f>IFERROR(__xludf.DUMMYFUNCTION("""COMPUTED_VALUE"""),"De 221 solicitudes recibidas al grupo de gestión contractual en el primer trimestre ( donde se requerían la expedición de 267 certificados contractuales) se dio respuesta a 214 solicitudes en las que se certificaban 255 contratos. Nota 1: Hay peticiones d"&amp;"onde a veces piden la certificación de más de 1 contrato.  Nota 2: Las otras solicitudes restantes, donde requirieron la certificación de 12 contratos aproximadamente, se les ha ido dando respuesta oportuna conforme a los términos que exige la ley, sin em"&amp;"bargo esta respuesta se dio excediendo el primer trimestre, esto es, en abril de 2021.")</f>
        <v>De 221 solicitudes recibidas al grupo de gestión contractual en el primer trimestre ( donde se requerían la expedición de 267 certificados contractuales) se dio respuesta a 214 solicitudes en las que se certificaban 255 contratos. Nota 1: Hay peticiones donde a veces piden la certificación de más de 1 contrato.  Nota 2: Las otras solicitudes restantes, donde requirieron la certificación de 12 contratos aproximadamente, se les ha ido dando respuesta oportuna conforme a los términos que exige la ley, sin embargo esta respuesta se dio excediendo el primer trimestre, esto es, en abril de 2021.</v>
      </c>
      <c r="AI22" s="51" t="str">
        <f>IFERROR(__xludf.DUMMYFUNCTION("""COMPUTED_VALUE"""),"Hoja ""INDICADOR 7 CERTIFICADOS""https://drive.google.com/file/d/1jTKzep60VFDcXnxmz-wbsU3QeyeU-41i/view?usp=sharing")</f>
        <v>Hoja "INDICADOR 7 CERTIFICADOS"https://drive.google.com/file/d/1jTKzep60VFDcXnxmz-wbsU3QeyeU-41i/view?usp=sharing</v>
      </c>
      <c r="AJ22" s="52">
        <f>IFERROR(__xludf.DUMMYFUNCTION("""COMPUTED_VALUE"""),44298.0)</f>
        <v>44298</v>
      </c>
      <c r="AK22" s="53" t="str">
        <f>IFERROR(IF((AL22+1)&lt;2,Alertas!$B$2&amp;TEXT(AL22,"0%")&amp;Alertas!$D$2, IF((AL22+1)=2,Alertas!$B$3,IF((AL22+1)&gt;2,Alertas!$B$4&amp;TEXT(AL22,"0%")&amp;Alertas!$D$4,AL22+1))),"Sin meta para el cuarto trimestre")</f>
        <v>La ejecución de la meta registrada se encuentra por debajo de la meta programada en la formulación del plan de acción para el cuarto trimestre, su porcentaje de cumplimiento es 96%, lo cual indica un incumplimiento que puede ser entendido por los entes de control como falencias en el proceso de planeación. se recomienda tomar este antecedente como insumo para disminuir la meta en la próxima vigencia</v>
      </c>
      <c r="AL22" s="54">
        <f t="shared" si="2"/>
        <v>0.955</v>
      </c>
      <c r="AM22" s="53" t="str">
        <f t="shared" si="3"/>
        <v>La ejecución de la meta registrada se encuentra por debajo de la meta programada en la formulación del plan de acción para el cuarto trimestre, su porcentaje de cumplimiento es 96%, lo cual indica un incumplimiento que puede ser entendido por los entes de control como falencias en el proceso de planeación. se recomienda tomar este antecedente como insumo para disminuir la meta en la próxima vigencia.</v>
      </c>
      <c r="AN22" s="55"/>
      <c r="AO22" s="56"/>
      <c r="AP22" s="57"/>
      <c r="AQ22" s="57"/>
      <c r="AR22" s="58"/>
      <c r="AS22" s="59"/>
      <c r="AT22" s="60"/>
      <c r="AU22" s="55"/>
      <c r="AV22" s="56"/>
      <c r="AW22" s="61"/>
      <c r="AX22" s="57"/>
      <c r="AY22" s="62"/>
      <c r="AZ22" s="63"/>
      <c r="BA22" s="64"/>
      <c r="BB22" s="65"/>
      <c r="BC22" s="56"/>
      <c r="BD22" s="61"/>
      <c r="BE22" s="57"/>
      <c r="BF22" s="58"/>
      <c r="BG22" s="63"/>
      <c r="BH22" s="64"/>
      <c r="BI22" s="66"/>
      <c r="BK22" s="21" t="str">
        <f t="shared" si="23"/>
        <v>-1</v>
      </c>
      <c r="BM22" s="67" t="s">
        <v>103</v>
      </c>
      <c r="BN22" s="73">
        <f t="shared" si="5"/>
        <v>6</v>
      </c>
      <c r="BO22" s="47">
        <f t="shared" si="6"/>
        <v>6</v>
      </c>
      <c r="BP22" s="69">
        <f t="shared" si="7"/>
        <v>6</v>
      </c>
      <c r="BQ22" s="70">
        <f t="shared" si="8"/>
        <v>0.9836752137</v>
      </c>
      <c r="BR22" s="69" t="str">
        <f t="shared" si="9"/>
        <v>Cumplimiento Adecuado</v>
      </c>
      <c r="BS22" s="71">
        <f t="shared" ref="BS22:BV22" si="27">COUNTIFS($D:$D,$BM22,$BK:$BK,BS$1)</f>
        <v>0</v>
      </c>
      <c r="BT22" s="71">
        <f t="shared" si="27"/>
        <v>4</v>
      </c>
      <c r="BU22" s="71">
        <f t="shared" si="27"/>
        <v>0</v>
      </c>
      <c r="BV22" s="71">
        <f t="shared" si="27"/>
        <v>2</v>
      </c>
    </row>
    <row r="23" ht="33.75" customHeight="1">
      <c r="A23" s="37"/>
      <c r="B23" s="38">
        <f>IFERROR(__xludf.DUMMYFUNCTION("""COMPUTED_VALUE"""),21.0)</f>
        <v>21</v>
      </c>
      <c r="C23" s="39" t="str">
        <f>IFERROR(__xludf.DUMMYFUNCTION("""COMPUTED_VALUE"""),"Evaluación Seguimiento y Control")</f>
        <v>Evaluación Seguimiento y Control</v>
      </c>
      <c r="D23" s="40" t="str">
        <f>IFERROR(__xludf.DUMMYFUNCTION("""COMPUTED_VALUE"""),"Control Interno")</f>
        <v>Control Interno</v>
      </c>
      <c r="E23" s="40" t="str">
        <f>IFERROR(__xludf.DUMMYFUNCTION("""COMPUTED_VALUE"""),"Fortalecimiento de la capacidad de gestión de la autoridad nacional de acuicultura y pesca - aunap nacional")</f>
        <v>Fortalecimiento de la capacidad de gestión de la autoridad nacional de acuicultura y pesca - aunap nacional</v>
      </c>
      <c r="F23" s="40">
        <f>IFERROR(__xludf.DUMMYFUNCTION("""COMPUTED_VALUE"""),2.01801E12)</f>
        <v>2018010000000</v>
      </c>
      <c r="G23" s="41" t="str">
        <f>IFERROR(__xludf.DUMMYFUNCTION("""COMPUTED_VALUE"""),"Fortalecimiento")</f>
        <v>Fortalecimiento</v>
      </c>
      <c r="H23" s="40" t="str">
        <f>IFERROR(__xludf.DUMMYFUNCTION("""COMPUTED_VALUE"""),"Fortalecer los sistemas de gestión de la Entidad")</f>
        <v>Fortalecer los sistemas de gestión de la Entidad</v>
      </c>
      <c r="I23" s="40" t="str">
        <f>IFERROR(__xludf.DUMMYFUNCTION("""COMPUTED_VALUE"""),"Servicio de Implementación Sistemas de Gestión")</f>
        <v>Servicio de Implementación Sistemas de Gestión</v>
      </c>
      <c r="J23" s="40" t="str">
        <f>IFERROR(__xludf.DUMMYFUNCTION("""COMPUTED_VALUE"""),"Implementar y mantener el Sistema de Gestión de la Calidad (SGC) y Modelo Estándar de Control Interno (MECI)")</f>
        <v>Implementar y mantener el Sistema de Gestión de la Calidad (SGC) y Modelo Estándar de Control Interno (MECI)</v>
      </c>
      <c r="K23" s="42" t="str">
        <f>IFERROR(__xludf.DUMMYFUNCTION("""COMPUTED_VALUE"""),"Gestión del área")</f>
        <v>Gestión del área</v>
      </c>
      <c r="L23" s="42" t="str">
        <f>IFERROR(__xludf.DUMMYFUNCTION("""COMPUTED_VALUE"""),"Eficiente")</f>
        <v>Eficiente</v>
      </c>
      <c r="M23" s="42" t="str">
        <f>IFERROR(__xludf.DUMMYFUNCTION("""COMPUTED_VALUE"""),"Porcentaje")</f>
        <v>Porcentaje</v>
      </c>
      <c r="N23" s="43" t="str">
        <f>IFERROR(__xludf.DUMMYFUNCTION("""COMPUTED_VALUE"""),"Número de Acciones del plan anual de auditorias ejecutadas/Número de Acciones del plan anual de auditorias programadas")</f>
        <v>Número de Acciones del plan anual de auditorias ejecutadas/Número de Acciones del plan anual de auditorias programadas</v>
      </c>
      <c r="O23" s="44"/>
      <c r="P23" s="74">
        <f>IFERROR(__xludf.DUMMYFUNCTION("""COMPUTED_VALUE"""),1.0)</f>
        <v>1</v>
      </c>
      <c r="Q23" s="75" t="str">
        <f>IFERROR(__xludf.DUMMYFUNCTION("""COMPUTED_VALUE"""),"Ejecución del plan Anual de Auditorias")</f>
        <v>Ejecución del plan Anual de Auditorias</v>
      </c>
      <c r="R23" s="75" t="str">
        <f>IFERROR(__xludf.DUMMYFUNCTION("""COMPUTED_VALUE"""),"Semestral")</f>
        <v>Semestral</v>
      </c>
      <c r="S23" s="74">
        <f>IFERROR(__xludf.DUMMYFUNCTION("""COMPUTED_VALUE"""),0.0)</f>
        <v>0</v>
      </c>
      <c r="T23" s="74">
        <f>IFERROR(__xludf.DUMMYFUNCTION("""COMPUTED_VALUE"""),0.4)</f>
        <v>0.4</v>
      </c>
      <c r="U23" s="74">
        <f>IFERROR(__xludf.DUMMYFUNCTION("""COMPUTED_VALUE"""),0.0)</f>
        <v>0</v>
      </c>
      <c r="V23" s="74">
        <f>IFERROR(__xludf.DUMMYFUNCTION("""COMPUTED_VALUE"""),0.6)</f>
        <v>0.6</v>
      </c>
      <c r="W23" s="48" t="str">
        <f>IFERROR(__xludf.DUMMYFUNCTION("""COMPUTED_VALUE"""),"Control interno")</f>
        <v>Control interno</v>
      </c>
      <c r="X23" s="49" t="str">
        <f>IFERROR(__xludf.DUMMYFUNCTION("""COMPUTED_VALUE"""),"Euripides Gonzalez")</f>
        <v>Euripides Gonzalez</v>
      </c>
      <c r="Y23" s="39" t="str">
        <f>IFERROR(__xludf.DUMMYFUNCTION("""COMPUTED_VALUE"""),"Asesor de control interno")</f>
        <v>Asesor de control interno</v>
      </c>
      <c r="Z23" s="49" t="str">
        <f>IFERROR(__xludf.DUMMYFUNCTION("""COMPUTED_VALUE"""),"Euripides.gonzalez@aunap.gov.co")</f>
        <v>Euripides.gonzalez@aunap.gov.co</v>
      </c>
      <c r="AA23" s="39" t="str">
        <f>IFERROR(__xludf.DUMMYFUNCTION("""COMPUTED_VALUE"""),"humanos, Físicos, Financieros, Tecnológicos")</f>
        <v>humanos, Físicos, Financieros, Tecnológicos</v>
      </c>
      <c r="AB23" s="39" t="str">
        <f>IFERROR(__xludf.DUMMYFUNCTION("""COMPUTED_VALUE"""),"Plan Anticorrupción y de Atención al Ciudadano - PAAC")</f>
        <v>Plan Anticorrupción y de Atención al Ciudadano - PAAC</v>
      </c>
      <c r="AC23" s="39" t="str">
        <f>IFERROR(__xludf.DUMMYFUNCTION("""COMPUTED_VALUE"""),"Llegar con actividades de pesca y acuicultura a todas las regiones")</f>
        <v>Llegar con actividades de pesca y acuicultura a todas las regiones</v>
      </c>
      <c r="AD23" s="39" t="str">
        <f>IFERROR(__xludf.DUMMYFUNCTION("""COMPUTED_VALUE"""),"Control Interno")</f>
        <v>Control Interno</v>
      </c>
      <c r="AE23" s="39" t="str">
        <f>IFERROR(__xludf.DUMMYFUNCTION("""COMPUTED_VALUE"""),"Control Interno")</f>
        <v>Control Interno</v>
      </c>
      <c r="AF23" s="39" t="str">
        <f>IFERROR(__xludf.DUMMYFUNCTION("""COMPUTED_VALUE"""),"16. Paz, justicia e instituciones sólidas")</f>
        <v>16. Paz, justicia e instituciones sólidas</v>
      </c>
      <c r="AG23" s="50">
        <f>IFERROR(__xludf.DUMMYFUNCTION("""COMPUTED_VALUE"""),0.0)</f>
        <v>0</v>
      </c>
      <c r="AH23" s="51" t="str">
        <f>IFERROR(__xludf.DUMMYFUNCTION("""COMPUTED_VALUE"""),"No se tiene programado avance para este trimestre")</f>
        <v>No se tiene programado avance para este trimestre</v>
      </c>
      <c r="AI23" s="51" t="str">
        <f>IFERROR(__xludf.DUMMYFUNCTION("""COMPUTED_VALUE"""),"No se tiene programado avance para este trimestre")</f>
        <v>No se tiene programado avance para este trimestre</v>
      </c>
      <c r="AJ23" s="52">
        <f>IFERROR(__xludf.DUMMYFUNCTION("""COMPUTED_VALUE"""),44298.0)</f>
        <v>44298</v>
      </c>
      <c r="AK23" s="53" t="str">
        <f>IFERROR(IF((AL23+1)&lt;2,Alertas!$B$2&amp;TEXT(AL23,"0%")&amp;Alertas!$D$2, IF((AL23+1)=2,Alertas!$B$3,IF((AL23+1)&gt;2,Alertas!$B$4&amp;TEXT(AL23,"0%")&amp;Alertas!$D$4,AL23+1))),"Sin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23" s="54">
        <f t="shared" si="2"/>
        <v>0</v>
      </c>
      <c r="AM23"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23" s="55"/>
      <c r="AO23" s="56"/>
      <c r="AP23" s="57"/>
      <c r="AQ23" s="57"/>
      <c r="AR23" s="58"/>
      <c r="AS23" s="59"/>
      <c r="AT23" s="60"/>
      <c r="AU23" s="55"/>
      <c r="AV23" s="56"/>
      <c r="AW23" s="61"/>
      <c r="AX23" s="57"/>
      <c r="AY23" s="62"/>
      <c r="AZ23" s="63"/>
      <c r="BA23" s="64"/>
      <c r="BB23" s="65"/>
      <c r="BC23" s="56"/>
      <c r="BD23" s="61"/>
      <c r="BE23" s="57"/>
      <c r="BF23" s="58"/>
      <c r="BG23" s="63"/>
      <c r="BH23" s="64"/>
      <c r="BI23" s="66"/>
      <c r="BK23" s="21" t="str">
        <f t="shared" si="23"/>
        <v>-1</v>
      </c>
      <c r="BM23" s="67" t="s">
        <v>104</v>
      </c>
      <c r="BN23" s="73">
        <f t="shared" si="5"/>
        <v>10</v>
      </c>
      <c r="BO23" s="47">
        <f t="shared" si="6"/>
        <v>10</v>
      </c>
      <c r="BP23" s="69">
        <f t="shared" si="7"/>
        <v>10</v>
      </c>
      <c r="BQ23" s="70">
        <f t="shared" si="8"/>
        <v>0.6493335599</v>
      </c>
      <c r="BR23" s="69" t="str">
        <f t="shared" si="9"/>
        <v>Baja Ejecución</v>
      </c>
      <c r="BS23" s="71">
        <f t="shared" ref="BS23:BV23" si="28">COUNTIFS($D:$D,$BM23,$BK:$BK,BS$1)</f>
        <v>0</v>
      </c>
      <c r="BT23" s="71">
        <f t="shared" si="28"/>
        <v>10</v>
      </c>
      <c r="BU23" s="71">
        <f t="shared" si="28"/>
        <v>0</v>
      </c>
      <c r="BV23" s="71">
        <f t="shared" si="28"/>
        <v>0</v>
      </c>
    </row>
    <row r="24" ht="33.75" customHeight="1">
      <c r="A24" s="37"/>
      <c r="B24" s="38">
        <f>IFERROR(__xludf.DUMMYFUNCTION("""COMPUTED_VALUE"""),33.0)</f>
        <v>33</v>
      </c>
      <c r="C24" s="39" t="str">
        <f>IFERROR(__xludf.DUMMYFUNCTION("""COMPUTED_VALUE"""),"Gestión de la administración y fomento")</f>
        <v>Gestión de la administración y fomento</v>
      </c>
      <c r="D24" s="40" t="str">
        <f>IFERROR(__xludf.DUMMYFUNCTION("""COMPUTED_VALUE"""),"Dirección Técnica de Administración y Fomento")</f>
        <v>Dirección Técnica de Administración y Fomento</v>
      </c>
      <c r="E24" s="40" t="str">
        <f>IFERROR(__xludf.DUMMYFUNCTION("""COMPUTED_VALUE"""),"Fortalecimiento de la sostenibilidad del sector pesquero y de la acuicultura en el territorio nacional")</f>
        <v>Fortalecimiento de la sostenibilidad del sector pesquero y de la acuicultura en el territorio nacional</v>
      </c>
      <c r="F24" s="40">
        <f>IFERROR(__xludf.DUMMYFUNCTION("""COMPUTED_VALUE"""),2.01901E12)</f>
        <v>2019010000000</v>
      </c>
      <c r="G24" s="41" t="str">
        <f>IFERROR(__xludf.DUMMYFUNCTION("""COMPUTED_VALUE"""),"Sostenibilidad")</f>
        <v>Sostenibilidad</v>
      </c>
      <c r="H24" s="40" t="str">
        <f>IFERROR(__xludf.DUMMYFUNCTION("""COMPUTED_VALUE"""),"Mejorar la explotación de los recursos pesqueros y de la acuicultura.")</f>
        <v>Mejorar la explotación de los recursos pesqueros y de la acuicultura.</v>
      </c>
      <c r="I24" s="40" t="str">
        <f>IFERROR(__xludf.DUMMYFUNCTION("""COMPUTED_VALUE"""),"Servicios de administración de los recurso pesqueros y de la acuicultura")</f>
        <v>Servicios de administración de los recurso pesqueros y de la acuicultura</v>
      </c>
      <c r="J24" s="40" t="str">
        <f>IFERROR(__xludf.DUMMYFUNCTION("""COMPUTED_VALUE"""),"Regular el manejo y el ejercicio de la actividad pesquera y de la acuicultura.")</f>
        <v>Regular el manejo y el ejercicio de la actividad pesquera y de la acuicultura.</v>
      </c>
      <c r="K24" s="42" t="str">
        <f>IFERROR(__xludf.DUMMYFUNCTION("""COMPUTED_VALUE"""),"Producto")</f>
        <v>Producto</v>
      </c>
      <c r="L24" s="42" t="str">
        <f>IFERROR(__xludf.DUMMYFUNCTION("""COMPUTED_VALUE"""),"Eficacia")</f>
        <v>Eficacia</v>
      </c>
      <c r="M24" s="42" t="str">
        <f>IFERROR(__xludf.DUMMYFUNCTION("""COMPUTED_VALUE"""),"Número")</f>
        <v>Número</v>
      </c>
      <c r="N24" s="43" t="str">
        <f>IFERROR(__xludf.DUMMYFUNCTION("""COMPUTED_VALUE"""),"Tramites atendidos")</f>
        <v>Tramites atendidos</v>
      </c>
      <c r="O24" s="44"/>
      <c r="P24" s="74">
        <f>IFERROR(__xludf.DUMMYFUNCTION("""COMPUTED_VALUE"""),14000.0)</f>
        <v>14000</v>
      </c>
      <c r="Q24" s="75" t="str">
        <f>IFERROR(__xludf.DUMMYFUNCTION("""COMPUTED_VALUE"""),"Atender Tramites")</f>
        <v>Atender Tramites</v>
      </c>
      <c r="R24" s="75" t="str">
        <f>IFERROR(__xludf.DUMMYFUNCTION("""COMPUTED_VALUE"""),"Semestral")</f>
        <v>Semestral</v>
      </c>
      <c r="S24" s="74">
        <f>IFERROR(__xludf.DUMMYFUNCTION("""COMPUTED_VALUE"""),0.0)</f>
        <v>0</v>
      </c>
      <c r="T24" s="74">
        <f>IFERROR(__xludf.DUMMYFUNCTION("""COMPUTED_VALUE"""),7000.0)</f>
        <v>7000</v>
      </c>
      <c r="U24" s="74">
        <f>IFERROR(__xludf.DUMMYFUNCTION("""COMPUTED_VALUE"""),0.0)</f>
        <v>0</v>
      </c>
      <c r="V24" s="74">
        <f>IFERROR(__xludf.DUMMYFUNCTION("""COMPUTED_VALUE"""),7000.0)</f>
        <v>7000</v>
      </c>
      <c r="W24" s="48" t="str">
        <f>IFERROR(__xludf.DUMMYFUNCTION("""COMPUTED_VALUE"""),"DTAF")</f>
        <v>DTAF</v>
      </c>
      <c r="X24" s="49" t="str">
        <f>IFERROR(__xludf.DUMMYFUNCTION("""COMPUTED_VALUE"""),"Jhon Jairo Restrepo")</f>
        <v>Jhon Jairo Restrepo</v>
      </c>
      <c r="Y24" s="39" t="str">
        <f>IFERROR(__xludf.DUMMYFUNCTION("""COMPUTED_VALUE"""),"Director Jhon Jairo Restrepo")</f>
        <v>Director Jhon Jairo Restrepo</v>
      </c>
      <c r="Z24" s="49" t="str">
        <f>IFERROR(__xludf.DUMMYFUNCTION("""COMPUTED_VALUE"""),"jhon.restrepo@aunap.gov.co")</f>
        <v>jhon.restrepo@aunap.gov.co</v>
      </c>
      <c r="AA24" s="39" t="str">
        <f>IFERROR(__xludf.DUMMYFUNCTION("""COMPUTED_VALUE"""),"Humano, físico, financiero, tecnológico")</f>
        <v>Humano, físico, financiero, tecnológico</v>
      </c>
      <c r="AB24" s="39" t="str">
        <f>IFERROR(__xludf.DUMMYFUNCTION("""COMPUTED_VALUE"""),"No asociado")</f>
        <v>No asociado</v>
      </c>
      <c r="AC24" s="39" t="str">
        <f>IFERROR(__xludf.DUMMYFUNCTION("""COMPUTED_VALUE"""),"Propiciar la formalización de la pesca y la acuicultura")</f>
        <v>Propiciar la formalización de la pesca y la acuicultura</v>
      </c>
      <c r="AD24" s="39" t="str">
        <f>IFERROR(__xludf.DUMMYFUNCTION("""COMPUTED_VALUE"""),"Gestión con valores para resultados")</f>
        <v>Gestión con valores para resultados</v>
      </c>
      <c r="AE24" s="39" t="str">
        <f>IFERROR(__xludf.DUMMYFUNCTION("""COMPUTED_VALUE"""),"Fortalecimiento Organizacional y Simplificación de Procesos")</f>
        <v>Fortalecimiento Organizacional y Simplificación de Procesos</v>
      </c>
      <c r="AF24" s="39" t="str">
        <f>IFERROR(__xludf.DUMMYFUNCTION("""COMPUTED_VALUE"""),"12. Producción y consumo responsable")</f>
        <v>12. Producción y consumo responsable</v>
      </c>
      <c r="AG24" s="50" t="str">
        <f>IFERROR(__xludf.DUMMYFUNCTION("""COMPUTED_VALUE"""),"No se reporta para el trimestre 1 ")</f>
        <v>No se reporta para el trimestre 1 </v>
      </c>
      <c r="AH24" s="51" t="str">
        <f>IFERROR(__xludf.DUMMYFUNCTION("""COMPUTED_VALUE"""),"No se reporta para el trimestre 1 ")</f>
        <v>No se reporta para el trimestre 1 </v>
      </c>
      <c r="AI24" s="51" t="str">
        <f>IFERROR(__xludf.DUMMYFUNCTION("""COMPUTED_VALUE"""),"No se reporta para el trimestre 1 ")</f>
        <v>No se reporta para el trimestre 1 </v>
      </c>
      <c r="AJ24" s="52">
        <f>IFERROR(__xludf.DUMMYFUNCTION("""COMPUTED_VALUE"""),44298.0)</f>
        <v>44298</v>
      </c>
      <c r="AK24" s="53" t="str">
        <f>IFERROR(IF((AL24+1)&lt;2,Alertas!$B$2&amp;TEXT(AL24,"0%")&amp;Alertas!$D$2, IF((AL24+1)=2,Alertas!$B$3,IF((AL24+1)&gt;2,Alertas!$B$4&amp;TEXT(AL24,"0%")&amp;Alertas!$D$4,AL24+1))),"Sin meta para el cuarto trimestre")</f>
        <v>Sin meta para el cuarto trimestre</v>
      </c>
      <c r="AL24" s="54" t="str">
        <f t="shared" si="2"/>
        <v>#VALUE!</v>
      </c>
      <c r="AM24" s="53" t="str">
        <f t="shared" si="3"/>
        <v>Sin meta para el cuarto trimestre.</v>
      </c>
      <c r="AN24" s="55"/>
      <c r="AO24" s="56"/>
      <c r="AP24" s="57"/>
      <c r="AQ24" s="57"/>
      <c r="AR24" s="58"/>
      <c r="AS24" s="59"/>
      <c r="AT24" s="60"/>
      <c r="AU24" s="55"/>
      <c r="AV24" s="56"/>
      <c r="AW24" s="61"/>
      <c r="AX24" s="57"/>
      <c r="AY24" s="62"/>
      <c r="AZ24" s="63"/>
      <c r="BA24" s="64"/>
      <c r="BB24" s="65"/>
      <c r="BC24" s="56"/>
      <c r="BD24" s="61"/>
      <c r="BE24" s="57"/>
      <c r="BF24" s="58"/>
      <c r="BG24" s="63"/>
      <c r="BH24" s="64"/>
      <c r="BI24" s="66"/>
      <c r="BK24" s="21" t="str">
        <f t="shared" si="23"/>
        <v>-</v>
      </c>
      <c r="BM24" s="67" t="s">
        <v>105</v>
      </c>
      <c r="BN24" s="73">
        <f t="shared" si="5"/>
        <v>8</v>
      </c>
      <c r="BO24" s="47">
        <f t="shared" si="6"/>
        <v>6</v>
      </c>
      <c r="BP24" s="69">
        <f t="shared" si="7"/>
        <v>8</v>
      </c>
      <c r="BQ24" s="70">
        <f t="shared" si="8"/>
        <v>2.993978495</v>
      </c>
      <c r="BR24" s="69" t="str">
        <f t="shared" si="9"/>
        <v>Sobre Ejecución</v>
      </c>
      <c r="BS24" s="71">
        <f t="shared" ref="BS24:BV24" si="29">COUNTIFS($D:$D,$BM24,$BK:$BK,BS$1)</f>
        <v>0</v>
      </c>
      <c r="BT24" s="71">
        <f t="shared" si="29"/>
        <v>1</v>
      </c>
      <c r="BU24" s="71">
        <f t="shared" si="29"/>
        <v>1</v>
      </c>
      <c r="BV24" s="71">
        <f t="shared" si="29"/>
        <v>3</v>
      </c>
    </row>
    <row r="25" ht="33.75" customHeight="1">
      <c r="A25" s="37"/>
      <c r="B25" s="38">
        <f>IFERROR(__xludf.DUMMYFUNCTION("""COMPUTED_VALUE"""),34.0)</f>
        <v>34</v>
      </c>
      <c r="C25" s="39" t="str">
        <f>IFERROR(__xludf.DUMMYFUNCTION("""COMPUTED_VALUE"""),"Gestión de la administración y fomento")</f>
        <v>Gestión de la administración y fomento</v>
      </c>
      <c r="D25" s="40" t="str">
        <f>IFERROR(__xludf.DUMMYFUNCTION("""COMPUTED_VALUE"""),"Dirección Técnica de Administración y Fomento")</f>
        <v>Dirección Técnica de Administración y Fomento</v>
      </c>
      <c r="E25" s="40" t="str">
        <f>IFERROR(__xludf.DUMMYFUNCTION("""COMPUTED_VALUE"""),"Fortalecimiento de la sostenibilidad del sector pesquero y de la acuicultura en el territorio nacional")</f>
        <v>Fortalecimiento de la sostenibilidad del sector pesquero y de la acuicultura en el territorio nacional</v>
      </c>
      <c r="F25" s="40">
        <f>IFERROR(__xludf.DUMMYFUNCTION("""COMPUTED_VALUE"""),2.01901E12)</f>
        <v>2019010000000</v>
      </c>
      <c r="G25" s="41" t="str">
        <f>IFERROR(__xludf.DUMMYFUNCTION("""COMPUTED_VALUE"""),"Sostenibilidad")</f>
        <v>Sostenibilidad</v>
      </c>
      <c r="H25" s="40" t="str">
        <f>IFERROR(__xludf.DUMMYFUNCTION("""COMPUTED_VALUE"""),"Mejorar la explotación de los recursos pesqueros y de la acuicultura.")</f>
        <v>Mejorar la explotación de los recursos pesqueros y de la acuicultura.</v>
      </c>
      <c r="I25" s="40" t="str">
        <f>IFERROR(__xludf.DUMMYFUNCTION("""COMPUTED_VALUE"""),"Servicio de ordenación pesquera y de la acuicultura")</f>
        <v>Servicio de ordenación pesquera y de la acuicultura</v>
      </c>
      <c r="J25" s="40" t="str">
        <f>IFERROR(__xludf.DUMMYFUNCTION("""COMPUTED_VALUE"""),"Generar acuerdos de ordenación de la actividad pesquera y de la acuicultura.")</f>
        <v>Generar acuerdos de ordenación de la actividad pesquera y de la acuicultura.</v>
      </c>
      <c r="K25" s="42" t="str">
        <f>IFERROR(__xludf.DUMMYFUNCTION("""COMPUTED_VALUE"""),"Producto")</f>
        <v>Producto</v>
      </c>
      <c r="L25" s="42" t="str">
        <f>IFERROR(__xludf.DUMMYFUNCTION("""COMPUTED_VALUE"""),"Eficacia")</f>
        <v>Eficacia</v>
      </c>
      <c r="M25" s="42" t="str">
        <f>IFERROR(__xludf.DUMMYFUNCTION("""COMPUTED_VALUE"""),"Número")</f>
        <v>Número</v>
      </c>
      <c r="N25" s="43" t="str">
        <f>IFERROR(__xludf.DUMMYFUNCTION("""COMPUTED_VALUE"""),"Acuerdos de ordenacion atendidos")</f>
        <v>Acuerdos de ordenacion atendidos</v>
      </c>
      <c r="O25" s="44">
        <f>IFERROR(__xludf.DUMMYFUNCTION("""COMPUTED_VALUE"""),-3.0)</f>
        <v>-3</v>
      </c>
      <c r="P25" s="74">
        <f>IFERROR(__xludf.DUMMYFUNCTION("""COMPUTED_VALUE"""),4.0)</f>
        <v>4</v>
      </c>
      <c r="Q25" s="75" t="str">
        <f>IFERROR(__xludf.DUMMYFUNCTION("""COMPUTED_VALUE"""),"Generar acuerdos de ordenación de la actividad pesquera y de la acuicultura.")</f>
        <v>Generar acuerdos de ordenación de la actividad pesquera y de la acuicultura.</v>
      </c>
      <c r="R25" s="75" t="str">
        <f>IFERROR(__xludf.DUMMYFUNCTION("""COMPUTED_VALUE"""),"Semestral")</f>
        <v>Semestral</v>
      </c>
      <c r="S25" s="74">
        <f>IFERROR(__xludf.DUMMYFUNCTION("""COMPUTED_VALUE"""),0.0)</f>
        <v>0</v>
      </c>
      <c r="T25" s="74">
        <f>IFERROR(__xludf.DUMMYFUNCTION("""COMPUTED_VALUE"""),1.0)</f>
        <v>1</v>
      </c>
      <c r="U25" s="74"/>
      <c r="V25" s="74">
        <f>IFERROR(__xludf.DUMMYFUNCTION("""COMPUTED_VALUE"""),3.0)</f>
        <v>3</v>
      </c>
      <c r="W25" s="48" t="str">
        <f>IFERROR(__xludf.DUMMYFUNCTION("""COMPUTED_VALUE"""),"DTAF")</f>
        <v>DTAF</v>
      </c>
      <c r="X25" s="49" t="str">
        <f>IFERROR(__xludf.DUMMYFUNCTION("""COMPUTED_VALUE"""),"Jhon Jairo Restrepo")</f>
        <v>Jhon Jairo Restrepo</v>
      </c>
      <c r="Y25" s="39" t="str">
        <f>IFERROR(__xludf.DUMMYFUNCTION("""COMPUTED_VALUE"""),"Director Jhon Jairo Restrepo")</f>
        <v>Director Jhon Jairo Restrepo</v>
      </c>
      <c r="Z25" s="49" t="str">
        <f>IFERROR(__xludf.DUMMYFUNCTION("""COMPUTED_VALUE"""),"jhon.restrepo@aunap.gov.co")</f>
        <v>jhon.restrepo@aunap.gov.co</v>
      </c>
      <c r="AA25" s="39" t="str">
        <f>IFERROR(__xludf.DUMMYFUNCTION("""COMPUTED_VALUE"""),"Humano, físico, financiero, tecnológico")</f>
        <v>Humano, físico, financiero, tecnológico</v>
      </c>
      <c r="AB25" s="39" t="str">
        <f>IFERROR(__xludf.DUMMYFUNCTION("""COMPUTED_VALUE"""),"No asociado")</f>
        <v>No asociado</v>
      </c>
      <c r="AC25" s="39" t="str">
        <f>IFERROR(__xludf.DUMMYFUNCTION("""COMPUTED_VALUE"""),"Propiciar la formalización de la pesca y la acuicultura")</f>
        <v>Propiciar la formalización de la pesca y la acuicultura</v>
      </c>
      <c r="AD25" s="39" t="str">
        <f>IFERROR(__xludf.DUMMYFUNCTION("""COMPUTED_VALUE"""),"Gestión con valores para resultados")</f>
        <v>Gestión con valores para resultados</v>
      </c>
      <c r="AE25" s="39" t="str">
        <f>IFERROR(__xludf.DUMMYFUNCTION("""COMPUTED_VALUE"""),"Fortalecimiento Organizacional y Simplificación de Procesos")</f>
        <v>Fortalecimiento Organizacional y Simplificación de Procesos</v>
      </c>
      <c r="AF25" s="39" t="str">
        <f>IFERROR(__xludf.DUMMYFUNCTION("""COMPUTED_VALUE"""),"12. Producción y consumo responsable")</f>
        <v>12. Producción y consumo responsable</v>
      </c>
      <c r="AG25" s="78" t="str">
        <f>IFERROR(__xludf.DUMMYFUNCTION("""COMPUTED_VALUE"""),"No se reporta para el trimestre 1 ")</f>
        <v>No se reporta para el trimestre 1 </v>
      </c>
      <c r="AH25" s="51" t="str">
        <f>IFERROR(__xludf.DUMMYFUNCTION("""COMPUTED_VALUE"""),"No se reporta para el trimestre 1 ")</f>
        <v>No se reporta para el trimestre 1 </v>
      </c>
      <c r="AI25" s="51" t="str">
        <f>IFERROR(__xludf.DUMMYFUNCTION("""COMPUTED_VALUE"""),"No se reporta para el trimestre 1 ")</f>
        <v>No se reporta para el trimestre 1 </v>
      </c>
      <c r="AJ25" s="52">
        <f>IFERROR(__xludf.DUMMYFUNCTION("""COMPUTED_VALUE"""),44298.0)</f>
        <v>44298</v>
      </c>
      <c r="AK25" s="53" t="str">
        <f>IFERROR(IF((AL25+1)&lt;2,Alertas!$B$2&amp;TEXT(AL25,"0%")&amp;Alertas!$D$2, IF((AL25+1)=2,Alertas!$B$3,IF((AL25+1)&gt;2,Alertas!$B$4&amp;TEXT(AL25,"0%")&amp;Alertas!$D$4,AL25+1))),"Sin meta para el cuarto trimestre")</f>
        <v>Sin meta para el cuarto trimestre</v>
      </c>
      <c r="AL25" s="54" t="str">
        <f t="shared" si="2"/>
        <v>#VALUE!</v>
      </c>
      <c r="AM25" s="53" t="str">
        <f t="shared" si="3"/>
        <v>Sin meta para el cuarto trimestre.</v>
      </c>
      <c r="AN25" s="55"/>
      <c r="AO25" s="56"/>
      <c r="AP25" s="57"/>
      <c r="AQ25" s="57"/>
      <c r="AR25" s="58"/>
      <c r="AS25" s="59"/>
      <c r="AT25" s="60"/>
      <c r="AU25" s="55"/>
      <c r="AV25" s="56"/>
      <c r="AW25" s="61"/>
      <c r="AX25" s="57"/>
      <c r="AY25" s="62"/>
      <c r="AZ25" s="63"/>
      <c r="BA25" s="64"/>
      <c r="BB25" s="65"/>
      <c r="BC25" s="56"/>
      <c r="BD25" s="61"/>
      <c r="BE25" s="57"/>
      <c r="BF25" s="58"/>
      <c r="BG25" s="63"/>
      <c r="BH25" s="64"/>
      <c r="BI25" s="66"/>
      <c r="BK25" s="21" t="str">
        <f t="shared" si="23"/>
        <v>-</v>
      </c>
      <c r="BS25" s="21">
        <f t="shared" ref="BS25:BV25" si="30">COUNTIFS($D:$D,$BM16,$BK:$BK,BS$1)</f>
        <v>1</v>
      </c>
      <c r="BT25" s="21">
        <f t="shared" si="30"/>
        <v>3</v>
      </c>
      <c r="BU25" s="21">
        <f t="shared" si="30"/>
        <v>0</v>
      </c>
      <c r="BV25" s="21">
        <f t="shared" si="30"/>
        <v>1</v>
      </c>
    </row>
    <row r="26" ht="33.75" customHeight="1">
      <c r="A26" s="37"/>
      <c r="B26" s="38">
        <f>IFERROR(__xludf.DUMMYFUNCTION("""COMPUTED_VALUE"""),35.0)</f>
        <v>35</v>
      </c>
      <c r="C26" s="39" t="str">
        <f>IFERROR(__xludf.DUMMYFUNCTION("""COMPUTED_VALUE"""),"Gestión de la administración y fomento")</f>
        <v>Gestión de la administración y fomento</v>
      </c>
      <c r="D26" s="40" t="str">
        <f>IFERROR(__xludf.DUMMYFUNCTION("""COMPUTED_VALUE"""),"Dirección Técnica de Administración y Fomento")</f>
        <v>Dirección Técnica de Administración y Fomento</v>
      </c>
      <c r="E26" s="40" t="str">
        <f>IFERROR(__xludf.DUMMYFUNCTION("""COMPUTED_VALUE"""),"Fortalecimiento de la sostenibilidad del sector pesquero y de la acuicultura en el territorio nacional")</f>
        <v>Fortalecimiento de la sostenibilidad del sector pesquero y de la acuicultura en el territorio nacional</v>
      </c>
      <c r="F26" s="40">
        <f>IFERROR(__xludf.DUMMYFUNCTION("""COMPUTED_VALUE"""),2.01901E12)</f>
        <v>2019010000000</v>
      </c>
      <c r="G26" s="41" t="str">
        <f>IFERROR(__xludf.DUMMYFUNCTION("""COMPUTED_VALUE"""),"Sostenibilidad")</f>
        <v>Sostenibilidad</v>
      </c>
      <c r="H26" s="40" t="str">
        <f>IFERROR(__xludf.DUMMYFUNCTION("""COMPUTED_VALUE"""),"Mejorar las prácticas de pesca y de acuicultura.")</f>
        <v>Mejorar las prácticas de pesca y de acuicultura.</v>
      </c>
      <c r="I26" s="40" t="str">
        <f>IFERROR(__xludf.DUMMYFUNCTION("""COMPUTED_VALUE"""),"Servicios de apoyo al fomento de la pesca y la acuicultura")</f>
        <v>Servicios de apoyo al fomento de la pesca y la acuicultura</v>
      </c>
      <c r="J26" s="40" t="str">
        <f>IFERROR(__xludf.DUMMYFUNCTION("""COMPUTED_VALUE"""),"Generar acciones de fomento para la pesca, la acuicultura y sus actividades conexas.")</f>
        <v>Generar acciones de fomento para la pesca, la acuicultura y sus actividades conexas.</v>
      </c>
      <c r="K26" s="42" t="str">
        <f>IFERROR(__xludf.DUMMYFUNCTION("""COMPUTED_VALUE"""),"Producto")</f>
        <v>Producto</v>
      </c>
      <c r="L26" s="42" t="str">
        <f>IFERROR(__xludf.DUMMYFUNCTION("""COMPUTED_VALUE"""),"Eficacia")</f>
        <v>Eficacia</v>
      </c>
      <c r="M26" s="42" t="str">
        <f>IFERROR(__xludf.DUMMYFUNCTION("""COMPUTED_VALUE"""),"Número")</f>
        <v>Número</v>
      </c>
      <c r="N26" s="43" t="str">
        <f>IFERROR(__xludf.DUMMYFUNCTION("""COMPUTED_VALUE"""),"Organizaciones atendidas")</f>
        <v>Organizaciones atendidas</v>
      </c>
      <c r="O26" s="44">
        <f>IFERROR(__xludf.DUMMYFUNCTION("""COMPUTED_VALUE"""),-61.0)</f>
        <v>-61</v>
      </c>
      <c r="P26" s="74">
        <f>IFERROR(__xludf.DUMMYFUNCTION("""COMPUTED_VALUE"""),200.0)</f>
        <v>200</v>
      </c>
      <c r="Q26" s="75" t="str">
        <f>IFERROR(__xludf.DUMMYFUNCTION("""COMPUTED_VALUE"""),"Apoyar a asociaciones con acciones de fomento de la pesca y la acuicultura en el territorio nacional")</f>
        <v>Apoyar a asociaciones con acciones de fomento de la pesca y la acuicultura en el territorio nacional</v>
      </c>
      <c r="R26" s="75" t="str">
        <f>IFERROR(__xludf.DUMMYFUNCTION("""COMPUTED_VALUE"""),"Anual")</f>
        <v>Anual</v>
      </c>
      <c r="S26" s="74">
        <f>IFERROR(__xludf.DUMMYFUNCTION("""COMPUTED_VALUE"""),0.0)</f>
        <v>0</v>
      </c>
      <c r="T26" s="74"/>
      <c r="U26" s="74"/>
      <c r="V26" s="74">
        <f>IFERROR(__xludf.DUMMYFUNCTION("""COMPUTED_VALUE"""),200.0)</f>
        <v>200</v>
      </c>
      <c r="W26" s="48" t="str">
        <f>IFERROR(__xludf.DUMMYFUNCTION("""COMPUTED_VALUE"""),"DTAF")</f>
        <v>DTAF</v>
      </c>
      <c r="X26" s="49" t="str">
        <f>IFERROR(__xludf.DUMMYFUNCTION("""COMPUTED_VALUE"""),"Jhon Jairo Restrepo")</f>
        <v>Jhon Jairo Restrepo</v>
      </c>
      <c r="Y26" s="39" t="str">
        <f>IFERROR(__xludf.DUMMYFUNCTION("""COMPUTED_VALUE"""),"Director Jhon Jairo Restrepo")</f>
        <v>Director Jhon Jairo Restrepo</v>
      </c>
      <c r="Z26" s="49" t="str">
        <f>IFERROR(__xludf.DUMMYFUNCTION("""COMPUTED_VALUE"""),"jhon.restrepo@aunap.gov.co")</f>
        <v>jhon.restrepo@aunap.gov.co</v>
      </c>
      <c r="AA26" s="39" t="str">
        <f>IFERROR(__xludf.DUMMYFUNCTION("""COMPUTED_VALUE"""),"Humano, físico, financiero, tecnológico")</f>
        <v>Humano, físico, financiero, tecnológico</v>
      </c>
      <c r="AB26" s="39" t="str">
        <f>IFERROR(__xludf.DUMMYFUNCTION("""COMPUTED_VALUE"""),"No asociado")</f>
        <v>No asociado</v>
      </c>
      <c r="AC26" s="39" t="str">
        <f>IFERROR(__xludf.DUMMYFUNCTION("""COMPUTED_VALUE"""),"Propiciar la formalización de la pesca y la acuicultura")</f>
        <v>Propiciar la formalización de la pesca y la acuicultura</v>
      </c>
      <c r="AD26" s="39" t="str">
        <f>IFERROR(__xludf.DUMMYFUNCTION("""COMPUTED_VALUE"""),"Gestión con valores para resultados")</f>
        <v>Gestión con valores para resultados</v>
      </c>
      <c r="AE26" s="39" t="str">
        <f>IFERROR(__xludf.DUMMYFUNCTION("""COMPUTED_VALUE"""),"Fortalecimiento Organizacional y Simplificación de Procesos")</f>
        <v>Fortalecimiento Organizacional y Simplificación de Procesos</v>
      </c>
      <c r="AF26" s="39" t="str">
        <f>IFERROR(__xludf.DUMMYFUNCTION("""COMPUTED_VALUE"""),"12. Producción y consumo responsable")</f>
        <v>12. Producción y consumo responsable</v>
      </c>
      <c r="AG26" s="78" t="str">
        <f>IFERROR(__xludf.DUMMYFUNCTION("""COMPUTED_VALUE"""),"No se reporta para el trimestre 1 ")</f>
        <v>No se reporta para el trimestre 1 </v>
      </c>
      <c r="AH26" s="51" t="str">
        <f>IFERROR(__xludf.DUMMYFUNCTION("""COMPUTED_VALUE"""),"No se reporta para el trimestre 1 ")</f>
        <v>No se reporta para el trimestre 1 </v>
      </c>
      <c r="AI26" s="51" t="str">
        <f>IFERROR(__xludf.DUMMYFUNCTION("""COMPUTED_VALUE"""),"No se reporta para el trimestre 1 ")</f>
        <v>No se reporta para el trimestre 1 </v>
      </c>
      <c r="AJ26" s="52">
        <f>IFERROR(__xludf.DUMMYFUNCTION("""COMPUTED_VALUE"""),44298.0)</f>
        <v>44298</v>
      </c>
      <c r="AK26" s="53" t="str">
        <f>IFERROR(IF((AL26+1)&lt;2,Alertas!$B$2&amp;TEXT(AL26,"0%")&amp;Alertas!$D$2, IF((AL26+1)=2,Alertas!$B$3,IF((AL26+1)&gt;2,Alertas!$B$4&amp;TEXT(AL26,"0%")&amp;Alertas!$D$4,AL26+1))),"Sin meta para el cuarto trimestre")</f>
        <v>Sin meta para el cuarto trimestre</v>
      </c>
      <c r="AL26" s="54" t="str">
        <f t="shared" si="2"/>
        <v>#VALUE!</v>
      </c>
      <c r="AM26" s="53" t="str">
        <f t="shared" si="3"/>
        <v>Sin meta para el cuarto trimestre.</v>
      </c>
      <c r="AN26" s="55"/>
      <c r="AO26" s="56"/>
      <c r="AP26" s="57"/>
      <c r="AQ26" s="57"/>
      <c r="AR26" s="58"/>
      <c r="AS26" s="59"/>
      <c r="AT26" s="60"/>
      <c r="AU26" s="55"/>
      <c r="AV26" s="56"/>
      <c r="AW26" s="61"/>
      <c r="AX26" s="57"/>
      <c r="AY26" s="62"/>
      <c r="AZ26" s="63"/>
      <c r="BA26" s="64"/>
      <c r="BB26" s="65"/>
      <c r="BC26" s="56"/>
      <c r="BD26" s="61"/>
      <c r="BE26" s="57"/>
      <c r="BF26" s="58"/>
      <c r="BG26" s="63"/>
      <c r="BH26" s="64"/>
      <c r="BI26" s="66"/>
      <c r="BK26" s="21" t="str">
        <f t="shared" si="23"/>
        <v>-</v>
      </c>
      <c r="BS26" s="21">
        <f t="shared" ref="BS26:BV26" si="31">COUNTIFS($D:$D,$BM17,$BK:$BK,BS$1)</f>
        <v>0</v>
      </c>
      <c r="BT26" s="21">
        <f t="shared" si="31"/>
        <v>3</v>
      </c>
      <c r="BU26" s="21">
        <f t="shared" si="31"/>
        <v>1</v>
      </c>
      <c r="BV26" s="21">
        <f t="shared" si="31"/>
        <v>0</v>
      </c>
    </row>
    <row r="27" ht="33.75" customHeight="1">
      <c r="A27" s="37"/>
      <c r="B27" s="38">
        <f>IFERROR(__xludf.DUMMYFUNCTION("""COMPUTED_VALUE"""),36.0)</f>
        <v>36</v>
      </c>
      <c r="C27" s="39" t="str">
        <f>IFERROR(__xludf.DUMMYFUNCTION("""COMPUTED_VALUE"""),"Gestión de la administración y fomento")</f>
        <v>Gestión de la administración y fomento</v>
      </c>
      <c r="D27" s="40" t="str">
        <f>IFERROR(__xludf.DUMMYFUNCTION("""COMPUTED_VALUE"""),"Dirección Técnica de Administración y Fomento")</f>
        <v>Dirección Técnica de Administración y Fomento</v>
      </c>
      <c r="E27" s="40" t="str">
        <f>IFERROR(__xludf.DUMMYFUNCTION("""COMPUTED_VALUE"""),"Fortalecimiento de la sostenibilidad del sector pesquero y de la acuicultura en el territorio nacional")</f>
        <v>Fortalecimiento de la sostenibilidad del sector pesquero y de la acuicultura en el territorio nacional</v>
      </c>
      <c r="F27" s="40">
        <f>IFERROR(__xludf.DUMMYFUNCTION("""COMPUTED_VALUE"""),2.01901E12)</f>
        <v>2019010000000</v>
      </c>
      <c r="G27" s="41" t="str">
        <f>IFERROR(__xludf.DUMMYFUNCTION("""COMPUTED_VALUE"""),"Sostenibilidad")</f>
        <v>Sostenibilidad</v>
      </c>
      <c r="H27" s="40" t="str">
        <f>IFERROR(__xludf.DUMMYFUNCTION("""COMPUTED_VALUE"""),"Mejorar las prácticas de pesca y de acuicultura.")</f>
        <v>Mejorar las prácticas de pesca y de acuicultura.</v>
      </c>
      <c r="I27" s="40" t="str">
        <f>IFERROR(__xludf.DUMMYFUNCTION("""COMPUTED_VALUE"""),"1-Servicios de apoyo a las estaciones de acuicultura")</f>
        <v>1-Servicios de apoyo a las estaciones de acuicultura</v>
      </c>
      <c r="J27" s="40" t="str">
        <f>IFERROR(__xludf.DUMMYFUNCTION("""COMPUTED_VALUE"""),"Producir alevinos para el sector productivo y/o con fines de repoblamiento.")</f>
        <v>Producir alevinos para el sector productivo y/o con fines de repoblamiento.</v>
      </c>
      <c r="K27" s="42" t="str">
        <f>IFERROR(__xludf.DUMMYFUNCTION("""COMPUTED_VALUE"""),"Producto")</f>
        <v>Producto</v>
      </c>
      <c r="L27" s="42" t="str">
        <f>IFERROR(__xludf.DUMMYFUNCTION("""COMPUTED_VALUE"""),"Eficacia")</f>
        <v>Eficacia</v>
      </c>
      <c r="M27" s="42" t="str">
        <f>IFERROR(__xludf.DUMMYFUNCTION("""COMPUTED_VALUE"""),"Número")</f>
        <v>Número</v>
      </c>
      <c r="N27" s="43" t="str">
        <f>IFERROR(__xludf.DUMMYFUNCTION("""COMPUTED_VALUE"""),"Estaciones de acuicultura apoyadas")</f>
        <v>Estaciones de acuicultura apoyadas</v>
      </c>
      <c r="O27" s="44">
        <f>IFERROR(__xludf.DUMMYFUNCTION("""COMPUTED_VALUE"""),-1.0)</f>
        <v>-1</v>
      </c>
      <c r="P27" s="45">
        <f>IFERROR(__xludf.DUMMYFUNCTION("""COMPUTED_VALUE"""),3.0)</f>
        <v>3</v>
      </c>
      <c r="Q27" s="46" t="str">
        <f>IFERROR(__xludf.DUMMYFUNCTION("""COMPUTED_VALUE"""),"Apoyar a tres estaciones de acuicultura
")</f>
        <v>Apoyar a tres estaciones de acuicultura
</v>
      </c>
      <c r="R27" s="47" t="str">
        <f>IFERROR(__xludf.DUMMYFUNCTION("""COMPUTED_VALUE"""),"Anual")</f>
        <v>Anual</v>
      </c>
      <c r="S27" s="45">
        <f>IFERROR(__xludf.DUMMYFUNCTION("""COMPUTED_VALUE"""),0.0)</f>
        <v>0</v>
      </c>
      <c r="T27" s="45"/>
      <c r="U27" s="45"/>
      <c r="V27" s="45">
        <f>IFERROR(__xludf.DUMMYFUNCTION("""COMPUTED_VALUE"""),3.0)</f>
        <v>3</v>
      </c>
      <c r="W27" s="48" t="str">
        <f>IFERROR(__xludf.DUMMYFUNCTION("""COMPUTED_VALUE"""),"DTAF")</f>
        <v>DTAF</v>
      </c>
      <c r="X27" s="49" t="str">
        <f>IFERROR(__xludf.DUMMYFUNCTION("""COMPUTED_VALUE"""),"Jhon Jairo Restrepo")</f>
        <v>Jhon Jairo Restrepo</v>
      </c>
      <c r="Y27" s="39" t="str">
        <f>IFERROR(__xludf.DUMMYFUNCTION("""COMPUTED_VALUE"""),"Director Jhon Jairo Restrepo")</f>
        <v>Director Jhon Jairo Restrepo</v>
      </c>
      <c r="Z27" s="49" t="str">
        <f>IFERROR(__xludf.DUMMYFUNCTION("""COMPUTED_VALUE"""),"jhon.restrepo@aunap.gov.co")</f>
        <v>jhon.restrepo@aunap.gov.co</v>
      </c>
      <c r="AA27" s="39" t="str">
        <f>IFERROR(__xludf.DUMMYFUNCTION("""COMPUTED_VALUE"""),"Humano, físico, financiero, tecnológico")</f>
        <v>Humano, físico, financiero, tecnológico</v>
      </c>
      <c r="AB27" s="39" t="str">
        <f>IFERROR(__xludf.DUMMYFUNCTION("""COMPUTED_VALUE"""),"No asociado")</f>
        <v>No asociado</v>
      </c>
      <c r="AC27" s="39" t="str">
        <f>IFERROR(__xludf.DUMMYFUNCTION("""COMPUTED_VALUE"""),"Propiciar la formalización de la pesca y la acuicultura")</f>
        <v>Propiciar la formalización de la pesca y la acuicultura</v>
      </c>
      <c r="AD27" s="39" t="str">
        <f>IFERROR(__xludf.DUMMYFUNCTION("""COMPUTED_VALUE"""),"Gestión con valores para resultados")</f>
        <v>Gestión con valores para resultados</v>
      </c>
      <c r="AE27" s="39" t="str">
        <f>IFERROR(__xludf.DUMMYFUNCTION("""COMPUTED_VALUE"""),"Fortalecimiento Organizacional y Simplificación de Procesos")</f>
        <v>Fortalecimiento Organizacional y Simplificación de Procesos</v>
      </c>
      <c r="AF27" s="39" t="str">
        <f>IFERROR(__xludf.DUMMYFUNCTION("""COMPUTED_VALUE"""),"12. Producción y consumo responsable")</f>
        <v>12. Producción y consumo responsable</v>
      </c>
      <c r="AG27" s="76" t="str">
        <f>IFERROR(__xludf.DUMMYFUNCTION("""COMPUTED_VALUE"""),"No se reporta para el trimestre 1 ")</f>
        <v>No se reporta para el trimestre 1 </v>
      </c>
      <c r="AH27" s="51" t="str">
        <f>IFERROR(__xludf.DUMMYFUNCTION("""COMPUTED_VALUE"""),"No se reporta para el trimestre 1 ")</f>
        <v>No se reporta para el trimestre 1 </v>
      </c>
      <c r="AI27" s="51" t="str">
        <f>IFERROR(__xludf.DUMMYFUNCTION("""COMPUTED_VALUE"""),"No se reporta para el trimestre 1 ")</f>
        <v>No se reporta para el trimestre 1 </v>
      </c>
      <c r="AJ27" s="52">
        <f>IFERROR(__xludf.DUMMYFUNCTION("""COMPUTED_VALUE"""),44298.0)</f>
        <v>44298</v>
      </c>
      <c r="AK27" s="53" t="str">
        <f>IFERROR(IF((AL27+1)&lt;2,Alertas!$B$2&amp;TEXT(AL27,"0%")&amp;Alertas!$D$2, IF((AL27+1)=2,Alertas!$B$3,IF((AL27+1)&gt;2,Alertas!$B$4&amp;TEXT(AL27,"0%")&amp;Alertas!$D$4,AL27+1))),"Sin meta para el cuarto trimestre")</f>
        <v>Sin meta para el cuarto trimestre</v>
      </c>
      <c r="AL27" s="54" t="str">
        <f t="shared" si="2"/>
        <v>#VALUE!</v>
      </c>
      <c r="AM27" s="53" t="str">
        <f t="shared" si="3"/>
        <v>Sin meta para el cuarto trimestre.</v>
      </c>
      <c r="AN27" s="55"/>
      <c r="AO27" s="56"/>
      <c r="AP27" s="57"/>
      <c r="AQ27" s="57"/>
      <c r="AR27" s="58"/>
      <c r="AS27" s="59"/>
      <c r="AT27" s="60"/>
      <c r="AU27" s="55"/>
      <c r="AV27" s="56"/>
      <c r="AW27" s="61"/>
      <c r="AX27" s="57"/>
      <c r="AY27" s="62"/>
      <c r="AZ27" s="63"/>
      <c r="BA27" s="64"/>
      <c r="BB27" s="65"/>
      <c r="BC27" s="56"/>
      <c r="BD27" s="61"/>
      <c r="BE27" s="57"/>
      <c r="BF27" s="58"/>
      <c r="BG27" s="63"/>
      <c r="BH27" s="64"/>
      <c r="BI27" s="66"/>
      <c r="BK27" s="21" t="str">
        <f t="shared" si="23"/>
        <v>-</v>
      </c>
    </row>
    <row r="28" ht="33.75" customHeight="1">
      <c r="A28" s="37"/>
      <c r="B28" s="38">
        <f>IFERROR(__xludf.DUMMYFUNCTION("""COMPUTED_VALUE"""),37.0)</f>
        <v>37</v>
      </c>
      <c r="C28" s="39" t="str">
        <f>IFERROR(__xludf.DUMMYFUNCTION("""COMPUTED_VALUE"""),"Gestión de la administración y fomento")</f>
        <v>Gestión de la administración y fomento</v>
      </c>
      <c r="D28" s="40" t="str">
        <f>IFERROR(__xludf.DUMMYFUNCTION("""COMPUTED_VALUE"""),"Dirección Técnica de Administración y Fomento")</f>
        <v>Dirección Técnica de Administración y Fomento</v>
      </c>
      <c r="E28" s="40" t="str">
        <f>IFERROR(__xludf.DUMMYFUNCTION("""COMPUTED_VALUE"""),"Fortalecimiento de la sostenibilidad del sector pesquero y de la acuicultura en el territorio nacional")</f>
        <v>Fortalecimiento de la sostenibilidad del sector pesquero y de la acuicultura en el territorio nacional</v>
      </c>
      <c r="F28" s="40">
        <f>IFERROR(__xludf.DUMMYFUNCTION("""COMPUTED_VALUE"""),2.01901E12)</f>
        <v>2019010000000</v>
      </c>
      <c r="G28" s="41" t="str">
        <f>IFERROR(__xludf.DUMMYFUNCTION("""COMPUTED_VALUE"""),"Sostenibilidad")</f>
        <v>Sostenibilidad</v>
      </c>
      <c r="H28" s="40" t="str">
        <f>IFERROR(__xludf.DUMMYFUNCTION("""COMPUTED_VALUE"""),"Mejorar las prácticas de pesca y de acuicultura.")</f>
        <v>Mejorar las prácticas de pesca y de acuicultura.</v>
      </c>
      <c r="I28" s="40" t="str">
        <f>IFERROR(__xludf.DUMMYFUNCTION("""COMPUTED_VALUE"""),"1-Servicios de apoyo a las estaciones de acuicultura")</f>
        <v>1-Servicios de apoyo a las estaciones de acuicultura</v>
      </c>
      <c r="J28" s="40" t="str">
        <f>IFERROR(__xludf.DUMMYFUNCTION("""COMPUTED_VALUE"""),"Desarrollar acciones de extensión rural a través de las estaciones de acuicultura")</f>
        <v>Desarrollar acciones de extensión rural a través de las estaciones de acuicultura</v>
      </c>
      <c r="K28" s="42" t="str">
        <f>IFERROR(__xludf.DUMMYFUNCTION("""COMPUTED_VALUE"""),"Gestión")</f>
        <v>Gestión</v>
      </c>
      <c r="L28" s="42" t="str">
        <f>IFERROR(__xludf.DUMMYFUNCTION("""COMPUTED_VALUE"""),"Efectividad")</f>
        <v>Efectividad</v>
      </c>
      <c r="M28" s="42" t="str">
        <f>IFERROR(__xludf.DUMMYFUNCTION("""COMPUTED_VALUE"""),"Número")</f>
        <v>Número</v>
      </c>
      <c r="N28" s="43" t="str">
        <f>IFERROR(__xludf.DUMMYFUNCTION("""COMPUTED_VALUE"""),"Realizar eventos informativas y divulgativos de acuicultura a traves de las estaciones")</f>
        <v>Realizar eventos informativas y divulgativos de acuicultura a traves de las estaciones</v>
      </c>
      <c r="O28" s="44">
        <f>IFERROR(__xludf.DUMMYFUNCTION("""COMPUTED_VALUE"""),15.0)</f>
        <v>15</v>
      </c>
      <c r="P28" s="45">
        <f>IFERROR(__xludf.DUMMYFUNCTION("""COMPUTED_VALUE"""),15.0)</f>
        <v>15</v>
      </c>
      <c r="Q28" s="46" t="str">
        <f>IFERROR(__xludf.DUMMYFUNCTION("""COMPUTED_VALUE"""),"Desarrollar campañas informativas y divulgadas de acciones de acuicultura a traves de las estaciones")</f>
        <v>Desarrollar campañas informativas y divulgadas de acciones de acuicultura a traves de las estaciones</v>
      </c>
      <c r="R28" s="47" t="str">
        <f>IFERROR(__xludf.DUMMYFUNCTION("""COMPUTED_VALUE"""),"Anual")</f>
        <v>Anual</v>
      </c>
      <c r="S28" s="45">
        <f>IFERROR(__xludf.DUMMYFUNCTION("""COMPUTED_VALUE"""),0.0)</f>
        <v>0</v>
      </c>
      <c r="T28" s="45"/>
      <c r="U28" s="45"/>
      <c r="V28" s="45">
        <f>IFERROR(__xludf.DUMMYFUNCTION("""COMPUTED_VALUE"""),15.0)</f>
        <v>15</v>
      </c>
      <c r="W28" s="48" t="str">
        <f>IFERROR(__xludf.DUMMYFUNCTION("""COMPUTED_VALUE"""),"DTAF")</f>
        <v>DTAF</v>
      </c>
      <c r="X28" s="49" t="str">
        <f>IFERROR(__xludf.DUMMYFUNCTION("""COMPUTED_VALUE"""),"Jhon Jairo Restrepo")</f>
        <v>Jhon Jairo Restrepo</v>
      </c>
      <c r="Y28" s="39" t="str">
        <f>IFERROR(__xludf.DUMMYFUNCTION("""COMPUTED_VALUE"""),"Director Jhon Jairo Restrepo")</f>
        <v>Director Jhon Jairo Restrepo</v>
      </c>
      <c r="Z28" s="49" t="str">
        <f>IFERROR(__xludf.DUMMYFUNCTION("""COMPUTED_VALUE"""),"jhon.restrepo@aunap.gov.co")</f>
        <v>jhon.restrepo@aunap.gov.co</v>
      </c>
      <c r="AA28" s="39" t="str">
        <f>IFERROR(__xludf.DUMMYFUNCTION("""COMPUTED_VALUE"""),"Humano, físico, financiero, tecnológico")</f>
        <v>Humano, físico, financiero, tecnológico</v>
      </c>
      <c r="AB28" s="39" t="str">
        <f>IFERROR(__xludf.DUMMYFUNCTION("""COMPUTED_VALUE"""),"No asociado")</f>
        <v>No asociado</v>
      </c>
      <c r="AC28" s="39" t="str">
        <f>IFERROR(__xludf.DUMMYFUNCTION("""COMPUTED_VALUE"""),"Propiciar la formalización de la pesca y la acuicultura")</f>
        <v>Propiciar la formalización de la pesca y la acuicultura</v>
      </c>
      <c r="AD28" s="39" t="str">
        <f>IFERROR(__xludf.DUMMYFUNCTION("""COMPUTED_VALUE"""),"Gestión con valores para resultados")</f>
        <v>Gestión con valores para resultados</v>
      </c>
      <c r="AE28" s="39" t="str">
        <f>IFERROR(__xludf.DUMMYFUNCTION("""COMPUTED_VALUE"""),"Fortalecimiento Organizacional y Simplificación de Procesos")</f>
        <v>Fortalecimiento Organizacional y Simplificación de Procesos</v>
      </c>
      <c r="AF28" s="39" t="str">
        <f>IFERROR(__xludf.DUMMYFUNCTION("""COMPUTED_VALUE"""),"12. Producción y consumo responsable")</f>
        <v>12. Producción y consumo responsable</v>
      </c>
      <c r="AG28" s="78" t="str">
        <f>IFERROR(__xludf.DUMMYFUNCTION("""COMPUTED_VALUE"""),"No se reporta para el trimestre 1 ")</f>
        <v>No se reporta para el trimestre 1 </v>
      </c>
      <c r="AH28" s="51" t="str">
        <f>IFERROR(__xludf.DUMMYFUNCTION("""COMPUTED_VALUE"""),"No se reporta para el trimestre 1 ")</f>
        <v>No se reporta para el trimestre 1 </v>
      </c>
      <c r="AI28" s="51" t="str">
        <f>IFERROR(__xludf.DUMMYFUNCTION("""COMPUTED_VALUE"""),"No se reporta para el trimestre 1 ")</f>
        <v>No se reporta para el trimestre 1 </v>
      </c>
      <c r="AJ28" s="52">
        <f>IFERROR(__xludf.DUMMYFUNCTION("""COMPUTED_VALUE"""),44298.0)</f>
        <v>44298</v>
      </c>
      <c r="AK28" s="53" t="str">
        <f>IFERROR(IF((AL28+1)&lt;2,Alertas!$B$2&amp;TEXT(AL28,"0%")&amp;Alertas!$D$2, IF((AL28+1)=2,Alertas!$B$3,IF((AL28+1)&gt;2,Alertas!$B$4&amp;TEXT(AL28,"0%")&amp;Alertas!$D$4,AL28+1))),"Sin meta para el cuarto trimestre")</f>
        <v>Sin meta para el cuarto trimestre</v>
      </c>
      <c r="AL28" s="54" t="str">
        <f t="shared" si="2"/>
        <v>#VALUE!</v>
      </c>
      <c r="AM28" s="53" t="str">
        <f t="shared" si="3"/>
        <v>Sin meta para el cuarto trimestre.</v>
      </c>
      <c r="AN28" s="55"/>
      <c r="AO28" s="56"/>
      <c r="AP28" s="57"/>
      <c r="AQ28" s="57"/>
      <c r="AR28" s="58"/>
      <c r="AS28" s="59"/>
      <c r="AT28" s="60"/>
      <c r="AU28" s="55"/>
      <c r="AV28" s="56"/>
      <c r="AW28" s="61"/>
      <c r="AX28" s="57"/>
      <c r="AY28" s="62"/>
      <c r="AZ28" s="63"/>
      <c r="BA28" s="64"/>
      <c r="BB28" s="65"/>
      <c r="BC28" s="56"/>
      <c r="BD28" s="61"/>
      <c r="BE28" s="57"/>
      <c r="BF28" s="58"/>
      <c r="BG28" s="63"/>
      <c r="BH28" s="64"/>
      <c r="BI28" s="66"/>
      <c r="BK28" s="21" t="str">
        <f t="shared" si="23"/>
        <v>-</v>
      </c>
      <c r="BM28" s="21"/>
    </row>
    <row r="29" ht="33.75" customHeight="1">
      <c r="A29" s="37"/>
      <c r="B29" s="38">
        <f>IFERROR(__xludf.DUMMYFUNCTION("""COMPUTED_VALUE"""),38.0)</f>
        <v>38</v>
      </c>
      <c r="C29" s="39" t="str">
        <f>IFERROR(__xludf.DUMMYFUNCTION("""COMPUTED_VALUE"""),"Gestión de la administración y fomento")</f>
        <v>Gestión de la administración y fomento</v>
      </c>
      <c r="D29" s="40" t="str">
        <f>IFERROR(__xludf.DUMMYFUNCTION("""COMPUTED_VALUE"""),"Dirección Técnica de Administración y Fomento")</f>
        <v>Dirección Técnica de Administración y Fomento</v>
      </c>
      <c r="E29" s="40" t="str">
        <f>IFERROR(__xludf.DUMMYFUNCTION("""COMPUTED_VALUE"""),"Fortalecimiento de la sostenibilidad del sector pesquero y de la acuicultura en el territorio nacional")</f>
        <v>Fortalecimiento de la sostenibilidad del sector pesquero y de la acuicultura en el territorio nacional</v>
      </c>
      <c r="F29" s="40">
        <f>IFERROR(__xludf.DUMMYFUNCTION("""COMPUTED_VALUE"""),2.01901E12)</f>
        <v>2019010000000</v>
      </c>
      <c r="G29" s="41" t="str">
        <f>IFERROR(__xludf.DUMMYFUNCTION("""COMPUTED_VALUE"""),"Sostenibilidad")</f>
        <v>Sostenibilidad</v>
      </c>
      <c r="H29" s="40" t="str">
        <f>IFERROR(__xludf.DUMMYFUNCTION("""COMPUTED_VALUE"""),"Mejorar la explotación de los recursos pesqueros y de la acuicultura.")</f>
        <v>Mejorar la explotación de los recursos pesqueros y de la acuicultura.</v>
      </c>
      <c r="I29" s="40" t="str">
        <f>IFERROR(__xludf.DUMMYFUNCTION("""COMPUTED_VALUE"""),"Servicio de ordenación pesquera y de la acuicultura")</f>
        <v>Servicio de ordenación pesquera y de la acuicultura</v>
      </c>
      <c r="J29" s="40" t="str">
        <f>IFERROR(__xludf.DUMMYFUNCTION("""COMPUTED_VALUE"""),"Realizar seguimiento a los acuerdos de ordenación")</f>
        <v>Realizar seguimiento a los acuerdos de ordenación</v>
      </c>
      <c r="K29" s="42" t="str">
        <f>IFERROR(__xludf.DUMMYFUNCTION("""COMPUTED_VALUE"""),"Producto")</f>
        <v>Producto</v>
      </c>
      <c r="L29" s="42" t="str">
        <f>IFERROR(__xludf.DUMMYFUNCTION("""COMPUTED_VALUE"""),"Eficacia")</f>
        <v>Eficacia</v>
      </c>
      <c r="M29" s="42" t="str">
        <f>IFERROR(__xludf.DUMMYFUNCTION("""COMPUTED_VALUE"""),"Número")</f>
        <v>Número</v>
      </c>
      <c r="N29" s="43" t="str">
        <f>IFERROR(__xludf.DUMMYFUNCTION("""COMPUTED_VALUE"""),"Seguimiento a los acuerdos de ordenación pesquera")</f>
        <v>Seguimiento a los acuerdos de ordenación pesquera</v>
      </c>
      <c r="O29" s="44">
        <f>IFERROR(__xludf.DUMMYFUNCTION("""COMPUTED_VALUE"""),-3.0)</f>
        <v>-3</v>
      </c>
      <c r="P29" s="45">
        <f>IFERROR(__xludf.DUMMYFUNCTION("""COMPUTED_VALUE"""),11.0)</f>
        <v>11</v>
      </c>
      <c r="Q29" s="46" t="str">
        <f>IFERROR(__xludf.DUMMYFUNCTION("""COMPUTED_VALUE"""),"Realizar seguimiento a los acuerdos de ordenación pesquera")</f>
        <v>Realizar seguimiento a los acuerdos de ordenación pesquera</v>
      </c>
      <c r="R29" s="47" t="str">
        <f>IFERROR(__xludf.DUMMYFUNCTION("""COMPUTED_VALUE"""),"Semestral")</f>
        <v>Semestral</v>
      </c>
      <c r="S29" s="45">
        <f>IFERROR(__xludf.DUMMYFUNCTION("""COMPUTED_VALUE"""),0.0)</f>
        <v>0</v>
      </c>
      <c r="T29" s="45">
        <f>IFERROR(__xludf.DUMMYFUNCTION("""COMPUTED_VALUE"""),5.0)</f>
        <v>5</v>
      </c>
      <c r="U29" s="45"/>
      <c r="V29" s="45">
        <f>IFERROR(__xludf.DUMMYFUNCTION("""COMPUTED_VALUE"""),6.0)</f>
        <v>6</v>
      </c>
      <c r="W29" s="48" t="str">
        <f>IFERROR(__xludf.DUMMYFUNCTION("""COMPUTED_VALUE"""),"DTAF")</f>
        <v>DTAF</v>
      </c>
      <c r="X29" s="49" t="str">
        <f>IFERROR(__xludf.DUMMYFUNCTION("""COMPUTED_VALUE"""),"Jhon Jairo Restrepo")</f>
        <v>Jhon Jairo Restrepo</v>
      </c>
      <c r="Y29" s="39" t="str">
        <f>IFERROR(__xludf.DUMMYFUNCTION("""COMPUTED_VALUE"""),"Director Jhon Jairo Restrepo")</f>
        <v>Director Jhon Jairo Restrepo</v>
      </c>
      <c r="Z29" s="49" t="str">
        <f>IFERROR(__xludf.DUMMYFUNCTION("""COMPUTED_VALUE"""),"jhon.restrepo@aunap.gov.co")</f>
        <v>jhon.restrepo@aunap.gov.co</v>
      </c>
      <c r="AA29" s="39" t="str">
        <f>IFERROR(__xludf.DUMMYFUNCTION("""COMPUTED_VALUE"""),"Humano, físico, financiero, tecnológico")</f>
        <v>Humano, físico, financiero, tecnológico</v>
      </c>
      <c r="AB29" s="39" t="str">
        <f>IFERROR(__xludf.DUMMYFUNCTION("""COMPUTED_VALUE"""),"No asociado")</f>
        <v>No asociado</v>
      </c>
      <c r="AC29" s="39" t="str">
        <f>IFERROR(__xludf.DUMMYFUNCTION("""COMPUTED_VALUE"""),"Propiciar la formalización de la pesca y la acuicultura")</f>
        <v>Propiciar la formalización de la pesca y la acuicultura</v>
      </c>
      <c r="AD29" s="39" t="str">
        <f>IFERROR(__xludf.DUMMYFUNCTION("""COMPUTED_VALUE"""),"Gestión con valores para resultados")</f>
        <v>Gestión con valores para resultados</v>
      </c>
      <c r="AE29" s="39" t="str">
        <f>IFERROR(__xludf.DUMMYFUNCTION("""COMPUTED_VALUE"""),"Fortalecimiento Organizacional y Simplificación de Procesos")</f>
        <v>Fortalecimiento Organizacional y Simplificación de Procesos</v>
      </c>
      <c r="AF29" s="39" t="str">
        <f>IFERROR(__xludf.DUMMYFUNCTION("""COMPUTED_VALUE"""),"12. Producción y consumo responsable")</f>
        <v>12. Producción y consumo responsable</v>
      </c>
      <c r="AG29" s="76" t="str">
        <f>IFERROR(__xludf.DUMMYFUNCTION("""COMPUTED_VALUE"""),"No se reporta para el trimestre 1 ")</f>
        <v>No se reporta para el trimestre 1 </v>
      </c>
      <c r="AH29" s="51" t="str">
        <f>IFERROR(__xludf.DUMMYFUNCTION("""COMPUTED_VALUE"""),"No se reporta para el trimestre 1 ")</f>
        <v>No se reporta para el trimestre 1 </v>
      </c>
      <c r="AI29" s="51" t="str">
        <f>IFERROR(__xludf.DUMMYFUNCTION("""COMPUTED_VALUE"""),"No se reporta para el trimestre 1 ")</f>
        <v>No se reporta para el trimestre 1 </v>
      </c>
      <c r="AJ29" s="52">
        <f>IFERROR(__xludf.DUMMYFUNCTION("""COMPUTED_VALUE"""),44298.0)</f>
        <v>44298</v>
      </c>
      <c r="AK29" s="53" t="str">
        <f>IFERROR(IF((AL29+1)&lt;2,Alertas!$B$2&amp;TEXT(AL29,"0%")&amp;Alertas!$D$2, IF((AL29+1)=2,Alertas!$B$3,IF((AL29+1)&gt;2,Alertas!$B$4&amp;TEXT(AL29,"0%")&amp;Alertas!$D$4,AL29+1))),"Sin meta para el cuarto trimestre")</f>
        <v>Sin meta para el cuarto trimestre</v>
      </c>
      <c r="AL29" s="54" t="str">
        <f t="shared" si="2"/>
        <v>#VALUE!</v>
      </c>
      <c r="AM29" s="53" t="str">
        <f t="shared" si="3"/>
        <v>Sin meta para el cuarto trimestre.</v>
      </c>
      <c r="AN29" s="55"/>
      <c r="AO29" s="56"/>
      <c r="AP29" s="57"/>
      <c r="AQ29" s="57"/>
      <c r="AR29" s="58"/>
      <c r="AS29" s="59"/>
      <c r="AT29" s="60"/>
      <c r="AU29" s="55"/>
      <c r="AV29" s="56"/>
      <c r="AW29" s="61"/>
      <c r="AX29" s="57"/>
      <c r="AY29" s="62"/>
      <c r="AZ29" s="63"/>
      <c r="BA29" s="64"/>
      <c r="BB29" s="65"/>
      <c r="BC29" s="56"/>
      <c r="BD29" s="61"/>
      <c r="BE29" s="57"/>
      <c r="BF29" s="58"/>
      <c r="BG29" s="63"/>
      <c r="BH29" s="64"/>
      <c r="BI29" s="66"/>
      <c r="BK29" s="21" t="str">
        <f t="shared" si="23"/>
        <v>-</v>
      </c>
      <c r="BM29" s="21"/>
    </row>
    <row r="30" ht="33.75" customHeight="1">
      <c r="A30" s="37"/>
      <c r="B30" s="38">
        <f>IFERROR(__xludf.DUMMYFUNCTION("""COMPUTED_VALUE"""),39.0)</f>
        <v>39</v>
      </c>
      <c r="C30" s="39" t="str">
        <f>IFERROR(__xludf.DUMMYFUNCTION("""COMPUTED_VALUE"""),"Gestión de la administración y fomento")</f>
        <v>Gestión de la administración y fomento</v>
      </c>
      <c r="D30" s="40" t="str">
        <f>IFERROR(__xludf.DUMMYFUNCTION("""COMPUTED_VALUE"""),"Dirección Técnica de Administración y Fomento")</f>
        <v>Dirección Técnica de Administración y Fomento</v>
      </c>
      <c r="E30" s="40" t="str">
        <f>IFERROR(__xludf.DUMMYFUNCTION("""COMPUTED_VALUE"""),"Fortalecimiento de la sostenibilidad del sector pesquero y de la acuicultura en el territorio nacional")</f>
        <v>Fortalecimiento de la sostenibilidad del sector pesquero y de la acuicultura en el territorio nacional</v>
      </c>
      <c r="F30" s="40">
        <f>IFERROR(__xludf.DUMMYFUNCTION("""COMPUTED_VALUE"""),2.01901E12)</f>
        <v>2019010000000</v>
      </c>
      <c r="G30" s="41" t="str">
        <f>IFERROR(__xludf.DUMMYFUNCTION("""COMPUTED_VALUE"""),"Sostenibilidad")</f>
        <v>Sostenibilidad</v>
      </c>
      <c r="H30" s="40" t="str">
        <f>IFERROR(__xludf.DUMMYFUNCTION("""COMPUTED_VALUE"""),"Mejorar las prácticas de pesca y de acuicultura.")</f>
        <v>Mejorar las prácticas de pesca y de acuicultura.</v>
      </c>
      <c r="I30" s="40" t="str">
        <f>IFERROR(__xludf.DUMMYFUNCTION("""COMPUTED_VALUE"""),"Servicios de apoyo al fomento de la pesca y la acuicultura")</f>
        <v>Servicios de apoyo al fomento de la pesca y la acuicultura</v>
      </c>
      <c r="J30" s="40" t="str">
        <f>IFERROR(__xludf.DUMMYFUNCTION("""COMPUTED_VALUE"""),"Generar estrategias de comercialización y consumo responsable de los productos de la pesca y la acuicultura")</f>
        <v>Generar estrategias de comercialización y consumo responsable de los productos de la pesca y la acuicultura</v>
      </c>
      <c r="K30" s="42" t="str">
        <f>IFERROR(__xludf.DUMMYFUNCTION("""COMPUTED_VALUE"""),"Gestión")</f>
        <v>Gestión</v>
      </c>
      <c r="L30" s="42" t="str">
        <f>IFERROR(__xludf.DUMMYFUNCTION("""COMPUTED_VALUE"""),"Efectividad")</f>
        <v>Efectividad</v>
      </c>
      <c r="M30" s="42" t="str">
        <f>IFERROR(__xludf.DUMMYFUNCTION("""COMPUTED_VALUE"""),"Número")</f>
        <v>Número</v>
      </c>
      <c r="N30" s="43" t="str">
        <f>IFERROR(__xludf.DUMMYFUNCTION("""COMPUTED_VALUE"""),"Número de productores con acuerdos comerciales suscritos beneficiados/Número de productores con acuerdos comerciales suscritos programados para beneficiar")</f>
        <v>Número de productores con acuerdos comerciales suscritos beneficiados/Número de productores con acuerdos comerciales suscritos programados para beneficiar</v>
      </c>
      <c r="O30" s="44">
        <f>IFERROR(__xludf.DUMMYFUNCTION("""COMPUTED_VALUE"""),15.0)</f>
        <v>15</v>
      </c>
      <c r="P30" s="45">
        <f>IFERROR(__xludf.DUMMYFUNCTION("""COMPUTED_VALUE"""),5000.0)</f>
        <v>5000</v>
      </c>
      <c r="Q30" s="46" t="str">
        <f>IFERROR(__xludf.DUMMYFUNCTION("""COMPUTED_VALUE"""),"Beneficiar a productores con estrategias de inclusión productiva")</f>
        <v>Beneficiar a productores con estrategias de inclusión productiva</v>
      </c>
      <c r="R30" s="47" t="str">
        <f>IFERROR(__xludf.DUMMYFUNCTION("""COMPUTED_VALUE"""),"Anual")</f>
        <v>Anual</v>
      </c>
      <c r="S30" s="45">
        <f>IFERROR(__xludf.DUMMYFUNCTION("""COMPUTED_VALUE"""),0.0)</f>
        <v>0</v>
      </c>
      <c r="T30" s="45"/>
      <c r="U30" s="45"/>
      <c r="V30" s="45">
        <f>IFERROR(__xludf.DUMMYFUNCTION("""COMPUTED_VALUE"""),5000.0)</f>
        <v>5000</v>
      </c>
      <c r="W30" s="48" t="str">
        <f>IFERROR(__xludf.DUMMYFUNCTION("""COMPUTED_VALUE"""),"DTAF")</f>
        <v>DTAF</v>
      </c>
      <c r="X30" s="49" t="str">
        <f>IFERROR(__xludf.DUMMYFUNCTION("""COMPUTED_VALUE"""),"Jhon Jairo Restrepo")</f>
        <v>Jhon Jairo Restrepo</v>
      </c>
      <c r="Y30" s="39" t="str">
        <f>IFERROR(__xludf.DUMMYFUNCTION("""COMPUTED_VALUE"""),"Director Jhon Jairo Restrepo")</f>
        <v>Director Jhon Jairo Restrepo</v>
      </c>
      <c r="Z30" s="49" t="str">
        <f>IFERROR(__xludf.DUMMYFUNCTION("""COMPUTED_VALUE"""),"jhon.restrepo@aunap.gov.co")</f>
        <v>jhon.restrepo@aunap.gov.co</v>
      </c>
      <c r="AA30" s="39" t="str">
        <f>IFERROR(__xludf.DUMMYFUNCTION("""COMPUTED_VALUE"""),"Humano, físico, financiero, tecnológico")</f>
        <v>Humano, físico, financiero, tecnológico</v>
      </c>
      <c r="AB30" s="39" t="str">
        <f>IFERROR(__xludf.DUMMYFUNCTION("""COMPUTED_VALUE"""),"No asociado")</f>
        <v>No asociado</v>
      </c>
      <c r="AC30" s="39" t="str">
        <f>IFERROR(__xludf.DUMMYFUNCTION("""COMPUTED_VALUE"""),"Propiciar la formalización de la pesca y la acuicultura")</f>
        <v>Propiciar la formalización de la pesca y la acuicultura</v>
      </c>
      <c r="AD30" s="39" t="str">
        <f>IFERROR(__xludf.DUMMYFUNCTION("""COMPUTED_VALUE"""),"Gestión con valores para resultados")</f>
        <v>Gestión con valores para resultados</v>
      </c>
      <c r="AE30" s="39" t="str">
        <f>IFERROR(__xludf.DUMMYFUNCTION("""COMPUTED_VALUE"""),"Fortalecimiento Organizacional y Simplificación de Procesos")</f>
        <v>Fortalecimiento Organizacional y Simplificación de Procesos</v>
      </c>
      <c r="AF30" s="39" t="str">
        <f>IFERROR(__xludf.DUMMYFUNCTION("""COMPUTED_VALUE"""),"12. Producción y consumo responsable")</f>
        <v>12. Producción y consumo responsable</v>
      </c>
      <c r="AG30" s="76" t="str">
        <f>IFERROR(__xludf.DUMMYFUNCTION("""COMPUTED_VALUE"""),"No se reporta para el trimestre 1 ")</f>
        <v>No se reporta para el trimestre 1 </v>
      </c>
      <c r="AH30" s="51" t="str">
        <f>IFERROR(__xludf.DUMMYFUNCTION("""COMPUTED_VALUE"""),"No se reporta para el trimestre 1 ")</f>
        <v>No se reporta para el trimestre 1 </v>
      </c>
      <c r="AI30" s="51" t="str">
        <f>IFERROR(__xludf.DUMMYFUNCTION("""COMPUTED_VALUE"""),"No se reporta para el trimestre 1 ")</f>
        <v>No se reporta para el trimestre 1 </v>
      </c>
      <c r="AJ30" s="52">
        <f>IFERROR(__xludf.DUMMYFUNCTION("""COMPUTED_VALUE"""),44298.0)</f>
        <v>44298</v>
      </c>
      <c r="AK30" s="53" t="str">
        <f>IFERROR(IF((AL30+1)&lt;2,Alertas!$B$2&amp;TEXT(AL30,"0%")&amp;Alertas!$D$2, IF((AL30+1)=2,Alertas!$B$3,IF((AL30+1)&gt;2,Alertas!$B$4&amp;TEXT(AL30,"0%")&amp;Alertas!$D$4,AL30+1))),"Sin meta para el cuarto trimestre")</f>
        <v>Sin meta para el cuarto trimestre</v>
      </c>
      <c r="AL30" s="54" t="str">
        <f t="shared" si="2"/>
        <v>#VALUE!</v>
      </c>
      <c r="AM30" s="53" t="str">
        <f t="shared" si="3"/>
        <v>Sin meta para el cuarto trimestre.</v>
      </c>
      <c r="AN30" s="55"/>
      <c r="AO30" s="56"/>
      <c r="AP30" s="57"/>
      <c r="AQ30" s="57"/>
      <c r="AR30" s="58"/>
      <c r="AS30" s="59"/>
      <c r="AT30" s="60"/>
      <c r="AU30" s="55"/>
      <c r="AV30" s="56"/>
      <c r="AW30" s="61"/>
      <c r="AX30" s="57"/>
      <c r="AY30" s="62"/>
      <c r="AZ30" s="63"/>
      <c r="BA30" s="64"/>
      <c r="BB30" s="65"/>
      <c r="BC30" s="56"/>
      <c r="BD30" s="61"/>
      <c r="BE30" s="57"/>
      <c r="BF30" s="58"/>
      <c r="BG30" s="63"/>
      <c r="BH30" s="64"/>
      <c r="BI30" s="66"/>
      <c r="BK30" s="21" t="str">
        <f t="shared" si="23"/>
        <v>-</v>
      </c>
      <c r="BM30" s="21"/>
    </row>
    <row r="31" ht="33.75" customHeight="1">
      <c r="A31" s="37"/>
      <c r="B31" s="38">
        <f>IFERROR(__xludf.DUMMYFUNCTION("""COMPUTED_VALUE"""),40.0)</f>
        <v>40</v>
      </c>
      <c r="C31" s="39" t="str">
        <f>IFERROR(__xludf.DUMMYFUNCTION("""COMPUTED_VALUE"""),"Gestión de la administración y fomento")</f>
        <v>Gestión de la administración y fomento</v>
      </c>
      <c r="D31" s="40" t="str">
        <f>IFERROR(__xludf.DUMMYFUNCTION("""COMPUTED_VALUE"""),"Dirección Técnica de Administración y Fomento")</f>
        <v>Dirección Técnica de Administración y Fomento</v>
      </c>
      <c r="E31" s="40" t="str">
        <f>IFERROR(__xludf.DUMMYFUNCTION("""COMPUTED_VALUE"""),"Fortalecimiento de la sostenibilidad del sector pesquero y de la acuicultura en el territorio nacional")</f>
        <v>Fortalecimiento de la sostenibilidad del sector pesquero y de la acuicultura en el territorio nacional</v>
      </c>
      <c r="F31" s="40">
        <f>IFERROR(__xludf.DUMMYFUNCTION("""COMPUTED_VALUE"""),2.01901E12)</f>
        <v>2019010000000</v>
      </c>
      <c r="G31" s="41" t="str">
        <f>IFERROR(__xludf.DUMMYFUNCTION("""COMPUTED_VALUE"""),"Sostenibilidad")</f>
        <v>Sostenibilidad</v>
      </c>
      <c r="H31" s="40" t="str">
        <f>IFERROR(__xludf.DUMMYFUNCTION("""COMPUTED_VALUE"""),"Mejorar la explotación de los recursos pesqueros y de la acuicultura.")</f>
        <v>Mejorar la explotación de los recursos pesqueros y de la acuicultura.</v>
      </c>
      <c r="I31" s="40" t="str">
        <f>IFERROR(__xludf.DUMMYFUNCTION("""COMPUTED_VALUE"""),"Servicios de administración de los recurso pesqueros y de la acuicultura")</f>
        <v>Servicios de administración de los recurso pesqueros y de la acuicultura</v>
      </c>
      <c r="J31" s="40" t="str">
        <f>IFERROR(__xludf.DUMMYFUNCTION("""COMPUTED_VALUE"""),"Regular el manejo y el ejercicio de la actividad pesquera y de la acuicultura.")</f>
        <v>Regular el manejo y el ejercicio de la actividad pesquera y de la acuicultura.</v>
      </c>
      <c r="K31" s="42" t="str">
        <f>IFERROR(__xludf.DUMMYFUNCTION("""COMPUTED_VALUE"""),"Producto")</f>
        <v>Producto</v>
      </c>
      <c r="L31" s="42" t="str">
        <f>IFERROR(__xludf.DUMMYFUNCTION("""COMPUTED_VALUE"""),"Eficacia")</f>
        <v>Eficacia</v>
      </c>
      <c r="M31" s="42" t="str">
        <f>IFERROR(__xludf.DUMMYFUNCTION("""COMPUTED_VALUE"""),"Número")</f>
        <v>Número</v>
      </c>
      <c r="N31" s="43" t="str">
        <f>IFERROR(__xludf.DUMMYFUNCTION("""COMPUTED_VALUE"""),"Actos Administrativos de caracter general publicados y comunicados")</f>
        <v>Actos Administrativos de caracter general publicados y comunicados</v>
      </c>
      <c r="O31" s="44">
        <f>IFERROR(__xludf.DUMMYFUNCTION("""COMPUTED_VALUE"""),-7140.0)</f>
        <v>-7140</v>
      </c>
      <c r="P31" s="45">
        <f>IFERROR(__xludf.DUMMYFUNCTION("""COMPUTED_VALUE"""),15.0)</f>
        <v>15</v>
      </c>
      <c r="Q31" s="46" t="str">
        <f>IFERROR(__xludf.DUMMYFUNCTION("""COMPUTED_VALUE"""),"Expedir actos administrativos de caracter general publicados y comunicados")</f>
        <v>Expedir actos administrativos de caracter general publicados y comunicados</v>
      </c>
      <c r="R31" s="47" t="str">
        <f>IFERROR(__xludf.DUMMYFUNCTION("""COMPUTED_VALUE"""),"Semestral")</f>
        <v>Semestral</v>
      </c>
      <c r="S31" s="45">
        <f>IFERROR(__xludf.DUMMYFUNCTION("""COMPUTED_VALUE"""),0.0)</f>
        <v>0</v>
      </c>
      <c r="T31" s="45">
        <f>IFERROR(__xludf.DUMMYFUNCTION("""COMPUTED_VALUE"""),7.0)</f>
        <v>7</v>
      </c>
      <c r="U31" s="45"/>
      <c r="V31" s="45">
        <f>IFERROR(__xludf.DUMMYFUNCTION("""COMPUTED_VALUE"""),8.0)</f>
        <v>8</v>
      </c>
      <c r="W31" s="48" t="str">
        <f>IFERROR(__xludf.DUMMYFUNCTION("""COMPUTED_VALUE"""),"DTAF")</f>
        <v>DTAF</v>
      </c>
      <c r="X31" s="49" t="str">
        <f>IFERROR(__xludf.DUMMYFUNCTION("""COMPUTED_VALUE"""),"Jhon Jairo Restrepo")</f>
        <v>Jhon Jairo Restrepo</v>
      </c>
      <c r="Y31" s="39" t="str">
        <f>IFERROR(__xludf.DUMMYFUNCTION("""COMPUTED_VALUE"""),"Director Jhon Jairo Restrepo")</f>
        <v>Director Jhon Jairo Restrepo</v>
      </c>
      <c r="Z31" s="49" t="str">
        <f>IFERROR(__xludf.DUMMYFUNCTION("""COMPUTED_VALUE"""),"jhon.restrepo@aunap.gov.co")</f>
        <v>jhon.restrepo@aunap.gov.co</v>
      </c>
      <c r="AA31" s="39" t="str">
        <f>IFERROR(__xludf.DUMMYFUNCTION("""COMPUTED_VALUE"""),"Humano, físico, financiero, tecnológico")</f>
        <v>Humano, físico, financiero, tecnológico</v>
      </c>
      <c r="AB31" s="39" t="str">
        <f>IFERROR(__xludf.DUMMYFUNCTION("""COMPUTED_VALUE"""),"No asociado")</f>
        <v>No asociado</v>
      </c>
      <c r="AC31" s="39" t="str">
        <f>IFERROR(__xludf.DUMMYFUNCTION("""COMPUTED_VALUE"""),"Propiciar la formalización de la pesca y la acuicultura")</f>
        <v>Propiciar la formalización de la pesca y la acuicultura</v>
      </c>
      <c r="AD31" s="39" t="str">
        <f>IFERROR(__xludf.DUMMYFUNCTION("""COMPUTED_VALUE"""),"Gestión con valores para resultados")</f>
        <v>Gestión con valores para resultados</v>
      </c>
      <c r="AE31" s="39" t="str">
        <f>IFERROR(__xludf.DUMMYFUNCTION("""COMPUTED_VALUE"""),"Fortalecimiento Organizacional y Simplificación de Procesos")</f>
        <v>Fortalecimiento Organizacional y Simplificación de Procesos</v>
      </c>
      <c r="AF31" s="39" t="str">
        <f>IFERROR(__xludf.DUMMYFUNCTION("""COMPUTED_VALUE"""),"12. Producción y consumo responsable")</f>
        <v>12. Producción y consumo responsable</v>
      </c>
      <c r="AG31" s="78" t="str">
        <f>IFERROR(__xludf.DUMMYFUNCTION("""COMPUTED_VALUE"""),"No se reporta para el trimestre 1 ")</f>
        <v>No se reporta para el trimestre 1 </v>
      </c>
      <c r="AH31" s="51" t="str">
        <f>IFERROR(__xludf.DUMMYFUNCTION("""COMPUTED_VALUE"""),"No se reporta para el trimestre 1 ")</f>
        <v>No se reporta para el trimestre 1 </v>
      </c>
      <c r="AI31" s="51" t="str">
        <f>IFERROR(__xludf.DUMMYFUNCTION("""COMPUTED_VALUE"""),"No se reporta para el trimestre 1 ")</f>
        <v>No se reporta para el trimestre 1 </v>
      </c>
      <c r="AJ31" s="52">
        <f>IFERROR(__xludf.DUMMYFUNCTION("""COMPUTED_VALUE"""),44298.0)</f>
        <v>44298</v>
      </c>
      <c r="AK31" s="53" t="str">
        <f>IFERROR(IF((AL31+1)&lt;2,Alertas!$B$2&amp;TEXT(AL31,"0%")&amp;Alertas!$D$2, IF((AL31+1)=2,Alertas!$B$3,IF((AL31+1)&gt;2,Alertas!$B$4&amp;TEXT(AL31,"0%")&amp;Alertas!$D$4,AL31+1))),"Sin meta para el cuarto trimestre")</f>
        <v>Sin meta para el cuarto trimestre</v>
      </c>
      <c r="AL31" s="54" t="str">
        <f t="shared" si="2"/>
        <v>#VALUE!</v>
      </c>
      <c r="AM31" s="53" t="str">
        <f t="shared" si="3"/>
        <v>Sin meta para el cuarto trimestre.</v>
      </c>
      <c r="AN31" s="55"/>
      <c r="AO31" s="56"/>
      <c r="AP31" s="57"/>
      <c r="AQ31" s="57"/>
      <c r="AR31" s="58"/>
      <c r="AS31" s="59"/>
      <c r="AT31" s="60"/>
      <c r="AU31" s="55"/>
      <c r="AV31" s="56"/>
      <c r="AW31" s="61"/>
      <c r="AX31" s="57"/>
      <c r="AY31" s="62"/>
      <c r="AZ31" s="63"/>
      <c r="BA31" s="64"/>
      <c r="BB31" s="65"/>
      <c r="BC31" s="56"/>
      <c r="BD31" s="61"/>
      <c r="BE31" s="57"/>
      <c r="BF31" s="58"/>
      <c r="BG31" s="63"/>
      <c r="BH31" s="64"/>
      <c r="BI31" s="66"/>
      <c r="BK31" s="21" t="str">
        <f t="shared" si="23"/>
        <v>-</v>
      </c>
      <c r="BM31" s="21"/>
    </row>
    <row r="32" ht="33.75" customHeight="1">
      <c r="A32" s="37"/>
      <c r="B32" s="38">
        <f>IFERROR(__xludf.DUMMYFUNCTION("""COMPUTED_VALUE"""),41.0)</f>
        <v>41</v>
      </c>
      <c r="C32" s="39" t="str">
        <f>IFERROR(__xludf.DUMMYFUNCTION("""COMPUTED_VALUE"""),"Gestión de la administración y fomento")</f>
        <v>Gestión de la administración y fomento</v>
      </c>
      <c r="D32" s="40" t="str">
        <f>IFERROR(__xludf.DUMMYFUNCTION("""COMPUTED_VALUE"""),"Dirección Técnica de Administración y Fomento")</f>
        <v>Dirección Técnica de Administración y Fomento</v>
      </c>
      <c r="E32" s="40" t="str">
        <f>IFERROR(__xludf.DUMMYFUNCTION("""COMPUTED_VALUE"""),"Fortalecimiento de la sostenibilidad del sector pesquero y de la acuicultura en el territorio nacional")</f>
        <v>Fortalecimiento de la sostenibilidad del sector pesquero y de la acuicultura en el territorio nacional</v>
      </c>
      <c r="F32" s="40">
        <f>IFERROR(__xludf.DUMMYFUNCTION("""COMPUTED_VALUE"""),2.01901E12)</f>
        <v>2019010000000</v>
      </c>
      <c r="G32" s="41" t="str">
        <f>IFERROR(__xludf.DUMMYFUNCTION("""COMPUTED_VALUE"""),"Sostenibilidad")</f>
        <v>Sostenibilidad</v>
      </c>
      <c r="H32" s="40" t="str">
        <f>IFERROR(__xludf.DUMMYFUNCTION("""COMPUTED_VALUE"""),"Mejorar las prácticas de pesca y de acuicultura.")</f>
        <v>Mejorar las prácticas de pesca y de acuicultura.</v>
      </c>
      <c r="I32" s="40" t="str">
        <f>IFERROR(__xludf.DUMMYFUNCTION("""COMPUTED_VALUE"""),"Servicios de apoyo al fomento de la pesca y la acuicultura")</f>
        <v>Servicios de apoyo al fomento de la pesca y la acuicultura</v>
      </c>
      <c r="J32" s="40" t="str">
        <f>IFERROR(__xludf.DUMMYFUNCTION("""COMPUTED_VALUE"""),"Generar acciones de fomento para la pesca, la acuicultura y sus actividades conexas.")</f>
        <v>Generar acciones de fomento para la pesca, la acuicultura y sus actividades conexas.</v>
      </c>
      <c r="K32" s="42" t="str">
        <f>IFERROR(__xludf.DUMMYFUNCTION("""COMPUTED_VALUE"""),"Gestión")</f>
        <v>Gestión</v>
      </c>
      <c r="L32" s="42" t="str">
        <f>IFERROR(__xludf.DUMMYFUNCTION("""COMPUTED_VALUE"""),"Efectividad")</f>
        <v>Efectividad</v>
      </c>
      <c r="M32" s="42" t="str">
        <f>IFERROR(__xludf.DUMMYFUNCTION("""COMPUTED_VALUE"""),"Número")</f>
        <v>Número</v>
      </c>
      <c r="N32" s="43" t="str">
        <f>IFERROR(__xludf.DUMMYFUNCTION("""COMPUTED_VALUE"""),"Número de reportes realizados/Número de reporte programado")</f>
        <v>Número de reportes realizados/Número de reporte programado</v>
      </c>
      <c r="O32" s="44">
        <f>IFERROR(__xludf.DUMMYFUNCTION("""COMPUTED_VALUE"""),15.0)</f>
        <v>15</v>
      </c>
      <c r="P32" s="45">
        <f>IFERROR(__xludf.DUMMYFUNCTION("""COMPUTED_VALUE"""),6.0)</f>
        <v>6</v>
      </c>
      <c r="Q32" s="46" t="str">
        <f>IFERROR(__xludf.DUMMYFUNCTION("""COMPUTED_VALUE"""),"Reportar información relacionada con las acciones de administración, ordenación y fomento de la pesca")</f>
        <v>Reportar información relacionada con las acciones de administración, ordenación y fomento de la pesca</v>
      </c>
      <c r="R32" s="47" t="str">
        <f>IFERROR(__xludf.DUMMYFUNCTION("""COMPUTED_VALUE"""),"Trimestral")</f>
        <v>Trimestral</v>
      </c>
      <c r="S32" s="45">
        <f>IFERROR(__xludf.DUMMYFUNCTION("""COMPUTED_VALUE"""),1.0)</f>
        <v>1</v>
      </c>
      <c r="T32" s="45">
        <f>IFERROR(__xludf.DUMMYFUNCTION("""COMPUTED_VALUE"""),1.0)</f>
        <v>1</v>
      </c>
      <c r="U32" s="45">
        <f>IFERROR(__xludf.DUMMYFUNCTION("""COMPUTED_VALUE"""),2.0)</f>
        <v>2</v>
      </c>
      <c r="V32" s="45">
        <f>IFERROR(__xludf.DUMMYFUNCTION("""COMPUTED_VALUE"""),2.0)</f>
        <v>2</v>
      </c>
      <c r="W32" s="48" t="str">
        <f>IFERROR(__xludf.DUMMYFUNCTION("""COMPUTED_VALUE"""),"DTAF")</f>
        <v>DTAF</v>
      </c>
      <c r="X32" s="49" t="str">
        <f>IFERROR(__xludf.DUMMYFUNCTION("""COMPUTED_VALUE"""),"Jhon Jairo Restrepo")</f>
        <v>Jhon Jairo Restrepo</v>
      </c>
      <c r="Y32" s="39" t="str">
        <f>IFERROR(__xludf.DUMMYFUNCTION("""COMPUTED_VALUE"""),"Director Jhon Jairo Restrepo")</f>
        <v>Director Jhon Jairo Restrepo</v>
      </c>
      <c r="Z32" s="49" t="str">
        <f>IFERROR(__xludf.DUMMYFUNCTION("""COMPUTED_VALUE"""),"jhon.restrepo@aunap.gov.co")</f>
        <v>jhon.restrepo@aunap.gov.co</v>
      </c>
      <c r="AA32" s="39" t="str">
        <f>IFERROR(__xludf.DUMMYFUNCTION("""COMPUTED_VALUE"""),"Humano, físico, financiero, tecnológico")</f>
        <v>Humano, físico, financiero, tecnológico</v>
      </c>
      <c r="AB32" s="39" t="str">
        <f>IFERROR(__xludf.DUMMYFUNCTION("""COMPUTED_VALUE"""),"No asociado")</f>
        <v>No asociado</v>
      </c>
      <c r="AC32" s="39" t="str">
        <f>IFERROR(__xludf.DUMMYFUNCTION("""COMPUTED_VALUE"""),"Propiciar la formalización de la pesca y la acuicultura")</f>
        <v>Propiciar la formalización de la pesca y la acuicultura</v>
      </c>
      <c r="AD32" s="39" t="str">
        <f>IFERROR(__xludf.DUMMYFUNCTION("""COMPUTED_VALUE"""),"Gestión con valores para resultados")</f>
        <v>Gestión con valores para resultados</v>
      </c>
      <c r="AE32" s="39" t="str">
        <f>IFERROR(__xludf.DUMMYFUNCTION("""COMPUTED_VALUE"""),"Fortalecimiento Organizacional y Simplificación de Procesos")</f>
        <v>Fortalecimiento Organizacional y Simplificación de Procesos</v>
      </c>
      <c r="AF32" s="39" t="str">
        <f>IFERROR(__xludf.DUMMYFUNCTION("""COMPUTED_VALUE"""),"12. Producción y consumo responsable")</f>
        <v>12. Producción y consumo responsable</v>
      </c>
      <c r="AG32" s="76">
        <f>IFERROR(__xludf.DUMMYFUNCTION("""COMPUTED_VALUE"""),1.0)</f>
        <v>1</v>
      </c>
      <c r="AH32" s="51" t="str">
        <f>IFERROR(__xludf.DUMMYFUNCTION("""COMPUTED_VALUE"""),"Se reporta información relacionada con las acciones de administración relacionada con tramites realizado en un instagram live el 22 de febrero de 2021 ")</f>
        <v>Se reporta información relacionada con las acciones de administración relacionada con tramites realizado en un instagram live el 22 de febrero de 2021 </v>
      </c>
      <c r="AI32" s="72" t="str">
        <f>IFERROR(__xludf.DUMMYFUNCTION("""COMPUTED_VALUE"""),"https://drive.google.com/drive/folders/11Pc94eKGXRO6tHbn1Gl9tjhrmlVNlrDP?usp=sharing")</f>
        <v>https://drive.google.com/drive/folders/11Pc94eKGXRO6tHbn1Gl9tjhrmlVNlrDP?usp=sharing</v>
      </c>
      <c r="AJ32" s="52">
        <f>IFERROR(__xludf.DUMMYFUNCTION("""COMPUTED_VALUE"""),44298.0)</f>
        <v>44298</v>
      </c>
      <c r="AK32" s="53" t="str">
        <f>IFERROR(IF((AL32+1)&lt;2,Alertas!$B$2&amp;TEXT(AL32,"0%")&amp;Alertas!$D$2, IF((AL32+1)=2,Alertas!$B$3,IF((AL32+1)&gt;2,Alertas!$B$4&amp;TEXT(AL32,"0%")&amp;Alertas!$D$4,AL32+1))),"Sin meta para el cuarto trimestre")</f>
        <v>La ejecución de la meta registrada se encuentra por debajo de la meta programada en la formulación del plan de acción para el cuarto trimestre, su porcentaje de cumplimiento es 50%, lo cual indica un incumplimiento que puede ser entendido por los entes de control como falencias en el proceso de planeación. se recomienda tomar este antecedente como insumo para disminuir la meta en la próxima vigencia</v>
      </c>
      <c r="AL32" s="54">
        <f t="shared" si="2"/>
        <v>0.5</v>
      </c>
      <c r="AM32" s="53" t="str">
        <f t="shared" si="3"/>
        <v>La ejecución de la meta registrada se encuentra por debajo de la meta programada en la formulación del plan de acción para el cuarto trimestre, su porcentaje de cumplimiento es 50%, lo cual indica un incumplimiento que puede ser entendido por los entes de control como falencias en el proceso de planeación. se recomienda tomar este antecedente como insumo para disminuir la meta en la próxima vigencia.</v>
      </c>
      <c r="AN32" s="55"/>
      <c r="AO32" s="56"/>
      <c r="AP32" s="57"/>
      <c r="AQ32" s="57"/>
      <c r="AR32" s="58"/>
      <c r="AS32" s="59"/>
      <c r="AT32" s="60"/>
      <c r="AU32" s="55"/>
      <c r="AV32" s="56"/>
      <c r="AW32" s="61"/>
      <c r="AX32" s="57"/>
      <c r="AY32" s="62"/>
      <c r="AZ32" s="63"/>
      <c r="BA32" s="64"/>
      <c r="BB32" s="65"/>
      <c r="BC32" s="56"/>
      <c r="BD32" s="61"/>
      <c r="BE32" s="57"/>
      <c r="BF32" s="58"/>
      <c r="BG32" s="63"/>
      <c r="BH32" s="64"/>
      <c r="BI32" s="66"/>
      <c r="BK32" s="21" t="str">
        <f t="shared" si="23"/>
        <v>-1</v>
      </c>
      <c r="BM32" s="21"/>
    </row>
    <row r="33" ht="33.75" customHeight="1">
      <c r="A33" s="37"/>
      <c r="B33" s="38">
        <f>IFERROR(__xludf.DUMMYFUNCTION("""COMPUTED_VALUE"""),42.0)</f>
        <v>42</v>
      </c>
      <c r="C33" s="39" t="str">
        <f>IFERROR(__xludf.DUMMYFUNCTION("""COMPUTED_VALUE"""),"Gestión de la administración y fomento")</f>
        <v>Gestión de la administración y fomento</v>
      </c>
      <c r="D33" s="40" t="str">
        <f>IFERROR(__xludf.DUMMYFUNCTION("""COMPUTED_VALUE"""),"Dirección Técnica de Administración y Fomento")</f>
        <v>Dirección Técnica de Administración y Fomento</v>
      </c>
      <c r="E33" s="40" t="str">
        <f>IFERROR(__xludf.DUMMYFUNCTION("""COMPUTED_VALUE"""),"Fortalecimiento de la sostenibilidad del sector pesquero y de la acuicultura en el territorio nacional")</f>
        <v>Fortalecimiento de la sostenibilidad del sector pesquero y de la acuicultura en el territorio nacional</v>
      </c>
      <c r="F33" s="40">
        <f>IFERROR(__xludf.DUMMYFUNCTION("""COMPUTED_VALUE"""),2.01901E12)</f>
        <v>2019010000000</v>
      </c>
      <c r="G33" s="41" t="str">
        <f>IFERROR(__xludf.DUMMYFUNCTION("""COMPUTED_VALUE"""),"Sostenibilidad")</f>
        <v>Sostenibilidad</v>
      </c>
      <c r="H33" s="40" t="str">
        <f>IFERROR(__xludf.DUMMYFUNCTION("""COMPUTED_VALUE"""),"Mejorar la explotación de los recursos pesqueros y de la acuicultura.")</f>
        <v>Mejorar la explotación de los recursos pesqueros y de la acuicultura.</v>
      </c>
      <c r="I33" s="40" t="str">
        <f>IFERROR(__xludf.DUMMYFUNCTION("""COMPUTED_VALUE"""),"Servicios de administración de los recurso pesqueros y de la acuicultura")</f>
        <v>Servicios de administración de los recurso pesqueros y de la acuicultura</v>
      </c>
      <c r="J33" s="40" t="str">
        <f>IFERROR(__xludf.DUMMYFUNCTION("""COMPUTED_VALUE"""),"Regular el manejo y el ejercicio de la actividad pesquera y de la acuicultura.")</f>
        <v>Regular el manejo y el ejercicio de la actividad pesquera y de la acuicultura.</v>
      </c>
      <c r="K33" s="42" t="str">
        <f>IFERROR(__xludf.DUMMYFUNCTION("""COMPUTED_VALUE"""),"Gestión")</f>
        <v>Gestión</v>
      </c>
      <c r="L33" s="42" t="str">
        <f>IFERROR(__xludf.DUMMYFUNCTION("""COMPUTED_VALUE"""),"Efectividad")</f>
        <v>Efectividad</v>
      </c>
      <c r="M33" s="42" t="str">
        <f>IFERROR(__xludf.DUMMYFUNCTION("""COMPUTED_VALUE"""),"Número")</f>
        <v>Número</v>
      </c>
      <c r="N33" s="43" t="str">
        <f>IFERROR(__xludf.DUMMYFUNCTION("""COMPUTED_VALUE"""),"Número de carnés de pescadores artesanales expedidos /Número de carnés de pescadores artesanales programados")</f>
        <v>Número de carnés de pescadores artesanales expedidos /Número de carnés de pescadores artesanales programados</v>
      </c>
      <c r="O33" s="44">
        <f>IFERROR(__xludf.DUMMYFUNCTION("""COMPUTED_VALUE"""),15.0)</f>
        <v>15</v>
      </c>
      <c r="P33" s="45">
        <f>IFERROR(__xludf.DUMMYFUNCTION("""COMPUTED_VALUE"""),7000.0)</f>
        <v>7000</v>
      </c>
      <c r="Q33" s="46" t="str">
        <f>IFERROR(__xludf.DUMMYFUNCTION("""COMPUTED_VALUE"""),"Formalizar pescadores artesanales.")</f>
        <v>Formalizar pescadores artesanales.</v>
      </c>
      <c r="R33" s="47" t="str">
        <f>IFERROR(__xludf.DUMMYFUNCTION("""COMPUTED_VALUE"""),"Anual")</f>
        <v>Anual</v>
      </c>
      <c r="S33" s="45">
        <f>IFERROR(__xludf.DUMMYFUNCTION("""COMPUTED_VALUE"""),0.0)</f>
        <v>0</v>
      </c>
      <c r="T33" s="45"/>
      <c r="U33" s="45"/>
      <c r="V33" s="45">
        <f>IFERROR(__xludf.DUMMYFUNCTION("""COMPUTED_VALUE"""),7000.0)</f>
        <v>7000</v>
      </c>
      <c r="W33" s="48" t="str">
        <f>IFERROR(__xludf.DUMMYFUNCTION("""COMPUTED_VALUE"""),"DTAF")</f>
        <v>DTAF</v>
      </c>
      <c r="X33" s="49" t="str">
        <f>IFERROR(__xludf.DUMMYFUNCTION("""COMPUTED_VALUE"""),"Jhon Jairo Restrepo")</f>
        <v>Jhon Jairo Restrepo</v>
      </c>
      <c r="Y33" s="39" t="str">
        <f>IFERROR(__xludf.DUMMYFUNCTION("""COMPUTED_VALUE"""),"Director Jhon Jairo Restrepo")</f>
        <v>Director Jhon Jairo Restrepo</v>
      </c>
      <c r="Z33" s="49" t="str">
        <f>IFERROR(__xludf.DUMMYFUNCTION("""COMPUTED_VALUE"""),"jhon.restrepo@aunap.gov.co")</f>
        <v>jhon.restrepo@aunap.gov.co</v>
      </c>
      <c r="AA33" s="39" t="str">
        <f>IFERROR(__xludf.DUMMYFUNCTION("""COMPUTED_VALUE"""),"Humano, físico, financiero, tecnológico")</f>
        <v>Humano, físico, financiero, tecnológico</v>
      </c>
      <c r="AB33" s="39" t="str">
        <f>IFERROR(__xludf.DUMMYFUNCTION("""COMPUTED_VALUE"""),"No asociado")</f>
        <v>No asociado</v>
      </c>
      <c r="AC33" s="39" t="str">
        <f>IFERROR(__xludf.DUMMYFUNCTION("""COMPUTED_VALUE"""),"Propiciar la formalización de la pesca y la acuicultura")</f>
        <v>Propiciar la formalización de la pesca y la acuicultura</v>
      </c>
      <c r="AD33" s="39" t="str">
        <f>IFERROR(__xludf.DUMMYFUNCTION("""COMPUTED_VALUE"""),"Gestión con valores para resultados")</f>
        <v>Gestión con valores para resultados</v>
      </c>
      <c r="AE33" s="39" t="str">
        <f>IFERROR(__xludf.DUMMYFUNCTION("""COMPUTED_VALUE"""),"Fortalecimiento Organizacional y Simplificación de Procesos")</f>
        <v>Fortalecimiento Organizacional y Simplificación de Procesos</v>
      </c>
      <c r="AF33" s="39" t="str">
        <f>IFERROR(__xludf.DUMMYFUNCTION("""COMPUTED_VALUE"""),"12. Producción y consumo responsable")</f>
        <v>12. Producción y consumo responsable</v>
      </c>
      <c r="AG33" s="78" t="str">
        <f>IFERROR(__xludf.DUMMYFUNCTION("""COMPUTED_VALUE"""),"No se reporta para el trimestre 1 ")</f>
        <v>No se reporta para el trimestre 1 </v>
      </c>
      <c r="AH33" s="51" t="str">
        <f>IFERROR(__xludf.DUMMYFUNCTION("""COMPUTED_VALUE"""),"No se reporta para el trimestre 1 ")</f>
        <v>No se reporta para el trimestre 1 </v>
      </c>
      <c r="AI33" s="51" t="str">
        <f>IFERROR(__xludf.DUMMYFUNCTION("""COMPUTED_VALUE"""),"No se reporta para el trimestre 1 ")</f>
        <v>No se reporta para el trimestre 1 </v>
      </c>
      <c r="AJ33" s="52">
        <f>IFERROR(__xludf.DUMMYFUNCTION("""COMPUTED_VALUE"""),44298.0)</f>
        <v>44298</v>
      </c>
      <c r="AK33" s="53" t="str">
        <f>IFERROR(IF((AL33+1)&lt;2,Alertas!$B$2&amp;TEXT(AL33,"0%")&amp;Alertas!$D$2, IF((AL33+1)=2,Alertas!$B$3,IF((AL33+1)&gt;2,Alertas!$B$4&amp;TEXT(AL33,"0%")&amp;Alertas!$D$4,AL33+1))),"Sin meta para el cuarto trimestre")</f>
        <v>Sin meta para el cuarto trimestre</v>
      </c>
      <c r="AL33" s="54" t="str">
        <f t="shared" si="2"/>
        <v>#VALUE!</v>
      </c>
      <c r="AM33" s="53" t="str">
        <f t="shared" si="3"/>
        <v>Sin meta para el cuarto trimestre.</v>
      </c>
      <c r="AN33" s="55"/>
      <c r="AO33" s="56"/>
      <c r="AP33" s="57"/>
      <c r="AQ33" s="57"/>
      <c r="AR33" s="58"/>
      <c r="AS33" s="59"/>
      <c r="AT33" s="60"/>
      <c r="AU33" s="55"/>
      <c r="AV33" s="56"/>
      <c r="AW33" s="61"/>
      <c r="AX33" s="57"/>
      <c r="AY33" s="62"/>
      <c r="AZ33" s="63"/>
      <c r="BA33" s="64"/>
      <c r="BB33" s="65"/>
      <c r="BC33" s="56"/>
      <c r="BD33" s="61"/>
      <c r="BE33" s="57"/>
      <c r="BF33" s="58"/>
      <c r="BG33" s="63"/>
      <c r="BH33" s="64"/>
      <c r="BI33" s="66"/>
      <c r="BK33" s="21" t="str">
        <f t="shared" si="23"/>
        <v>-</v>
      </c>
      <c r="BM33" s="21"/>
    </row>
    <row r="34" ht="33.75" customHeight="1">
      <c r="A34" s="37"/>
      <c r="B34" s="38">
        <f>IFERROR(__xludf.DUMMYFUNCTION("""COMPUTED_VALUE"""),43.0)</f>
        <v>43</v>
      </c>
      <c r="C34" s="39" t="str">
        <f>IFERROR(__xludf.DUMMYFUNCTION("""COMPUTED_VALUE"""),"Gestión de la administración y fomento")</f>
        <v>Gestión de la administración y fomento</v>
      </c>
      <c r="D34" s="40" t="str">
        <f>IFERROR(__xludf.DUMMYFUNCTION("""COMPUTED_VALUE"""),"Dirección Técnica de Administración y Fomento")</f>
        <v>Dirección Técnica de Administración y Fomento</v>
      </c>
      <c r="E34" s="40" t="str">
        <f>IFERROR(__xludf.DUMMYFUNCTION("""COMPUTED_VALUE"""),"Fortalecimiento de la sostenibilidad del sector pesquero y de la acuicultura en el territorio nacional")</f>
        <v>Fortalecimiento de la sostenibilidad del sector pesquero y de la acuicultura en el territorio nacional</v>
      </c>
      <c r="F34" s="40">
        <f>IFERROR(__xludf.DUMMYFUNCTION("""COMPUTED_VALUE"""),2.01901E12)</f>
        <v>2019010000000</v>
      </c>
      <c r="G34" s="41" t="str">
        <f>IFERROR(__xludf.DUMMYFUNCTION("""COMPUTED_VALUE"""),"Sostenibilidad")</f>
        <v>Sostenibilidad</v>
      </c>
      <c r="H34" s="40" t="str">
        <f>IFERROR(__xludf.DUMMYFUNCTION("""COMPUTED_VALUE"""),"Mejorar la explotación de los recursos pesqueros y de la acuicultura.")</f>
        <v>Mejorar la explotación de los recursos pesqueros y de la acuicultura.</v>
      </c>
      <c r="I34" s="40" t="str">
        <f>IFERROR(__xludf.DUMMYFUNCTION("""COMPUTED_VALUE"""),"Servicios de administración de los recurso pesqueros y de la acuicultura")</f>
        <v>Servicios de administración de los recurso pesqueros y de la acuicultura</v>
      </c>
      <c r="J34" s="40" t="str">
        <f>IFERROR(__xludf.DUMMYFUNCTION("""COMPUTED_VALUE"""),"Realizar acciones de divulgación y formalización de la actividad pesquera y de la acuicultura.")</f>
        <v>Realizar acciones de divulgación y formalización de la actividad pesquera y de la acuicultura.</v>
      </c>
      <c r="K34" s="42" t="str">
        <f>IFERROR(__xludf.DUMMYFUNCTION("""COMPUTED_VALUE"""),"Gestión")</f>
        <v>Gestión</v>
      </c>
      <c r="L34" s="42" t="str">
        <f>IFERROR(__xludf.DUMMYFUNCTION("""COMPUTED_VALUE"""),"Efectividad")</f>
        <v>Efectividad</v>
      </c>
      <c r="M34" s="42" t="str">
        <f>IFERROR(__xludf.DUMMYFUNCTION("""COMPUTED_VALUE"""),"Número")</f>
        <v>Número</v>
      </c>
      <c r="N34" s="43" t="str">
        <f>IFERROR(__xludf.DUMMYFUNCTION("""COMPUTED_VALUE"""),"Número de congresos de pescadores realizados/Número de congresos de pescadores programados")</f>
        <v>Número de congresos de pescadores realizados/Número de congresos de pescadores programados</v>
      </c>
      <c r="O34" s="44">
        <f>IFERROR(__xludf.DUMMYFUNCTION("""COMPUTED_VALUE"""),15.0)</f>
        <v>15</v>
      </c>
      <c r="P34" s="45">
        <f>IFERROR(__xludf.DUMMYFUNCTION("""COMPUTED_VALUE"""),1.0)</f>
        <v>1</v>
      </c>
      <c r="Q34" s="46" t="str">
        <f>IFERROR(__xludf.DUMMYFUNCTION("""COMPUTED_VALUE"""),"Realizar el Congreso de pescadores")</f>
        <v>Realizar el Congreso de pescadores</v>
      </c>
      <c r="R34" s="47" t="str">
        <f>IFERROR(__xludf.DUMMYFUNCTION("""COMPUTED_VALUE"""),"Anual")</f>
        <v>Anual</v>
      </c>
      <c r="S34" s="45">
        <f>IFERROR(__xludf.DUMMYFUNCTION("""COMPUTED_VALUE"""),0.0)</f>
        <v>0</v>
      </c>
      <c r="T34" s="45"/>
      <c r="U34" s="45"/>
      <c r="V34" s="45">
        <f>IFERROR(__xludf.DUMMYFUNCTION("""COMPUTED_VALUE"""),1.0)</f>
        <v>1</v>
      </c>
      <c r="W34" s="48" t="str">
        <f>IFERROR(__xludf.DUMMYFUNCTION("""COMPUTED_VALUE"""),"DTAF")</f>
        <v>DTAF</v>
      </c>
      <c r="X34" s="49" t="str">
        <f>IFERROR(__xludf.DUMMYFUNCTION("""COMPUTED_VALUE"""),"Jhon Jairo Restrepo")</f>
        <v>Jhon Jairo Restrepo</v>
      </c>
      <c r="Y34" s="39" t="str">
        <f>IFERROR(__xludf.DUMMYFUNCTION("""COMPUTED_VALUE"""),"Director Jhon Jairo Restrepo")</f>
        <v>Director Jhon Jairo Restrepo</v>
      </c>
      <c r="Z34" s="49" t="str">
        <f>IFERROR(__xludf.DUMMYFUNCTION("""COMPUTED_VALUE"""),"jhon.restrepo@aunap.gov.co")</f>
        <v>jhon.restrepo@aunap.gov.co</v>
      </c>
      <c r="AA34" s="39" t="str">
        <f>IFERROR(__xludf.DUMMYFUNCTION("""COMPUTED_VALUE"""),"Humano, físico, financiero, tecnológico")</f>
        <v>Humano, físico, financiero, tecnológico</v>
      </c>
      <c r="AB34" s="39" t="str">
        <f>IFERROR(__xludf.DUMMYFUNCTION("""COMPUTED_VALUE"""),"No asociado")</f>
        <v>No asociado</v>
      </c>
      <c r="AC34" s="39" t="str">
        <f>IFERROR(__xludf.DUMMYFUNCTION("""COMPUTED_VALUE"""),"Propiciar la formalización de la pesca y la acuicultura")</f>
        <v>Propiciar la formalización de la pesca y la acuicultura</v>
      </c>
      <c r="AD34" s="39" t="str">
        <f>IFERROR(__xludf.DUMMYFUNCTION("""COMPUTED_VALUE"""),"Gestión con valores para resultados")</f>
        <v>Gestión con valores para resultados</v>
      </c>
      <c r="AE34" s="39" t="str">
        <f>IFERROR(__xludf.DUMMYFUNCTION("""COMPUTED_VALUE"""),"Fortalecimiento Organizacional y Simplificación de Procesos")</f>
        <v>Fortalecimiento Organizacional y Simplificación de Procesos</v>
      </c>
      <c r="AF34" s="39" t="str">
        <f>IFERROR(__xludf.DUMMYFUNCTION("""COMPUTED_VALUE"""),"12. Producción y consumo responsable")</f>
        <v>12. Producción y consumo responsable</v>
      </c>
      <c r="AG34" s="78" t="str">
        <f>IFERROR(__xludf.DUMMYFUNCTION("""COMPUTED_VALUE"""),"No se reporta para el trimestre 1 ")</f>
        <v>No se reporta para el trimestre 1 </v>
      </c>
      <c r="AH34" s="51" t="str">
        <f>IFERROR(__xludf.DUMMYFUNCTION("""COMPUTED_VALUE"""),"No se reporta para el trimestre 1 ")</f>
        <v>No se reporta para el trimestre 1 </v>
      </c>
      <c r="AI34" s="51" t="str">
        <f>IFERROR(__xludf.DUMMYFUNCTION("""COMPUTED_VALUE"""),"No se reporta para el trimestre 1 ")</f>
        <v>No se reporta para el trimestre 1 </v>
      </c>
      <c r="AJ34" s="52">
        <f>IFERROR(__xludf.DUMMYFUNCTION("""COMPUTED_VALUE"""),44298.0)</f>
        <v>44298</v>
      </c>
      <c r="AK34" s="53" t="str">
        <f>IFERROR(IF((AL34+1)&lt;2,Alertas!$B$2&amp;TEXT(AL34,"0%")&amp;Alertas!$D$2, IF((AL34+1)=2,Alertas!$B$3,IF((AL34+1)&gt;2,Alertas!$B$4&amp;TEXT(AL34,"0%")&amp;Alertas!$D$4,AL34+1))),"Sin meta para el cuarto trimestre")</f>
        <v>Sin meta para el cuarto trimestre</v>
      </c>
      <c r="AL34" s="54" t="str">
        <f t="shared" si="2"/>
        <v>#VALUE!</v>
      </c>
      <c r="AM34" s="53" t="str">
        <f t="shared" si="3"/>
        <v>Sin meta para el cuarto trimestre.</v>
      </c>
      <c r="AN34" s="55"/>
      <c r="AO34" s="56"/>
      <c r="AP34" s="57"/>
      <c r="AQ34" s="57"/>
      <c r="AR34" s="58"/>
      <c r="AS34" s="59"/>
      <c r="AT34" s="60"/>
      <c r="AU34" s="55"/>
      <c r="AV34" s="56"/>
      <c r="AW34" s="61"/>
      <c r="AX34" s="57"/>
      <c r="AY34" s="62"/>
      <c r="AZ34" s="63"/>
      <c r="BA34" s="64"/>
      <c r="BB34" s="65"/>
      <c r="BC34" s="56"/>
      <c r="BD34" s="61"/>
      <c r="BE34" s="57"/>
      <c r="BF34" s="58"/>
      <c r="BG34" s="63"/>
      <c r="BH34" s="64"/>
      <c r="BI34" s="66"/>
      <c r="BK34" s="21" t="str">
        <f t="shared" si="23"/>
        <v>-</v>
      </c>
      <c r="BM34" s="21"/>
    </row>
    <row r="35" ht="33.75" customHeight="1">
      <c r="A35" s="37"/>
      <c r="B35" s="38">
        <f>IFERROR(__xludf.DUMMYFUNCTION("""COMPUTED_VALUE"""),44.0)</f>
        <v>44</v>
      </c>
      <c r="C35" s="39" t="str">
        <f>IFERROR(__xludf.DUMMYFUNCTION("""COMPUTED_VALUE"""),"Gestión de la administración y fomento")</f>
        <v>Gestión de la administración y fomento</v>
      </c>
      <c r="D35" s="40" t="str">
        <f>IFERROR(__xludf.DUMMYFUNCTION("""COMPUTED_VALUE"""),"Dirección Técnica de Administración y Fomento")</f>
        <v>Dirección Técnica de Administración y Fomento</v>
      </c>
      <c r="E35" s="40" t="str">
        <f>IFERROR(__xludf.DUMMYFUNCTION("""COMPUTED_VALUE"""),"Fortalecimiento de la sostenibilidad del sector pesquero y de la acuicultura en el territorio nacional")</f>
        <v>Fortalecimiento de la sostenibilidad del sector pesquero y de la acuicultura en el territorio nacional</v>
      </c>
      <c r="F35" s="40">
        <f>IFERROR(__xludf.DUMMYFUNCTION("""COMPUTED_VALUE"""),2.01901E12)</f>
        <v>2019010000000</v>
      </c>
      <c r="G35" s="41" t="str">
        <f>IFERROR(__xludf.DUMMYFUNCTION("""COMPUTED_VALUE"""),"Sostenibilidad")</f>
        <v>Sostenibilidad</v>
      </c>
      <c r="H35" s="40" t="str">
        <f>IFERROR(__xludf.DUMMYFUNCTION("""COMPUTED_VALUE"""),"Mejorar la explotación de los recursos pesqueros y de la acuicultura.")</f>
        <v>Mejorar la explotación de los recursos pesqueros y de la acuicultura.</v>
      </c>
      <c r="I35" s="40" t="str">
        <f>IFERROR(__xludf.DUMMYFUNCTION("""COMPUTED_VALUE"""),"Servicios de administración de los recurso pesqueros y de la acuicultura")</f>
        <v>Servicios de administración de los recurso pesqueros y de la acuicultura</v>
      </c>
      <c r="J35" s="40" t="str">
        <f>IFERROR(__xludf.DUMMYFUNCTION("""COMPUTED_VALUE"""),"Realizar acciones de divulgación y formalización de la actividad pesquera y de la acuicultura.")</f>
        <v>Realizar acciones de divulgación y formalización de la actividad pesquera y de la acuicultura.</v>
      </c>
      <c r="K35" s="42" t="str">
        <f>IFERROR(__xludf.DUMMYFUNCTION("""COMPUTED_VALUE"""),"Gestión")</f>
        <v>Gestión</v>
      </c>
      <c r="L35" s="42" t="str">
        <f>IFERROR(__xludf.DUMMYFUNCTION("""COMPUTED_VALUE"""),"Efectividad")</f>
        <v>Efectividad</v>
      </c>
      <c r="M35" s="42" t="str">
        <f>IFERROR(__xludf.DUMMYFUNCTION("""COMPUTED_VALUE"""),"Número")</f>
        <v>Número</v>
      </c>
      <c r="N35" s="43" t="str">
        <f>IFERROR(__xludf.DUMMYFUNCTION("""COMPUTED_VALUE"""),"Número de estrategia de informacion realizadas")</f>
        <v>Número de estrategia de informacion realizadas</v>
      </c>
      <c r="O35" s="44">
        <f>IFERROR(__xludf.DUMMYFUNCTION("""COMPUTED_VALUE"""),15.0)</f>
        <v>15</v>
      </c>
      <c r="P35" s="45">
        <f>IFERROR(__xludf.DUMMYFUNCTION("""COMPUTED_VALUE"""),1.0)</f>
        <v>1</v>
      </c>
      <c r="Q35" s="46" t="str">
        <f>IFERROR(__xludf.DUMMYFUNCTION("""COMPUTED_VALUE"""),"Generar estrategia de informacion en los diferentes medios de comunicación, tradicionales, alternativos y digitales, que propendan por el fortalecimiento y la sostenibilidad de los recursos pesqueros y acuicolas en el territorio nacional")</f>
        <v>Generar estrategia de informacion en los diferentes medios de comunicación, tradicionales, alternativos y digitales, que propendan por el fortalecimiento y la sostenibilidad de los recursos pesqueros y acuicolas en el territorio nacional</v>
      </c>
      <c r="R35" s="47" t="str">
        <f>IFERROR(__xludf.DUMMYFUNCTION("""COMPUTED_VALUE"""),"Anual")</f>
        <v>Anual</v>
      </c>
      <c r="S35" s="45">
        <f>IFERROR(__xludf.DUMMYFUNCTION("""COMPUTED_VALUE"""),0.0)</f>
        <v>0</v>
      </c>
      <c r="T35" s="45"/>
      <c r="U35" s="45"/>
      <c r="V35" s="45">
        <f>IFERROR(__xludf.DUMMYFUNCTION("""COMPUTED_VALUE"""),1.0)</f>
        <v>1</v>
      </c>
      <c r="W35" s="48" t="str">
        <f>IFERROR(__xludf.DUMMYFUNCTION("""COMPUTED_VALUE"""),"DTAF")</f>
        <v>DTAF</v>
      </c>
      <c r="X35" s="49" t="str">
        <f>IFERROR(__xludf.DUMMYFUNCTION("""COMPUTED_VALUE"""),"Jhon Jairo Restrepo")</f>
        <v>Jhon Jairo Restrepo</v>
      </c>
      <c r="Y35" s="39" t="str">
        <f>IFERROR(__xludf.DUMMYFUNCTION("""COMPUTED_VALUE"""),"Director Jhon Jairo Restrepo")</f>
        <v>Director Jhon Jairo Restrepo</v>
      </c>
      <c r="Z35" s="49" t="str">
        <f>IFERROR(__xludf.DUMMYFUNCTION("""COMPUTED_VALUE"""),"jhon.restrepo@aunap.gov.co")</f>
        <v>jhon.restrepo@aunap.gov.co</v>
      </c>
      <c r="AA35" s="39" t="str">
        <f>IFERROR(__xludf.DUMMYFUNCTION("""COMPUTED_VALUE"""),"Humano, físico, financiero, tecnológico")</f>
        <v>Humano, físico, financiero, tecnológico</v>
      </c>
      <c r="AB35" s="39" t="str">
        <f>IFERROR(__xludf.DUMMYFUNCTION("""COMPUTED_VALUE"""),"No asociado")</f>
        <v>No asociado</v>
      </c>
      <c r="AC35" s="39" t="str">
        <f>IFERROR(__xludf.DUMMYFUNCTION("""COMPUTED_VALUE"""),"Propiciar la formalización de la pesca y la acuicultura")</f>
        <v>Propiciar la formalización de la pesca y la acuicultura</v>
      </c>
      <c r="AD35" s="39" t="str">
        <f>IFERROR(__xludf.DUMMYFUNCTION("""COMPUTED_VALUE"""),"Gestión con valores para resultados")</f>
        <v>Gestión con valores para resultados</v>
      </c>
      <c r="AE35" s="39" t="str">
        <f>IFERROR(__xludf.DUMMYFUNCTION("""COMPUTED_VALUE"""),"Fortalecimiento Organizacional y Simplificación de Procesos")</f>
        <v>Fortalecimiento Organizacional y Simplificación de Procesos</v>
      </c>
      <c r="AF35" s="39" t="str">
        <f>IFERROR(__xludf.DUMMYFUNCTION("""COMPUTED_VALUE"""),"12. Producción y consumo responsable")</f>
        <v>12. Producción y consumo responsable</v>
      </c>
      <c r="AG35" s="76" t="str">
        <f>IFERROR(__xludf.DUMMYFUNCTION("""COMPUTED_VALUE"""),"No se reporta para el trimestre 1 ")</f>
        <v>No se reporta para el trimestre 1 </v>
      </c>
      <c r="AH35" s="51" t="str">
        <f>IFERROR(__xludf.DUMMYFUNCTION("""COMPUTED_VALUE"""),"No se reporta para el trimestre 1 ")</f>
        <v>No se reporta para el trimestre 1 </v>
      </c>
      <c r="AI35" s="51" t="str">
        <f>IFERROR(__xludf.DUMMYFUNCTION("""COMPUTED_VALUE"""),"No se reporta para el trimestre 1 ")</f>
        <v>No se reporta para el trimestre 1 </v>
      </c>
      <c r="AJ35" s="52">
        <f>IFERROR(__xludf.DUMMYFUNCTION("""COMPUTED_VALUE"""),44298.0)</f>
        <v>44298</v>
      </c>
      <c r="AK35" s="53" t="str">
        <f>IFERROR(IF((AL35+1)&lt;2,Alertas!$B$2&amp;TEXT(AL35,"0%")&amp;Alertas!$D$2, IF((AL35+1)=2,Alertas!$B$3,IF((AL35+1)&gt;2,Alertas!$B$4&amp;TEXT(AL35,"0%")&amp;Alertas!$D$4,AL35+1))),"Sin meta para el cuarto trimestre")</f>
        <v>Sin meta para el cuarto trimestre</v>
      </c>
      <c r="AL35" s="54" t="str">
        <f t="shared" si="2"/>
        <v>#VALUE!</v>
      </c>
      <c r="AM35" s="53" t="str">
        <f t="shared" si="3"/>
        <v>Sin meta para el cuarto trimestre.</v>
      </c>
      <c r="AN35" s="55"/>
      <c r="AO35" s="56"/>
      <c r="AP35" s="57"/>
      <c r="AQ35" s="57"/>
      <c r="AR35" s="58"/>
      <c r="AS35" s="59"/>
      <c r="AT35" s="60"/>
      <c r="AU35" s="55"/>
      <c r="AV35" s="56"/>
      <c r="AW35" s="61"/>
      <c r="AX35" s="57"/>
      <c r="AY35" s="62"/>
      <c r="AZ35" s="63"/>
      <c r="BA35" s="64"/>
      <c r="BB35" s="65"/>
      <c r="BC35" s="56"/>
      <c r="BD35" s="61"/>
      <c r="BE35" s="57"/>
      <c r="BF35" s="58"/>
      <c r="BG35" s="63"/>
      <c r="BH35" s="64"/>
      <c r="BI35" s="66"/>
      <c r="BK35" s="21" t="str">
        <f t="shared" si="23"/>
        <v>-</v>
      </c>
      <c r="BM35" s="21"/>
    </row>
    <row r="36" ht="33.75" customHeight="1">
      <c r="A36" s="37"/>
      <c r="B36" s="38">
        <f>IFERROR(__xludf.DUMMYFUNCTION("""COMPUTED_VALUE"""),45.0)</f>
        <v>45</v>
      </c>
      <c r="C36" s="39" t="str">
        <f>IFERROR(__xludf.DUMMYFUNCTION("""COMPUTED_VALUE"""),"Gestión de la administración y fomento")</f>
        <v>Gestión de la administración y fomento</v>
      </c>
      <c r="D36" s="40" t="str">
        <f>IFERROR(__xludf.DUMMYFUNCTION("""COMPUTED_VALUE"""),"Dirección Técnica de Administración y Fomento")</f>
        <v>Dirección Técnica de Administración y Fomento</v>
      </c>
      <c r="E36" s="40" t="str">
        <f>IFERROR(__xludf.DUMMYFUNCTION("""COMPUTED_VALUE"""),"Fortalecimiento de la sostenibilidad del sector pesquero y de la acuicultura en el territorio nacional")</f>
        <v>Fortalecimiento de la sostenibilidad del sector pesquero y de la acuicultura en el territorio nacional</v>
      </c>
      <c r="F36" s="40">
        <f>IFERROR(__xludf.DUMMYFUNCTION("""COMPUTED_VALUE"""),2.01901E12)</f>
        <v>2019010000000</v>
      </c>
      <c r="G36" s="41" t="str">
        <f>IFERROR(__xludf.DUMMYFUNCTION("""COMPUTED_VALUE"""),"Sostenibilidad")</f>
        <v>Sostenibilidad</v>
      </c>
      <c r="H36" s="40" t="str">
        <f>IFERROR(__xludf.DUMMYFUNCTION("""COMPUTED_VALUE"""),"Mejorar la explotación de los recursos pesqueros y de la acuicultura.")</f>
        <v>Mejorar la explotación de los recursos pesqueros y de la acuicultura.</v>
      </c>
      <c r="I36" s="40" t="str">
        <f>IFERROR(__xludf.DUMMYFUNCTION("""COMPUTED_VALUE"""),"Servicios de administración de los recurso pesqueros y de la acuicultura")</f>
        <v>Servicios de administración de los recurso pesqueros y de la acuicultura</v>
      </c>
      <c r="J36" s="40" t="str">
        <f>IFERROR(__xludf.DUMMYFUNCTION("""COMPUTED_VALUE"""),"Regular el manejo y el ejercicio de la actividad pesquera y de la acuicultura.")</f>
        <v>Regular el manejo y el ejercicio de la actividad pesquera y de la acuicultura.</v>
      </c>
      <c r="K36" s="42" t="str">
        <f>IFERROR(__xludf.DUMMYFUNCTION("""COMPUTED_VALUE"""),"Gestión")</f>
        <v>Gestión</v>
      </c>
      <c r="L36" s="42" t="str">
        <f>IFERROR(__xludf.DUMMYFUNCTION("""COMPUTED_VALUE"""),"Efectividad")</f>
        <v>Efectividad</v>
      </c>
      <c r="M36" s="42" t="str">
        <f>IFERROR(__xludf.DUMMYFUNCTION("""COMPUTED_VALUE"""),"Número")</f>
        <v>Número</v>
      </c>
      <c r="N36" s="43" t="str">
        <f>IFERROR(__xludf.DUMMYFUNCTION("""COMPUTED_VALUE"""),"Número de Documentos técnico realizados/Número de documentos técnicos programados")</f>
        <v>Número de Documentos técnico realizados/Número de documentos técnicos programados</v>
      </c>
      <c r="O36" s="44">
        <f>IFERROR(__xludf.DUMMYFUNCTION("""COMPUTED_VALUE"""),15.0)</f>
        <v>15</v>
      </c>
      <c r="P36" s="45">
        <f>IFERROR(__xludf.DUMMYFUNCTION("""COMPUTED_VALUE"""),1.0)</f>
        <v>1</v>
      </c>
      <c r="Q36" s="46" t="str">
        <f>IFERROR(__xludf.DUMMYFUNCTION("""COMPUTED_VALUE"""),"Caracterizar a pescadores artesanales")</f>
        <v>Caracterizar a pescadores artesanales</v>
      </c>
      <c r="R36" s="47" t="str">
        <f>IFERROR(__xludf.DUMMYFUNCTION("""COMPUTED_VALUE"""),"Anual")</f>
        <v>Anual</v>
      </c>
      <c r="S36" s="45">
        <f>IFERROR(__xludf.DUMMYFUNCTION("""COMPUTED_VALUE"""),0.0)</f>
        <v>0</v>
      </c>
      <c r="T36" s="45"/>
      <c r="U36" s="45"/>
      <c r="V36" s="45">
        <f>IFERROR(__xludf.DUMMYFUNCTION("""COMPUTED_VALUE"""),1.0)</f>
        <v>1</v>
      </c>
      <c r="W36" s="48" t="str">
        <f>IFERROR(__xludf.DUMMYFUNCTION("""COMPUTED_VALUE"""),"DTAF")</f>
        <v>DTAF</v>
      </c>
      <c r="X36" s="49" t="str">
        <f>IFERROR(__xludf.DUMMYFUNCTION("""COMPUTED_VALUE"""),"Jhon Jairo Restrepo")</f>
        <v>Jhon Jairo Restrepo</v>
      </c>
      <c r="Y36" s="39" t="str">
        <f>IFERROR(__xludf.DUMMYFUNCTION("""COMPUTED_VALUE"""),"Director Jhon Jairo Restrepo")</f>
        <v>Director Jhon Jairo Restrepo</v>
      </c>
      <c r="Z36" s="49" t="str">
        <f>IFERROR(__xludf.DUMMYFUNCTION("""COMPUTED_VALUE"""),"jhon.restrepo@aunap.gov.co")</f>
        <v>jhon.restrepo@aunap.gov.co</v>
      </c>
      <c r="AA36" s="39" t="str">
        <f>IFERROR(__xludf.DUMMYFUNCTION("""COMPUTED_VALUE"""),"Humano, físico, financiero, tecnológico")</f>
        <v>Humano, físico, financiero, tecnológico</v>
      </c>
      <c r="AB36" s="39" t="str">
        <f>IFERROR(__xludf.DUMMYFUNCTION("""COMPUTED_VALUE"""),"No asociado")</f>
        <v>No asociado</v>
      </c>
      <c r="AC36" s="39" t="str">
        <f>IFERROR(__xludf.DUMMYFUNCTION("""COMPUTED_VALUE"""),"Propiciar la formalización de la pesca y la acuicultura")</f>
        <v>Propiciar la formalización de la pesca y la acuicultura</v>
      </c>
      <c r="AD36" s="39" t="str">
        <f>IFERROR(__xludf.DUMMYFUNCTION("""COMPUTED_VALUE"""),"Gestión con valores para resultados")</f>
        <v>Gestión con valores para resultados</v>
      </c>
      <c r="AE36" s="39" t="str">
        <f>IFERROR(__xludf.DUMMYFUNCTION("""COMPUTED_VALUE"""),"Fortalecimiento Organizacional y Simplificación de Procesos")</f>
        <v>Fortalecimiento Organizacional y Simplificación de Procesos</v>
      </c>
      <c r="AF36" s="39" t="str">
        <f>IFERROR(__xludf.DUMMYFUNCTION("""COMPUTED_VALUE"""),"12. Producción y consumo responsable")</f>
        <v>12. Producción y consumo responsable</v>
      </c>
      <c r="AG36" s="76" t="str">
        <f>IFERROR(__xludf.DUMMYFUNCTION("""COMPUTED_VALUE"""),"No se reporta para el trimestre 1 ")</f>
        <v>No se reporta para el trimestre 1 </v>
      </c>
      <c r="AH36" s="51" t="str">
        <f>IFERROR(__xludf.DUMMYFUNCTION("""COMPUTED_VALUE"""),"No se reporta para el trimestre 1 ")</f>
        <v>No se reporta para el trimestre 1 </v>
      </c>
      <c r="AI36" s="51" t="str">
        <f>IFERROR(__xludf.DUMMYFUNCTION("""COMPUTED_VALUE"""),"No se reporta para el trimestre 1 ")</f>
        <v>No se reporta para el trimestre 1 </v>
      </c>
      <c r="AJ36" s="52">
        <f>IFERROR(__xludf.DUMMYFUNCTION("""COMPUTED_VALUE"""),44298.0)</f>
        <v>44298</v>
      </c>
      <c r="AK36" s="53" t="str">
        <f>IFERROR(IF((AL36+1)&lt;2,Alertas!$B$2&amp;TEXT(AL36,"0%")&amp;Alertas!$D$2, IF((AL36+1)=2,Alertas!$B$3,IF((AL36+1)&gt;2,Alertas!$B$4&amp;TEXT(AL36,"0%")&amp;Alertas!$D$4,AL36+1))),"Sin meta para el cuarto trimestre")</f>
        <v>Sin meta para el cuarto trimestre</v>
      </c>
      <c r="AL36" s="54" t="str">
        <f t="shared" si="2"/>
        <v>#VALUE!</v>
      </c>
      <c r="AM36" s="53" t="str">
        <f t="shared" si="3"/>
        <v>Sin meta para el cuarto trimestre.</v>
      </c>
      <c r="AN36" s="55"/>
      <c r="AO36" s="56"/>
      <c r="AP36" s="57"/>
      <c r="AQ36" s="57"/>
      <c r="AR36" s="58"/>
      <c r="AS36" s="59"/>
      <c r="AT36" s="60"/>
      <c r="AU36" s="55"/>
      <c r="AV36" s="56"/>
      <c r="AW36" s="61"/>
      <c r="AX36" s="57"/>
      <c r="AY36" s="62"/>
      <c r="AZ36" s="63"/>
      <c r="BA36" s="64"/>
      <c r="BB36" s="65"/>
      <c r="BC36" s="56"/>
      <c r="BD36" s="61"/>
      <c r="BE36" s="57"/>
      <c r="BF36" s="58"/>
      <c r="BG36" s="63"/>
      <c r="BH36" s="64"/>
      <c r="BI36" s="66"/>
      <c r="BK36" s="21" t="str">
        <f t="shared" si="23"/>
        <v>-</v>
      </c>
      <c r="BM36" s="21"/>
    </row>
    <row r="37" ht="33.75" customHeight="1">
      <c r="A37" s="37"/>
      <c r="B37" s="38">
        <f>IFERROR(__xludf.DUMMYFUNCTION("""COMPUTED_VALUE"""),22.0)</f>
        <v>22</v>
      </c>
      <c r="C37" s="39" t="str">
        <f>IFERROR(__xludf.DUMMYFUNCTION("""COMPUTED_VALUE"""),"Gestión de control interno disciplinario")</f>
        <v>Gestión de control interno disciplinario</v>
      </c>
      <c r="D37" s="40" t="str">
        <f>IFERROR(__xludf.DUMMYFUNCTION("""COMPUTED_VALUE"""),"Control Interno Disciplinario")</f>
        <v>Control Interno Disciplinario</v>
      </c>
      <c r="E37" s="40" t="str">
        <f>IFERROR(__xludf.DUMMYFUNCTION("""COMPUTED_VALUE"""),"Fortalecimiento de la capacidad de gestión de la autoridad nacional de acuicultura y pesca - aunap nacional")</f>
        <v>Fortalecimiento de la capacidad de gestión de la autoridad nacional de acuicultura y pesca - aunap nacional</v>
      </c>
      <c r="F37" s="40">
        <f>IFERROR(__xludf.DUMMYFUNCTION("""COMPUTED_VALUE"""),2.01801E12)</f>
        <v>2018010000000</v>
      </c>
      <c r="G37" s="41" t="str">
        <f>IFERROR(__xludf.DUMMYFUNCTION("""COMPUTED_VALUE"""),"Fortalecimiento")</f>
        <v>Fortalecimiento</v>
      </c>
      <c r="H37" s="40" t="str">
        <f>IFERROR(__xludf.DUMMYFUNCTION("""COMPUTED_VALUE"""),"Fortalecer los sistemas de gestión de la Entidad")</f>
        <v>Fortalecer los sistemas de gestión de la Entidad</v>
      </c>
      <c r="I37" s="40" t="str">
        <f>IFERROR(__xludf.DUMMYFUNCTION("""COMPUTED_VALUE"""),"Servicio de Implementación Sistemas de Gestión")</f>
        <v>Servicio de Implementación Sistemas de Gestión</v>
      </c>
      <c r="J37"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37" s="42" t="str">
        <f>IFERROR(__xludf.DUMMYFUNCTION("""COMPUTED_VALUE"""),"Gestión del área")</f>
        <v>Gestión del área</v>
      </c>
      <c r="L37" s="42" t="str">
        <f>IFERROR(__xludf.DUMMYFUNCTION("""COMPUTED_VALUE"""),"Eficacia")</f>
        <v>Eficacia</v>
      </c>
      <c r="M37" s="42" t="str">
        <f>IFERROR(__xludf.DUMMYFUNCTION("""COMPUTED_VALUE"""),"Número")</f>
        <v>Número</v>
      </c>
      <c r="N37" s="43" t="str">
        <f>IFERROR(__xludf.DUMMYFUNCTION("""COMPUTED_VALUE"""),"Número de informe sobre el estado de los procesos disciplinarios vigencia 2020 realizados/Número de informe sobre el estado de los procesos disciplinarios vigencia 2020 programados")</f>
        <v>Número de informe sobre el estado de los procesos disciplinarios vigencia 2020 realizados/Número de informe sobre el estado de los procesos disciplinarios vigencia 2020 programados</v>
      </c>
      <c r="O37" s="44"/>
      <c r="P37" s="45">
        <f>IFERROR(__xludf.DUMMYFUNCTION("""COMPUTED_VALUE"""),1.0)</f>
        <v>1</v>
      </c>
      <c r="Q37" s="46" t="str">
        <f>IFERROR(__xludf.DUMMYFUNCTION("""COMPUTED_VALUE"""),"Elaboracion de un informe sobre el estado de los procesos disciplinarios vigencia 2020")</f>
        <v>Elaboracion de un informe sobre el estado de los procesos disciplinarios vigencia 2020</v>
      </c>
      <c r="R37" s="47" t="str">
        <f>IFERROR(__xludf.DUMMYFUNCTION("""COMPUTED_VALUE"""),"Anual")</f>
        <v>Anual</v>
      </c>
      <c r="S37" s="45">
        <f>IFERROR(__xludf.DUMMYFUNCTION("""COMPUTED_VALUE"""),0.0)</f>
        <v>0</v>
      </c>
      <c r="T37" s="45">
        <f>IFERROR(__xludf.DUMMYFUNCTION("""COMPUTED_VALUE"""),0.0)</f>
        <v>0</v>
      </c>
      <c r="U37" s="45">
        <f>IFERROR(__xludf.DUMMYFUNCTION("""COMPUTED_VALUE"""),0.0)</f>
        <v>0</v>
      </c>
      <c r="V37" s="45">
        <f>IFERROR(__xludf.DUMMYFUNCTION("""COMPUTED_VALUE"""),1.0)</f>
        <v>1</v>
      </c>
      <c r="W37" s="48" t="str">
        <f>IFERROR(__xludf.DUMMYFUNCTION("""COMPUTED_VALUE"""),"Secretaria General")</f>
        <v>Secretaria General</v>
      </c>
      <c r="X37" s="49" t="str">
        <f>IFERROR(__xludf.DUMMYFUNCTION("""COMPUTED_VALUE"""),"Daniel Ariza Heredia")</f>
        <v>Daniel Ariza Heredia</v>
      </c>
      <c r="Y37" s="39" t="str">
        <f>IFERROR(__xludf.DUMMYFUNCTION("""COMPUTED_VALUE"""),"Secretario General")</f>
        <v>Secretario General</v>
      </c>
      <c r="Z37" s="49" t="str">
        <f>IFERROR(__xludf.DUMMYFUNCTION("""COMPUTED_VALUE"""),"daniel.ariza@aunap.gov.co")</f>
        <v>daniel.ariza@aunap.gov.co</v>
      </c>
      <c r="AA37" s="39" t="str">
        <f>IFERROR(__xludf.DUMMYFUNCTION("""COMPUTED_VALUE"""),"Humanos, Físicos, Financieros, Tecnológicos")</f>
        <v>Humanos, Físicos, Financieros, Tecnológicos</v>
      </c>
      <c r="AB37" s="39" t="str">
        <f>IFERROR(__xludf.DUMMYFUNCTION("""COMPUTED_VALUE"""),"No asociado")</f>
        <v>No asociado</v>
      </c>
      <c r="AC37" s="39" t="str">
        <f>IFERROR(__xludf.DUMMYFUNCTION("""COMPUTED_VALUE"""),"Llegar con actividades de pesca y acuicultura a todas las regiones")</f>
        <v>Llegar con actividades de pesca y acuicultura a todas las regiones</v>
      </c>
      <c r="AD37" s="39" t="str">
        <f>IFERROR(__xludf.DUMMYFUNCTION("""COMPUTED_VALUE"""),"Talento Humano")</f>
        <v>Talento Humano</v>
      </c>
      <c r="AE37" s="39" t="str">
        <f>IFERROR(__xludf.DUMMYFUNCTION("""COMPUTED_VALUE"""),"Talento Humano")</f>
        <v>Talento Humano</v>
      </c>
      <c r="AF37" s="39" t="str">
        <f>IFERROR(__xludf.DUMMYFUNCTION("""COMPUTED_VALUE"""),"16. Paz, justicia e instituciones sólidas")</f>
        <v>16. Paz, justicia e instituciones sólidas</v>
      </c>
      <c r="AG37" s="76">
        <f>IFERROR(__xludf.DUMMYFUNCTION("""COMPUTED_VALUE"""),0.0)</f>
        <v>0</v>
      </c>
      <c r="AH37" s="51" t="str">
        <f>IFERROR(__xludf.DUMMYFUNCTION("""COMPUTED_VALUE"""),"A la fecha no es exigible esta actividad, la cual se ejecuta en el último trimestre del año. ")</f>
        <v>A la fecha no es exigible esta actividad, la cual se ejecuta en el último trimestre del año. </v>
      </c>
      <c r="AI37" s="51"/>
      <c r="AJ37" s="52">
        <f>IFERROR(__xludf.DUMMYFUNCTION("""COMPUTED_VALUE"""),44298.0)</f>
        <v>44298</v>
      </c>
      <c r="AK37" s="53" t="str">
        <f>IFERROR(IF((AL37+1)&lt;2,Alertas!$B$2&amp;TEXT(AL37,"0%")&amp;Alertas!$D$2, IF((AL37+1)=2,Alertas!$B$3,IF((AL37+1)&gt;2,Alertas!$B$4&amp;TEXT(AL37,"0%")&amp;Alertas!$D$4,AL37+1))),"Sin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37" s="54">
        <f t="shared" si="2"/>
        <v>0</v>
      </c>
      <c r="AM37"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37" s="55"/>
      <c r="AO37" s="56"/>
      <c r="AP37" s="57"/>
      <c r="AQ37" s="57"/>
      <c r="AR37" s="58"/>
      <c r="AS37" s="59"/>
      <c r="AT37" s="60"/>
      <c r="AU37" s="55"/>
      <c r="AV37" s="56"/>
      <c r="AW37" s="61"/>
      <c r="AX37" s="57"/>
      <c r="AY37" s="62"/>
      <c r="AZ37" s="63"/>
      <c r="BA37" s="64"/>
      <c r="BB37" s="65"/>
      <c r="BC37" s="56"/>
      <c r="BD37" s="61"/>
      <c r="BE37" s="57"/>
      <c r="BF37" s="58"/>
      <c r="BG37" s="63"/>
      <c r="BH37" s="64"/>
      <c r="BI37" s="66"/>
      <c r="BK37" s="21" t="str">
        <f t="shared" si="23"/>
        <v>-1</v>
      </c>
      <c r="BM37" s="21"/>
    </row>
    <row r="38" ht="33.75" customHeight="1">
      <c r="A38" s="37"/>
      <c r="B38" s="38">
        <f>IFERROR(__xludf.DUMMYFUNCTION("""COMPUTED_VALUE"""),23.0)</f>
        <v>23</v>
      </c>
      <c r="C38" s="39" t="str">
        <f>IFERROR(__xludf.DUMMYFUNCTION("""COMPUTED_VALUE"""),"Gestión de control interno disciplinario")</f>
        <v>Gestión de control interno disciplinario</v>
      </c>
      <c r="D38" s="40" t="str">
        <f>IFERROR(__xludf.DUMMYFUNCTION("""COMPUTED_VALUE"""),"Control Interno Disciplinario")</f>
        <v>Control Interno Disciplinario</v>
      </c>
      <c r="E38" s="40" t="str">
        <f>IFERROR(__xludf.DUMMYFUNCTION("""COMPUTED_VALUE"""),"Fortalecimiento de la capacidad de gestión de la autoridad nacional de acuicultura y pesca - aunap nacional")</f>
        <v>Fortalecimiento de la capacidad de gestión de la autoridad nacional de acuicultura y pesca - aunap nacional</v>
      </c>
      <c r="F38" s="40">
        <f>IFERROR(__xludf.DUMMYFUNCTION("""COMPUTED_VALUE"""),2.01801E12)</f>
        <v>2018010000000</v>
      </c>
      <c r="G38" s="41" t="str">
        <f>IFERROR(__xludf.DUMMYFUNCTION("""COMPUTED_VALUE"""),"Fortalecimiento")</f>
        <v>Fortalecimiento</v>
      </c>
      <c r="H38" s="40" t="str">
        <f>IFERROR(__xludf.DUMMYFUNCTION("""COMPUTED_VALUE"""),"Fortalecer los sistemas de gestión de la Entidad")</f>
        <v>Fortalecer los sistemas de gestión de la Entidad</v>
      </c>
      <c r="I38" s="40" t="str">
        <f>IFERROR(__xludf.DUMMYFUNCTION("""COMPUTED_VALUE"""),"Servicio de Implementación Sistemas de Gestión")</f>
        <v>Servicio de Implementación Sistemas de Gestión</v>
      </c>
      <c r="J38"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38" s="42" t="str">
        <f>IFERROR(__xludf.DUMMYFUNCTION("""COMPUTED_VALUE"""),"Gestión del área")</f>
        <v>Gestión del área</v>
      </c>
      <c r="L38" s="42" t="str">
        <f>IFERROR(__xludf.DUMMYFUNCTION("""COMPUTED_VALUE"""),"Eficacia")</f>
        <v>Eficacia</v>
      </c>
      <c r="M38" s="42" t="str">
        <f>IFERROR(__xludf.DUMMYFUNCTION("""COMPUTED_VALUE"""),"Porcentaje")</f>
        <v>Porcentaje</v>
      </c>
      <c r="N38" s="43" t="str">
        <f>IFERROR(__xludf.DUMMYFUNCTION("""COMPUTED_VALUE"""),"Relación de la Ley 734 de 2002 y las normas que lo complementan en el 100% de las actuaciones generadas por CID.")</f>
        <v>Relación de la Ley 734 de 2002 y las normas que lo complementan en el 100% de las actuaciones generadas por CID.</v>
      </c>
      <c r="O38" s="44"/>
      <c r="P38" s="45">
        <f>IFERROR(__xludf.DUMMYFUNCTION("""COMPUTED_VALUE"""),1.0)</f>
        <v>1</v>
      </c>
      <c r="Q38" s="46" t="str">
        <f>IFERROR(__xludf.DUMMYFUNCTION("""COMPUTED_VALUE"""),"Aplicación de la Ley 734 de 2002 y las normas que lo complementan")</f>
        <v>Aplicación de la Ley 734 de 2002 y las normas que lo complementan</v>
      </c>
      <c r="R38" s="47" t="str">
        <f>IFERROR(__xludf.DUMMYFUNCTION("""COMPUTED_VALUE"""),"Trimestral")</f>
        <v>Trimestral</v>
      </c>
      <c r="S38" s="45">
        <f>IFERROR(__xludf.DUMMYFUNCTION("""COMPUTED_VALUE"""),0.25)</f>
        <v>0.25</v>
      </c>
      <c r="T38" s="45">
        <f>IFERROR(__xludf.DUMMYFUNCTION("""COMPUTED_VALUE"""),0.25)</f>
        <v>0.25</v>
      </c>
      <c r="U38" s="45">
        <f>IFERROR(__xludf.DUMMYFUNCTION("""COMPUTED_VALUE"""),0.25)</f>
        <v>0.25</v>
      </c>
      <c r="V38" s="45">
        <f>IFERROR(__xludf.DUMMYFUNCTION("""COMPUTED_VALUE"""),0.25)</f>
        <v>0.25</v>
      </c>
      <c r="W38" s="48" t="str">
        <f>IFERROR(__xludf.DUMMYFUNCTION("""COMPUTED_VALUE"""),"Secretaria General")</f>
        <v>Secretaria General</v>
      </c>
      <c r="X38" s="49" t="str">
        <f>IFERROR(__xludf.DUMMYFUNCTION("""COMPUTED_VALUE"""),"Daniel Ariza Heredia")</f>
        <v>Daniel Ariza Heredia</v>
      </c>
      <c r="Y38" s="39" t="str">
        <f>IFERROR(__xludf.DUMMYFUNCTION("""COMPUTED_VALUE"""),"Secretario General")</f>
        <v>Secretario General</v>
      </c>
      <c r="Z38" s="49" t="str">
        <f>IFERROR(__xludf.DUMMYFUNCTION("""COMPUTED_VALUE"""),"daniel.ariza@aunap.gov.co")</f>
        <v>daniel.ariza@aunap.gov.co</v>
      </c>
      <c r="AA38" s="39" t="str">
        <f>IFERROR(__xludf.DUMMYFUNCTION("""COMPUTED_VALUE"""),"Humanos, Físicos, Financieros, Tecnológicos")</f>
        <v>Humanos, Físicos, Financieros, Tecnológicos</v>
      </c>
      <c r="AB38" s="39" t="str">
        <f>IFERROR(__xludf.DUMMYFUNCTION("""COMPUTED_VALUE"""),"No asociado")</f>
        <v>No asociado</v>
      </c>
      <c r="AC38" s="39" t="str">
        <f>IFERROR(__xludf.DUMMYFUNCTION("""COMPUTED_VALUE"""),"Llegar con actividades de pesca y acuicultura a todas las regiones")</f>
        <v>Llegar con actividades de pesca y acuicultura a todas las regiones</v>
      </c>
      <c r="AD38" s="39" t="str">
        <f>IFERROR(__xludf.DUMMYFUNCTION("""COMPUTED_VALUE"""),"Talento Humano")</f>
        <v>Talento Humano</v>
      </c>
      <c r="AE38" s="39" t="str">
        <f>IFERROR(__xludf.DUMMYFUNCTION("""COMPUTED_VALUE"""),"Talento Humano")</f>
        <v>Talento Humano</v>
      </c>
      <c r="AF38" s="39" t="str">
        <f>IFERROR(__xludf.DUMMYFUNCTION("""COMPUTED_VALUE"""),"16. Paz, justicia e instituciones sólidas")</f>
        <v>16. Paz, justicia e instituciones sólidas</v>
      </c>
      <c r="AG38" s="76">
        <f>IFERROR(__xludf.DUMMYFUNCTION("""COMPUTED_VALUE"""),0.25)</f>
        <v>0.25</v>
      </c>
      <c r="AH38" s="51" t="str">
        <f>IFERROR(__xludf.DUMMYFUNCTION("""COMPUTED_VALUE"""),"Se han impulsado los procesos equivalentes al 25% de los activos en la Oficina de Control Interno Disciplinario")</f>
        <v>Se han impulsado los procesos equivalentes al 25% de los activos en la Oficina de Control Interno Disciplinario</v>
      </c>
      <c r="AI38" s="77" t="str">
        <f>IFERROR(__xludf.DUMMYFUNCTION("""COMPUTED_VALUE"""),"https://drive.google.com/file/d/1NwgyL-_6KlS_IxCa8v5e3msqy6Dz6R3o/view?usp=sharing")</f>
        <v>https://drive.google.com/file/d/1NwgyL-_6KlS_IxCa8v5e3msqy6Dz6R3o/view?usp=sharing</v>
      </c>
      <c r="AJ38" s="52">
        <f>IFERROR(__xludf.DUMMYFUNCTION("""COMPUTED_VALUE"""),44298.0)</f>
        <v>44298</v>
      </c>
      <c r="AK38" s="53" t="str">
        <f>IFERROR(IF((AL38+1)&lt;2,Alertas!$B$2&amp;TEXT(AL38,"0%")&amp;Alertas!$D$2, IF((AL38+1)=2,Alertas!$B$3,IF((AL38+1)&gt;2,Alertas!$B$4&amp;TEXT(AL38,"0%")&amp;Alertas!$D$4,AL38+1))),"Sin meta para el cuarto trimestre")</f>
        <v>La ejecución de la meta registrada se encuentra acorde a la meta programada en la formulación del plan de acción para el cuarto trimestre</v>
      </c>
      <c r="AL38" s="54">
        <f t="shared" si="2"/>
        <v>1</v>
      </c>
      <c r="AM38" s="53" t="str">
        <f t="shared" si="3"/>
        <v>La ejecución de la meta registrada se encuentra acorde a la meta programada en la formulación del plan de acción para el cuarto trimestre.</v>
      </c>
      <c r="AN38" s="55"/>
      <c r="AO38" s="56"/>
      <c r="AP38" s="57"/>
      <c r="AQ38" s="57"/>
      <c r="AR38" s="58"/>
      <c r="AS38" s="59"/>
      <c r="AT38" s="60"/>
      <c r="AU38" s="55"/>
      <c r="AV38" s="56"/>
      <c r="AW38" s="61"/>
      <c r="AX38" s="57"/>
      <c r="AY38" s="62"/>
      <c r="AZ38" s="63"/>
      <c r="BA38" s="64"/>
      <c r="BB38" s="65"/>
      <c r="BC38" s="56"/>
      <c r="BD38" s="61"/>
      <c r="BE38" s="57"/>
      <c r="BF38" s="58"/>
      <c r="BG38" s="63"/>
      <c r="BH38" s="64"/>
      <c r="BI38" s="66"/>
      <c r="BK38" s="21" t="str">
        <f t="shared" si="23"/>
        <v>0</v>
      </c>
      <c r="BM38" s="21"/>
    </row>
    <row r="39" ht="33.75" customHeight="1">
      <c r="A39" s="37"/>
      <c r="B39" s="38">
        <f>IFERROR(__xludf.DUMMYFUNCTION("""COMPUTED_VALUE"""),24.0)</f>
        <v>24</v>
      </c>
      <c r="C39" s="39" t="str">
        <f>IFERROR(__xludf.DUMMYFUNCTION("""COMPUTED_VALUE"""),"Gestión de control interno disciplinario")</f>
        <v>Gestión de control interno disciplinario</v>
      </c>
      <c r="D39" s="40" t="str">
        <f>IFERROR(__xludf.DUMMYFUNCTION("""COMPUTED_VALUE"""),"Control Interno Disciplinario")</f>
        <v>Control Interno Disciplinario</v>
      </c>
      <c r="E39" s="40" t="str">
        <f>IFERROR(__xludf.DUMMYFUNCTION("""COMPUTED_VALUE"""),"Fortalecimiento de la capacidad de gestión de la autoridad nacional de acuicultura y pesca - aunap nacional")</f>
        <v>Fortalecimiento de la capacidad de gestión de la autoridad nacional de acuicultura y pesca - aunap nacional</v>
      </c>
      <c r="F39" s="40">
        <f>IFERROR(__xludf.DUMMYFUNCTION("""COMPUTED_VALUE"""),2.01801E12)</f>
        <v>2018010000000</v>
      </c>
      <c r="G39" s="41" t="str">
        <f>IFERROR(__xludf.DUMMYFUNCTION("""COMPUTED_VALUE"""),"Fortalecimiento")</f>
        <v>Fortalecimiento</v>
      </c>
      <c r="H39" s="40" t="str">
        <f>IFERROR(__xludf.DUMMYFUNCTION("""COMPUTED_VALUE"""),"Fortalecer los sistemas de gestión de la Entidad")</f>
        <v>Fortalecer los sistemas de gestión de la Entidad</v>
      </c>
      <c r="I39" s="40" t="str">
        <f>IFERROR(__xludf.DUMMYFUNCTION("""COMPUTED_VALUE"""),"Servicio de Implementación Sistemas de Gestión")</f>
        <v>Servicio de Implementación Sistemas de Gestión</v>
      </c>
      <c r="J39"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39" s="42" t="str">
        <f>IFERROR(__xludf.DUMMYFUNCTION("""COMPUTED_VALUE"""),"Gestión del área")</f>
        <v>Gestión del área</v>
      </c>
      <c r="L39" s="42" t="str">
        <f>IFERROR(__xludf.DUMMYFUNCTION("""COMPUTED_VALUE"""),"Eficacia")</f>
        <v>Eficacia</v>
      </c>
      <c r="M39" s="42" t="str">
        <f>IFERROR(__xludf.DUMMYFUNCTION("""COMPUTED_VALUE"""),"Número")</f>
        <v>Número</v>
      </c>
      <c r="N39" s="43" t="str">
        <f>IFERROR(__xludf.DUMMYFUNCTION("""COMPUTED_VALUE"""),"Número de actividades de divulgación sobre derecho disciplinario realizadas/Número de actividades de divulgación sobre derecho disciplinario programadas")</f>
        <v>Número de actividades de divulgación sobre derecho disciplinario realizadas/Número de actividades de divulgación sobre derecho disciplinario programadas</v>
      </c>
      <c r="O39" s="44"/>
      <c r="P39" s="45">
        <f>IFERROR(__xludf.DUMMYFUNCTION("""COMPUTED_VALUE"""),11.0)</f>
        <v>11</v>
      </c>
      <c r="Q39" s="46" t="str">
        <f>IFERROR(__xludf.DUMMYFUNCTION("""COMPUTED_VALUE"""),"Realizar actividades de divulgación sobre derecho disciplinario")</f>
        <v>Realizar actividades de divulgación sobre derecho disciplinario</v>
      </c>
      <c r="R39" s="47" t="str">
        <f>IFERROR(__xludf.DUMMYFUNCTION("""COMPUTED_VALUE"""),"Trimestral")</f>
        <v>Trimestral</v>
      </c>
      <c r="S39" s="45">
        <f>IFERROR(__xludf.DUMMYFUNCTION("""COMPUTED_VALUE"""),2.0)</f>
        <v>2</v>
      </c>
      <c r="T39" s="45">
        <f>IFERROR(__xludf.DUMMYFUNCTION("""COMPUTED_VALUE"""),3.0)</f>
        <v>3</v>
      </c>
      <c r="U39" s="45">
        <f>IFERROR(__xludf.DUMMYFUNCTION("""COMPUTED_VALUE"""),3.0)</f>
        <v>3</v>
      </c>
      <c r="V39" s="45">
        <f>IFERROR(__xludf.DUMMYFUNCTION("""COMPUTED_VALUE"""),3.0)</f>
        <v>3</v>
      </c>
      <c r="W39" s="48" t="str">
        <f>IFERROR(__xludf.DUMMYFUNCTION("""COMPUTED_VALUE"""),"Secretaria General")</f>
        <v>Secretaria General</v>
      </c>
      <c r="X39" s="49" t="str">
        <f>IFERROR(__xludf.DUMMYFUNCTION("""COMPUTED_VALUE"""),"Daniel Ariza Heredia")</f>
        <v>Daniel Ariza Heredia</v>
      </c>
      <c r="Y39" s="39" t="str">
        <f>IFERROR(__xludf.DUMMYFUNCTION("""COMPUTED_VALUE"""),"Secretario General")</f>
        <v>Secretario General</v>
      </c>
      <c r="Z39" s="49" t="str">
        <f>IFERROR(__xludf.DUMMYFUNCTION("""COMPUTED_VALUE"""),"daniel.ariza@aunap.gov.co")</f>
        <v>daniel.ariza@aunap.gov.co</v>
      </c>
      <c r="AA39" s="39" t="str">
        <f>IFERROR(__xludf.DUMMYFUNCTION("""COMPUTED_VALUE"""),"Humanos, Físicos, Financieros, Tecnológicos")</f>
        <v>Humanos, Físicos, Financieros, Tecnológicos</v>
      </c>
      <c r="AB39" s="39" t="str">
        <f>IFERROR(__xludf.DUMMYFUNCTION("""COMPUTED_VALUE"""),"No asociado")</f>
        <v>No asociado</v>
      </c>
      <c r="AC39" s="39" t="str">
        <f>IFERROR(__xludf.DUMMYFUNCTION("""COMPUTED_VALUE"""),"Llegar con actividades de pesca y acuicultura a todas las regiones")</f>
        <v>Llegar con actividades de pesca y acuicultura a todas las regiones</v>
      </c>
      <c r="AD39" s="39" t="str">
        <f>IFERROR(__xludf.DUMMYFUNCTION("""COMPUTED_VALUE"""),"Talento Humano")</f>
        <v>Talento Humano</v>
      </c>
      <c r="AE39" s="39" t="str">
        <f>IFERROR(__xludf.DUMMYFUNCTION("""COMPUTED_VALUE"""),"Talento Humano")</f>
        <v>Talento Humano</v>
      </c>
      <c r="AF39" s="39" t="str">
        <f>IFERROR(__xludf.DUMMYFUNCTION("""COMPUTED_VALUE"""),"16. Paz, justicia e instituciones sólidas")</f>
        <v>16. Paz, justicia e instituciones sólidas</v>
      </c>
      <c r="AG39" s="76">
        <f>IFERROR(__xludf.DUMMYFUNCTION("""COMPUTED_VALUE"""),2.0)</f>
        <v>2</v>
      </c>
      <c r="AH39" s="51" t="str">
        <f>IFERROR(__xludf.DUMMYFUNCTION("""COMPUTED_VALUE"""),"Se remitieron dos correos masivos a los funcionarios y contratistas de la entidad con información relevante sobre derecho disciplinario ")</f>
        <v>Se remitieron dos correos masivos a los funcionarios y contratistas de la entidad con información relevante sobre derecho disciplinario </v>
      </c>
      <c r="AI39" s="77" t="str">
        <f>IFERROR(__xludf.DUMMYFUNCTION("""COMPUTED_VALUE"""),"https://drive.google.com/file/d/1ZPzlp8BgCB5Ja1acIybuTU0IUukKR-F1/view?usp=sharing")</f>
        <v>https://drive.google.com/file/d/1ZPzlp8BgCB5Ja1acIybuTU0IUukKR-F1/view?usp=sharing</v>
      </c>
      <c r="AJ39" s="52">
        <f>IFERROR(__xludf.DUMMYFUNCTION("""COMPUTED_VALUE"""),44298.0)</f>
        <v>44298</v>
      </c>
      <c r="AK39" s="53" t="str">
        <f>IFERROR(IF((AL39+1)&lt;2,Alertas!$B$2&amp;TEXT(AL39,"0%")&amp;Alertas!$D$2, IF((AL39+1)=2,Alertas!$B$3,IF((AL39+1)&gt;2,Alertas!$B$4&amp;TEXT(AL39,"0%")&amp;Alertas!$D$4,AL39+1))),"Sin meta para el cuarto trimestre")</f>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L39" s="54">
        <f t="shared" si="2"/>
        <v>0.6666666667</v>
      </c>
      <c r="AM39" s="53" t="str">
        <f t="shared" si="3"/>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N39" s="55"/>
      <c r="AO39" s="56"/>
      <c r="AP39" s="57"/>
      <c r="AQ39" s="57"/>
      <c r="AR39" s="58"/>
      <c r="AS39" s="59"/>
      <c r="AT39" s="60"/>
      <c r="AU39" s="55"/>
      <c r="AV39" s="56"/>
      <c r="AW39" s="61"/>
      <c r="AX39" s="57"/>
      <c r="AY39" s="62"/>
      <c r="AZ39" s="63"/>
      <c r="BA39" s="64"/>
      <c r="BB39" s="65"/>
      <c r="BC39" s="56"/>
      <c r="BD39" s="61"/>
      <c r="BE39" s="57"/>
      <c r="BF39" s="58"/>
      <c r="BG39" s="63"/>
      <c r="BH39" s="64"/>
      <c r="BI39" s="66"/>
      <c r="BK39" s="21" t="str">
        <f t="shared" si="23"/>
        <v>-1</v>
      </c>
      <c r="BM39" s="21"/>
    </row>
    <row r="40" ht="33.75" customHeight="1">
      <c r="A40" s="37"/>
      <c r="B40" s="38">
        <f>IFERROR(__xludf.DUMMYFUNCTION("""COMPUTED_VALUE"""),46.0)</f>
        <v>46</v>
      </c>
      <c r="C40" s="39" t="str">
        <f>IFERROR(__xludf.DUMMYFUNCTION("""COMPUTED_VALUE"""),"Gestión de la inspección y vigilancia")</f>
        <v>Gestión de la inspección y vigilancia</v>
      </c>
      <c r="D40" s="40" t="str">
        <f>IFERROR(__xludf.DUMMYFUNCTION("""COMPUTED_VALUE"""),"Dirección Técnica de Inspección y Vigilancia")</f>
        <v>Dirección Técnica de Inspección y Vigilancia</v>
      </c>
      <c r="E40"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40" s="40">
        <f>IFERROR(__xludf.DUMMYFUNCTION("""COMPUTED_VALUE"""),2.01901E12)</f>
        <v>2019010000000</v>
      </c>
      <c r="G40" s="41" t="str">
        <f>IFERROR(__xludf.DUMMYFUNCTION("""COMPUTED_VALUE"""),"Inspección")</f>
        <v>Inspección</v>
      </c>
      <c r="H40" s="40" t="str">
        <f>IFERROR(__xludf.DUMMYFUNCTION("""COMPUTED_VALUE"""),"Aumentar el conocimiento de la normatividad pesquera y de la acuicultura por parte de la comunidad.")</f>
        <v>Aumentar el conocimiento de la normatividad pesquera y de la acuicultura por parte de la comunidad.</v>
      </c>
      <c r="I40" s="40" t="str">
        <f>IFERROR(__xludf.DUMMYFUNCTION("""COMPUTED_VALUE"""),"Servicio de divulgación y socialización")</f>
        <v>Servicio de divulgación y socialización</v>
      </c>
      <c r="J40" s="40" t="str">
        <f>IFERROR(__xludf.DUMMYFUNCTION("""COMPUTED_VALUE"""),"Implementar las estrategias de socialización y Divulgación a la comunidad")</f>
        <v>Implementar las estrategias de socialización y Divulgación a la comunidad</v>
      </c>
      <c r="K40" s="42" t="str">
        <f>IFERROR(__xludf.DUMMYFUNCTION("""COMPUTED_VALUE"""),"Producto")</f>
        <v>Producto</v>
      </c>
      <c r="L40" s="42" t="str">
        <f>IFERROR(__xludf.DUMMYFUNCTION("""COMPUTED_VALUE"""),"Eficacia")</f>
        <v>Eficacia</v>
      </c>
      <c r="M40" s="42" t="str">
        <f>IFERROR(__xludf.DUMMYFUNCTION("""COMPUTED_VALUE"""),"Número")</f>
        <v>Número</v>
      </c>
      <c r="N40" s="43" t="str">
        <f>IFERROR(__xludf.DUMMYFUNCTION("""COMPUTED_VALUE"""),"Eventos realizados")</f>
        <v>Eventos realizados</v>
      </c>
      <c r="O40" s="44">
        <f>IFERROR(__xludf.DUMMYFUNCTION("""COMPUTED_VALUE"""),110.0)</f>
        <v>110</v>
      </c>
      <c r="P40" s="45">
        <f>IFERROR(__xludf.DUMMYFUNCTION("""COMPUTED_VALUE"""),70.0)</f>
        <v>70</v>
      </c>
      <c r="Q40" s="46" t="str">
        <f>IFERROR(__xludf.DUMMYFUNCTION("""COMPUTED_VALUE"""),"Realizar eventos de socialización y divulgación dirigidos a grupos de interés para disminuir las malas prácticas de pesca y de la acuicultura a nivel nacional.")</f>
        <v>Realizar eventos de socialización y divulgación dirigidos a grupos de interés para disminuir las malas prácticas de pesca y de la acuicultura a nivel nacional.</v>
      </c>
      <c r="R40" s="47" t="str">
        <f>IFERROR(__xludf.DUMMYFUNCTION("""COMPUTED_VALUE"""),"Anual")</f>
        <v>Anual</v>
      </c>
      <c r="S40" s="45">
        <f>IFERROR(__xludf.DUMMYFUNCTION("""COMPUTED_VALUE"""),0.0)</f>
        <v>0</v>
      </c>
      <c r="T40" s="45">
        <f>IFERROR(__xludf.DUMMYFUNCTION("""COMPUTED_VALUE"""),18.0)</f>
        <v>18</v>
      </c>
      <c r="U40" s="45">
        <f>IFERROR(__xludf.DUMMYFUNCTION("""COMPUTED_VALUE"""),35.0)</f>
        <v>35</v>
      </c>
      <c r="V40" s="45">
        <f>IFERROR(__xludf.DUMMYFUNCTION("""COMPUTED_VALUE"""),17.0)</f>
        <v>17</v>
      </c>
      <c r="W40" s="48" t="str">
        <f>IFERROR(__xludf.DUMMYFUNCTION("""COMPUTED_VALUE"""),"Dirección Técnica de Inspección y Vigilancia")</f>
        <v>Dirección Técnica de Inspección y Vigilancia</v>
      </c>
      <c r="X40" s="49" t="str">
        <f>IFERROR(__xludf.DUMMYFUNCTION("""COMPUTED_VALUE"""),"Nelcy Villa")</f>
        <v>Nelcy Villa</v>
      </c>
      <c r="Y40" s="39" t="str">
        <f>IFERROR(__xludf.DUMMYFUNCTION("""COMPUTED_VALUE"""),"Directora técnica de inspección y vigilancia")</f>
        <v>Directora técnica de inspección y vigilancia</v>
      </c>
      <c r="Z40" s="49" t="str">
        <f>IFERROR(__xludf.DUMMYFUNCTION("""COMPUTED_VALUE"""),"nelcy.villa@aunap.gov.co")</f>
        <v>nelcy.villa@aunap.gov.co</v>
      </c>
      <c r="AA40" s="39" t="str">
        <f>IFERROR(__xludf.DUMMYFUNCTION("""COMPUTED_VALUE"""),"Humanos, Físicos, Financieros, Tecnológicos")</f>
        <v>Humanos, Físicos, Financieros, Tecnológicos</v>
      </c>
      <c r="AB40" s="39" t="str">
        <f>IFERROR(__xludf.DUMMYFUNCTION("""COMPUTED_VALUE"""),"No asociado")</f>
        <v>No asociado</v>
      </c>
      <c r="AC40"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0" s="39" t="str">
        <f>IFERROR(__xludf.DUMMYFUNCTION("""COMPUTED_VALUE"""),"Gestión con valores para resultados")</f>
        <v>Gestión con valores para resultados</v>
      </c>
      <c r="AE40" s="39" t="str">
        <f>IFERROR(__xludf.DUMMYFUNCTION("""COMPUTED_VALUE"""),"Fortalecimiento Organizacional y Simplificación de Procesos")</f>
        <v>Fortalecimiento Organizacional y Simplificación de Procesos</v>
      </c>
      <c r="AF40" s="39" t="str">
        <f>IFERROR(__xludf.DUMMYFUNCTION("""COMPUTED_VALUE"""),"12. Producción y consumo responsable")</f>
        <v>12. Producción y consumo responsable</v>
      </c>
      <c r="AG40" s="50">
        <f>IFERROR(__xludf.DUMMYFUNCTION("""COMPUTED_VALUE"""),0.0)</f>
        <v>0</v>
      </c>
      <c r="AH40" s="51" t="str">
        <f>IFERROR(__xludf.DUMMYFUNCTION("""COMPUTED_VALUE"""),"En el I Trimestre no se tenia programado la realización de la actividad.")</f>
        <v>En el I Trimestre no se tenia programado la realización de la actividad.</v>
      </c>
      <c r="AI40" s="51"/>
      <c r="AJ40" s="52">
        <f>IFERROR(__xludf.DUMMYFUNCTION("""COMPUTED_VALUE"""),44298.0)</f>
        <v>44298</v>
      </c>
      <c r="AK40" s="53" t="str">
        <f>IFERROR(IF((AL40+1)&lt;2,Alertas!$B$2&amp;TEXT(AL40,"0%")&amp;Alertas!$D$2, IF((AL40+1)=2,Alertas!$B$3,IF((AL40+1)&gt;2,Alertas!$B$4&amp;TEXT(AL40,"0%")&amp;Alertas!$D$4,AL40+1))),"Sin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40" s="54">
        <f t="shared" si="2"/>
        <v>0</v>
      </c>
      <c r="AM40"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40" s="55"/>
      <c r="AO40" s="56"/>
      <c r="AP40" s="57"/>
      <c r="AQ40" s="57"/>
      <c r="AR40" s="58"/>
      <c r="AS40" s="59"/>
      <c r="AT40" s="60"/>
      <c r="AU40" s="55"/>
      <c r="AV40" s="56"/>
      <c r="AW40" s="61"/>
      <c r="AX40" s="57"/>
      <c r="AY40" s="62"/>
      <c r="AZ40" s="63"/>
      <c r="BA40" s="64"/>
      <c r="BB40" s="65"/>
      <c r="BC40" s="56"/>
      <c r="BD40" s="61"/>
      <c r="BE40" s="57"/>
      <c r="BF40" s="58"/>
      <c r="BG40" s="63"/>
      <c r="BH40" s="64"/>
      <c r="BI40" s="66"/>
      <c r="BK40" s="21" t="str">
        <f t="shared" si="23"/>
        <v>-1</v>
      </c>
      <c r="BM40" s="21"/>
    </row>
    <row r="41" ht="33.75" customHeight="1">
      <c r="A41" s="37"/>
      <c r="B41" s="38">
        <f>IFERROR(__xludf.DUMMYFUNCTION("""COMPUTED_VALUE"""),47.0)</f>
        <v>47</v>
      </c>
      <c r="C41" s="39" t="str">
        <f>IFERROR(__xludf.DUMMYFUNCTION("""COMPUTED_VALUE"""),"Gestión de la inspección y vigilancia")</f>
        <v>Gestión de la inspección y vigilancia</v>
      </c>
      <c r="D41" s="40" t="str">
        <f>IFERROR(__xludf.DUMMYFUNCTION("""COMPUTED_VALUE"""),"Dirección Técnica de Inspección y Vigilancia")</f>
        <v>Dirección Técnica de Inspección y Vigilancia</v>
      </c>
      <c r="E41"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41" s="40">
        <f>IFERROR(__xludf.DUMMYFUNCTION("""COMPUTED_VALUE"""),2.01901E12)</f>
        <v>2019010000000</v>
      </c>
      <c r="G41" s="41" t="str">
        <f>IFERROR(__xludf.DUMMYFUNCTION("""COMPUTED_VALUE"""),"Inspección")</f>
        <v>Inspección</v>
      </c>
      <c r="H41" s="40" t="str">
        <f>IFERROR(__xludf.DUMMYFUNCTION("""COMPUTED_VALUE"""),"Fortalecer los mecanismos de seguimiento y control de la actividad pesquera y de la acuicultura.")</f>
        <v>Fortalecer los mecanismos de seguimiento y control de la actividad pesquera y de la acuicultura.</v>
      </c>
      <c r="I41" s="40" t="str">
        <f>IFERROR(__xludf.DUMMYFUNCTION("""COMPUTED_VALUE"""),"Servicio de inspección, vigilancia y control de la pesca y la acuicultura")</f>
        <v>Servicio de inspección, vigilancia y control de la pesca y la acuicultura</v>
      </c>
      <c r="J41" s="40" t="str">
        <f>IFERROR(__xludf.DUMMYFUNCTION("""COMPUTED_VALUE"""),"Realizar los operativos de inspección, vigilancia y control.")</f>
        <v>Realizar los operativos de inspección, vigilancia y control.</v>
      </c>
      <c r="K41" s="42" t="str">
        <f>IFERROR(__xludf.DUMMYFUNCTION("""COMPUTED_VALUE"""),"Producto")</f>
        <v>Producto</v>
      </c>
      <c r="L41" s="42" t="str">
        <f>IFERROR(__xludf.DUMMYFUNCTION("""COMPUTED_VALUE"""),"Eficacia")</f>
        <v>Eficacia</v>
      </c>
      <c r="M41" s="42" t="str">
        <f>IFERROR(__xludf.DUMMYFUNCTION("""COMPUTED_VALUE"""),"Número")</f>
        <v>Número</v>
      </c>
      <c r="N41" s="43" t="str">
        <f>IFERROR(__xludf.DUMMYFUNCTION("""COMPUTED_VALUE"""),"Operativos de inspección, vigilancia y control realizados")</f>
        <v>Operativos de inspección, vigilancia y control realizados</v>
      </c>
      <c r="O41" s="44">
        <f>IFERROR(__xludf.DUMMYFUNCTION("""COMPUTED_VALUE"""),157.0)</f>
        <v>157</v>
      </c>
      <c r="P41" s="45">
        <f>IFERROR(__xludf.DUMMYFUNCTION("""COMPUTED_VALUE"""),380.0)</f>
        <v>380</v>
      </c>
      <c r="Q41" s="46" t="str">
        <f>IFERROR(__xludf.DUMMYFUNCTION("""COMPUTED_VALUE"""),"Realizar los operativos de inspección, vigilancia y control realizados por la DTIV a nivel nacional")</f>
        <v>Realizar los operativos de inspección, vigilancia y control realizados por la DTIV a nivel nacional</v>
      </c>
      <c r="R41" s="47" t="str">
        <f>IFERROR(__xludf.DUMMYFUNCTION("""COMPUTED_VALUE"""),"Anual")</f>
        <v>Anual</v>
      </c>
      <c r="S41" s="45">
        <f>IFERROR(__xludf.DUMMYFUNCTION("""COMPUTED_VALUE"""),70.0)</f>
        <v>70</v>
      </c>
      <c r="T41" s="45">
        <f>IFERROR(__xludf.DUMMYFUNCTION("""COMPUTED_VALUE"""),106.0)</f>
        <v>106</v>
      </c>
      <c r="U41" s="45">
        <f>IFERROR(__xludf.DUMMYFUNCTION("""COMPUTED_VALUE"""),106.0)</f>
        <v>106</v>
      </c>
      <c r="V41" s="45">
        <f>IFERROR(__xludf.DUMMYFUNCTION("""COMPUTED_VALUE"""),98.0)</f>
        <v>98</v>
      </c>
      <c r="W41" s="48" t="str">
        <f>IFERROR(__xludf.DUMMYFUNCTION("""COMPUTED_VALUE"""),"Dirección Técnica de Inspección y Vigilancia")</f>
        <v>Dirección Técnica de Inspección y Vigilancia</v>
      </c>
      <c r="X41" s="49" t="str">
        <f>IFERROR(__xludf.DUMMYFUNCTION("""COMPUTED_VALUE"""),"Nelcy Villa")</f>
        <v>Nelcy Villa</v>
      </c>
      <c r="Y41" s="39" t="str">
        <f>IFERROR(__xludf.DUMMYFUNCTION("""COMPUTED_VALUE"""),"Directora técnica de inspección y vigilancia")</f>
        <v>Directora técnica de inspección y vigilancia</v>
      </c>
      <c r="Z41" s="49" t="str">
        <f>IFERROR(__xludf.DUMMYFUNCTION("""COMPUTED_VALUE"""),"nelcy.villa@aunap.gov.co")</f>
        <v>nelcy.villa@aunap.gov.co</v>
      </c>
      <c r="AA41" s="39" t="str">
        <f>IFERROR(__xludf.DUMMYFUNCTION("""COMPUTED_VALUE"""),"Humanos, Físicos, Financieros, Tecnológicos")</f>
        <v>Humanos, Físicos, Financieros, Tecnológicos</v>
      </c>
      <c r="AB41" s="39" t="str">
        <f>IFERROR(__xludf.DUMMYFUNCTION("""COMPUTED_VALUE"""),"No asociado")</f>
        <v>No asociado</v>
      </c>
      <c r="AC41"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1" s="39" t="str">
        <f>IFERROR(__xludf.DUMMYFUNCTION("""COMPUTED_VALUE"""),"Gestión con valores para resultados")</f>
        <v>Gestión con valores para resultados</v>
      </c>
      <c r="AE41" s="39" t="str">
        <f>IFERROR(__xludf.DUMMYFUNCTION("""COMPUTED_VALUE"""),"Fortalecimiento Organizacional y Simplificación de Procesos")</f>
        <v>Fortalecimiento Organizacional y Simplificación de Procesos</v>
      </c>
      <c r="AF41" s="39" t="str">
        <f>IFERROR(__xludf.DUMMYFUNCTION("""COMPUTED_VALUE"""),"12. Producción y consumo responsable")</f>
        <v>12. Producción y consumo responsable</v>
      </c>
      <c r="AG41" s="76">
        <f>IFERROR(__xludf.DUMMYFUNCTION("""COMPUTED_VALUE"""),74.0)</f>
        <v>74</v>
      </c>
      <c r="AH41" s="51" t="str">
        <f>IFERROR(__xludf.DUMMYFUNCTION("""COMPUTED_VALUE"""),"Los operativos fueron desarrollados de la Siguiente manera:
Enero: 2 operativos
Febrero: 28 Operativos
Marzo: 44 Operativos")</f>
        <v>Los operativos fueron desarrollados de la Siguiente manera:
Enero: 2 operativos
Febrero: 28 Operativos
Marzo: 44 Operativos</v>
      </c>
      <c r="AI41" s="77" t="str">
        <f>IFERROR(__xludf.DUMMYFUNCTION("""COMPUTED_VALUE"""),"https://drive.google.com/file/d/1vQ1BTgGyiKHZjEfmJbwS8_v47obtxq1Y/view?usp=sharing")</f>
        <v>https://drive.google.com/file/d/1vQ1BTgGyiKHZjEfmJbwS8_v47obtxq1Y/view?usp=sharing</v>
      </c>
      <c r="AJ41" s="52">
        <f>IFERROR(__xludf.DUMMYFUNCTION("""COMPUTED_VALUE"""),44298.0)</f>
        <v>44298</v>
      </c>
      <c r="AK41" s="53" t="str">
        <f>IFERROR(IF((AL41+1)&lt;2,Alertas!$B$2&amp;TEXT(AL41,"0%")&amp;Alertas!$D$2, IF((AL41+1)=2,Alertas!$B$3,IF((AL41+1)&gt;2,Alertas!$B$4&amp;TEXT(AL41,"0%")&amp;Alertas!$D$4,AL41+1))),"Sin meta para el cuarto trimestre")</f>
        <v>La ejecución de la meta registrada se encuentra por debajo de la meta programada en la formulación del plan de acción para el cuarto trimestre, su porcentaje de cumplimiento es 76%, lo cual indica un incumplimiento que puede ser entendido por los entes de control como falencias en el proceso de planeación. se recomienda tomar este antecedente como insumo para disminuir la meta en la próxima vigencia</v>
      </c>
      <c r="AL41" s="54">
        <f t="shared" si="2"/>
        <v>0.7551020408</v>
      </c>
      <c r="AM41" s="53" t="str">
        <f t="shared" si="3"/>
        <v>La ejecución de la meta registrada se encuentra por debajo de la meta programada en la formulación del plan de acción para el cuarto trimestre, su porcentaje de cumplimiento es 76%, lo cual indica un incumplimiento que puede ser entendido por los entes de control como falencias en el proceso de planeación. se recomienda tomar este antecedente como insumo para disminuir la meta en la próxima vigencia.</v>
      </c>
      <c r="AN41" s="55"/>
      <c r="AO41" s="56"/>
      <c r="AP41" s="57"/>
      <c r="AQ41" s="57"/>
      <c r="AR41" s="58"/>
      <c r="AS41" s="59"/>
      <c r="AT41" s="60"/>
      <c r="AU41" s="55"/>
      <c r="AV41" s="56"/>
      <c r="AW41" s="61"/>
      <c r="AX41" s="57"/>
      <c r="AY41" s="62"/>
      <c r="AZ41" s="63"/>
      <c r="BA41" s="64"/>
      <c r="BB41" s="65"/>
      <c r="BC41" s="56"/>
      <c r="BD41" s="61"/>
      <c r="BE41" s="57"/>
      <c r="BF41" s="58"/>
      <c r="BG41" s="63"/>
      <c r="BH41" s="64"/>
      <c r="BI41" s="66"/>
      <c r="BK41" s="21" t="str">
        <f t="shared" si="23"/>
        <v>-1</v>
      </c>
      <c r="BM41" s="21"/>
    </row>
    <row r="42" ht="33.75" customHeight="1">
      <c r="A42" s="37"/>
      <c r="B42" s="38">
        <f>IFERROR(__xludf.DUMMYFUNCTION("""COMPUTED_VALUE"""),48.0)</f>
        <v>48</v>
      </c>
      <c r="C42" s="39" t="str">
        <f>IFERROR(__xludf.DUMMYFUNCTION("""COMPUTED_VALUE"""),"Gestión de la inspección y vigilancia")</f>
        <v>Gestión de la inspección y vigilancia</v>
      </c>
      <c r="D42" s="40" t="str">
        <f>IFERROR(__xludf.DUMMYFUNCTION("""COMPUTED_VALUE"""),"Dirección Técnica de Inspección y Vigilancia")</f>
        <v>Dirección Técnica de Inspección y Vigilancia</v>
      </c>
      <c r="E42"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42" s="40">
        <f>IFERROR(__xludf.DUMMYFUNCTION("""COMPUTED_VALUE"""),2.01901E12)</f>
        <v>2019010000000</v>
      </c>
      <c r="G42" s="41" t="str">
        <f>IFERROR(__xludf.DUMMYFUNCTION("""COMPUTED_VALUE"""),"Inspección")</f>
        <v>Inspección</v>
      </c>
      <c r="H42" s="40" t="str">
        <f>IFERROR(__xludf.DUMMYFUNCTION("""COMPUTED_VALUE"""),"Fortalecer los mecanismos de seguimiento y control de la actividad pesquera y de la acuicultura.")</f>
        <v>Fortalecer los mecanismos de seguimiento y control de la actividad pesquera y de la acuicultura.</v>
      </c>
      <c r="I42" s="40" t="str">
        <f>IFERROR(__xludf.DUMMYFUNCTION("""COMPUTED_VALUE"""),"Servicio de inspección, vigilancia y control de la pesca y la acuicultura")</f>
        <v>Servicio de inspección, vigilancia y control de la pesca y la acuicultura</v>
      </c>
      <c r="J42" s="40" t="str">
        <f>IFERROR(__xludf.DUMMYFUNCTION("""COMPUTED_VALUE"""),"Realizar seguimiento a los procesos y procedimientos del área.")</f>
        <v>Realizar seguimiento a los procesos y procedimientos del área.</v>
      </c>
      <c r="K42" s="42" t="str">
        <f>IFERROR(__xludf.DUMMYFUNCTION("""COMPUTED_VALUE"""),"Gestión del área")</f>
        <v>Gestión del área</v>
      </c>
      <c r="L42" s="42" t="str">
        <f>IFERROR(__xludf.DUMMYFUNCTION("""COMPUTED_VALUE"""),"Eficacia")</f>
        <v>Eficacia</v>
      </c>
      <c r="M42" s="42" t="str">
        <f>IFERROR(__xludf.DUMMYFUNCTION("""COMPUTED_VALUE"""),"Número")</f>
        <v>Número</v>
      </c>
      <c r="N42" s="43" t="str">
        <f>IFERROR(__xludf.DUMMYFUNCTION("""COMPUTED_VALUE"""),"Informes de seguimiento realizados sobre la implementación de los procesos de la DTIV para el control de la pesca y de la acuicultura a nivel nacional")</f>
        <v>Informes de seguimiento realizados sobre la implementación de los procesos de la DTIV para el control de la pesca y de la acuicultura a nivel nacional</v>
      </c>
      <c r="O42" s="44"/>
      <c r="P42" s="74">
        <f>IFERROR(__xludf.DUMMYFUNCTION("""COMPUTED_VALUE"""),3.0)</f>
        <v>3</v>
      </c>
      <c r="Q42" s="75" t="str">
        <f>IFERROR(__xludf.DUMMYFUNCTION("""COMPUTED_VALUE"""),"Realizar informe de seguimiento a la implementación de los procesos de la DTIV para el control de la pesca y de la acuicultura a nivel nacional")</f>
        <v>Realizar informe de seguimiento a la implementación de los procesos de la DTIV para el control de la pesca y de la acuicultura a nivel nacional</v>
      </c>
      <c r="R42" s="75" t="str">
        <f>IFERROR(__xludf.DUMMYFUNCTION("""COMPUTED_VALUE"""),"Trimestral")</f>
        <v>Trimestral</v>
      </c>
      <c r="S42" s="74">
        <f>IFERROR(__xludf.DUMMYFUNCTION("""COMPUTED_VALUE"""),0.0)</f>
        <v>0</v>
      </c>
      <c r="T42" s="74">
        <f>IFERROR(__xludf.DUMMYFUNCTION("""COMPUTED_VALUE"""),1.0)</f>
        <v>1</v>
      </c>
      <c r="U42" s="74">
        <f>IFERROR(__xludf.DUMMYFUNCTION("""COMPUTED_VALUE"""),1.0)</f>
        <v>1</v>
      </c>
      <c r="V42" s="74">
        <f>IFERROR(__xludf.DUMMYFUNCTION("""COMPUTED_VALUE"""),1.0)</f>
        <v>1</v>
      </c>
      <c r="W42" s="48" t="str">
        <f>IFERROR(__xludf.DUMMYFUNCTION("""COMPUTED_VALUE"""),"Dirección Técnica de Inspección y Vigilancia")</f>
        <v>Dirección Técnica de Inspección y Vigilancia</v>
      </c>
      <c r="X42" s="49" t="str">
        <f>IFERROR(__xludf.DUMMYFUNCTION("""COMPUTED_VALUE"""),"Nelcy Villa")</f>
        <v>Nelcy Villa</v>
      </c>
      <c r="Y42" s="39" t="str">
        <f>IFERROR(__xludf.DUMMYFUNCTION("""COMPUTED_VALUE"""),"Directora técnica de inspección y vigilancia")</f>
        <v>Directora técnica de inspección y vigilancia</v>
      </c>
      <c r="Z42" s="49" t="str">
        <f>IFERROR(__xludf.DUMMYFUNCTION("""COMPUTED_VALUE"""),"nelcy.villa@aunap.gov.co")</f>
        <v>nelcy.villa@aunap.gov.co</v>
      </c>
      <c r="AA42" s="39" t="str">
        <f>IFERROR(__xludf.DUMMYFUNCTION("""COMPUTED_VALUE"""),"Humanos, Físicos, Financieros, Tecnológicos")</f>
        <v>Humanos, Físicos, Financieros, Tecnológicos</v>
      </c>
      <c r="AB42" s="39" t="str">
        <f>IFERROR(__xludf.DUMMYFUNCTION("""COMPUTED_VALUE"""),"No asociado")</f>
        <v>No asociado</v>
      </c>
      <c r="AC42"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2" s="39" t="str">
        <f>IFERROR(__xludf.DUMMYFUNCTION("""COMPUTED_VALUE"""),"Gestión con valores para resultados")</f>
        <v>Gestión con valores para resultados</v>
      </c>
      <c r="AE42" s="39" t="str">
        <f>IFERROR(__xludf.DUMMYFUNCTION("""COMPUTED_VALUE"""),"Fortalecimiento Organizacional y Simplificación de Procesos")</f>
        <v>Fortalecimiento Organizacional y Simplificación de Procesos</v>
      </c>
      <c r="AF42" s="39" t="str">
        <f>IFERROR(__xludf.DUMMYFUNCTION("""COMPUTED_VALUE"""),"12. Producción y consumo responsable")</f>
        <v>12. Producción y consumo responsable</v>
      </c>
      <c r="AG42" s="76">
        <f>IFERROR(__xludf.DUMMYFUNCTION("""COMPUTED_VALUE"""),0.0)</f>
        <v>0</v>
      </c>
      <c r="AH42" s="51" t="str">
        <f>IFERROR(__xludf.DUMMYFUNCTION("""COMPUTED_VALUE"""),"En el I Trimestre no se tenia programado la realización de la actividad.")</f>
        <v>En el I Trimestre no se tenia programado la realización de la actividad.</v>
      </c>
      <c r="AI42" s="51"/>
      <c r="AJ42" s="52">
        <f>IFERROR(__xludf.DUMMYFUNCTION("""COMPUTED_VALUE"""),44298.0)</f>
        <v>44298</v>
      </c>
      <c r="AK42" s="53" t="str">
        <f>IFERROR(IF((AL42+1)&lt;2,Alertas!$B$2&amp;TEXT(AL42,"0%")&amp;Alertas!$D$2, IF((AL42+1)=2,Alertas!$B$3,IF((AL42+1)&gt;2,Alertas!$B$4&amp;TEXT(AL42,"0%")&amp;Alertas!$D$4,AL42+1))),"Sin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42" s="54">
        <f t="shared" si="2"/>
        <v>0</v>
      </c>
      <c r="AM42"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42" s="55"/>
      <c r="AO42" s="56"/>
      <c r="AP42" s="57"/>
      <c r="AQ42" s="57"/>
      <c r="AR42" s="58"/>
      <c r="AS42" s="59"/>
      <c r="AT42" s="60"/>
      <c r="AU42" s="55"/>
      <c r="AV42" s="56"/>
      <c r="AW42" s="61"/>
      <c r="AX42" s="57"/>
      <c r="AY42" s="62"/>
      <c r="AZ42" s="63"/>
      <c r="BA42" s="64"/>
      <c r="BB42" s="65"/>
      <c r="BC42" s="56"/>
      <c r="BD42" s="61"/>
      <c r="BE42" s="57"/>
      <c r="BF42" s="58"/>
      <c r="BG42" s="63"/>
      <c r="BH42" s="64"/>
      <c r="BI42" s="66"/>
      <c r="BK42" s="21" t="str">
        <f t="shared" si="23"/>
        <v>-1</v>
      </c>
      <c r="BM42" s="21"/>
    </row>
    <row r="43" ht="33.75" customHeight="1">
      <c r="A43" s="37"/>
      <c r="B43" s="38">
        <f>IFERROR(__xludf.DUMMYFUNCTION("""COMPUTED_VALUE"""),49.0)</f>
        <v>49</v>
      </c>
      <c r="C43" s="39" t="str">
        <f>IFERROR(__xludf.DUMMYFUNCTION("""COMPUTED_VALUE"""),"Gestión de la inspección y vigilancia")</f>
        <v>Gestión de la inspección y vigilancia</v>
      </c>
      <c r="D43" s="40" t="str">
        <f>IFERROR(__xludf.DUMMYFUNCTION("""COMPUTED_VALUE"""),"Dirección Técnica de Inspección y Vigilancia")</f>
        <v>Dirección Técnica de Inspección y Vigilancia</v>
      </c>
      <c r="E43"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43" s="40">
        <f>IFERROR(__xludf.DUMMYFUNCTION("""COMPUTED_VALUE"""),2.01901E12)</f>
        <v>2019010000000</v>
      </c>
      <c r="G43" s="41" t="str">
        <f>IFERROR(__xludf.DUMMYFUNCTION("""COMPUTED_VALUE"""),"Inspección")</f>
        <v>Inspección</v>
      </c>
      <c r="H43" s="40" t="str">
        <f>IFERROR(__xludf.DUMMYFUNCTION("""COMPUTED_VALUE"""),"Fortalecer los mecanismos de seguimiento y control de la actividad pesquera y de la acuicultura.")</f>
        <v>Fortalecer los mecanismos de seguimiento y control de la actividad pesquera y de la acuicultura.</v>
      </c>
      <c r="I43" s="40" t="str">
        <f>IFERROR(__xludf.DUMMYFUNCTION("""COMPUTED_VALUE"""),"Servicio de inspección, vigilancia y control de la pesca y la acuicultura")</f>
        <v>Servicio de inspección, vigilancia y control de la pesca y la acuicultura</v>
      </c>
      <c r="J43" s="40" t="str">
        <f>IFERROR(__xludf.DUMMYFUNCTION("""COMPUTED_VALUE"""),"Participar en la elaboración de las medidas de ordenación y control.")</f>
        <v>Participar en la elaboración de las medidas de ordenación y control.</v>
      </c>
      <c r="K43" s="42" t="str">
        <f>IFERROR(__xludf.DUMMYFUNCTION("""COMPUTED_VALUE"""),"Gestión del área")</f>
        <v>Gestión del área</v>
      </c>
      <c r="L43" s="42" t="str">
        <f>IFERROR(__xludf.DUMMYFUNCTION("""COMPUTED_VALUE"""),"Eficacia")</f>
        <v>Eficacia</v>
      </c>
      <c r="M43" s="42" t="str">
        <f>IFERROR(__xludf.DUMMYFUNCTION("""COMPUTED_VALUE"""),"Número")</f>
        <v>Número</v>
      </c>
      <c r="N43" s="43" t="str">
        <f>IFERROR(__xludf.DUMMYFUNCTION("""COMPUTED_VALUE"""),"Documento propuesta de las cuotas globales de pesca realizados")</f>
        <v>Documento propuesta de las cuotas globales de pesca realizados</v>
      </c>
      <c r="O43" s="44"/>
      <c r="P43" s="45">
        <f>IFERROR(__xludf.DUMMYFUNCTION("""COMPUTED_VALUE"""),1.0)</f>
        <v>1</v>
      </c>
      <c r="Q43" s="46" t="str">
        <f>IFERROR(__xludf.DUMMYFUNCTION("""COMPUTED_VALUE"""),"Elaborar documento propuesta de las cuotas globales de pesca como insumo para la emisión del acto administrativo.")</f>
        <v>Elaborar documento propuesta de las cuotas globales de pesca como insumo para la emisión del acto administrativo.</v>
      </c>
      <c r="R43" s="47" t="str">
        <f>IFERROR(__xludf.DUMMYFUNCTION("""COMPUTED_VALUE"""),"Anual")</f>
        <v>Anual</v>
      </c>
      <c r="S43" s="45">
        <f>IFERROR(__xludf.DUMMYFUNCTION("""COMPUTED_VALUE"""),0.0)</f>
        <v>0</v>
      </c>
      <c r="T43" s="45">
        <f>IFERROR(__xludf.DUMMYFUNCTION("""COMPUTED_VALUE"""),0.0)</f>
        <v>0</v>
      </c>
      <c r="U43" s="45">
        <f>IFERROR(__xludf.DUMMYFUNCTION("""COMPUTED_VALUE"""),1.0)</f>
        <v>1</v>
      </c>
      <c r="V43" s="45">
        <f>IFERROR(__xludf.DUMMYFUNCTION("""COMPUTED_VALUE"""),0.0)</f>
        <v>0</v>
      </c>
      <c r="W43" s="48" t="str">
        <f>IFERROR(__xludf.DUMMYFUNCTION("""COMPUTED_VALUE"""),"Dirección Técnica de Inspección y Vigilancia")</f>
        <v>Dirección Técnica de Inspección y Vigilancia</v>
      </c>
      <c r="X43" s="49" t="str">
        <f>IFERROR(__xludf.DUMMYFUNCTION("""COMPUTED_VALUE"""),"Nelcy Villa")</f>
        <v>Nelcy Villa</v>
      </c>
      <c r="Y43" s="39" t="str">
        <f>IFERROR(__xludf.DUMMYFUNCTION("""COMPUTED_VALUE"""),"Directora técnica de inspección y vigilancia")</f>
        <v>Directora técnica de inspección y vigilancia</v>
      </c>
      <c r="Z43" s="49" t="str">
        <f>IFERROR(__xludf.DUMMYFUNCTION("""COMPUTED_VALUE"""),"nelcy.villa@aunap.gov.co")</f>
        <v>nelcy.villa@aunap.gov.co</v>
      </c>
      <c r="AA43" s="39" t="str">
        <f>IFERROR(__xludf.DUMMYFUNCTION("""COMPUTED_VALUE"""),"Humanos, Físicos, Financieros, Tecnológicos")</f>
        <v>Humanos, Físicos, Financieros, Tecnológicos</v>
      </c>
      <c r="AB43" s="39" t="str">
        <f>IFERROR(__xludf.DUMMYFUNCTION("""COMPUTED_VALUE"""),"No asociado")</f>
        <v>No asociado</v>
      </c>
      <c r="AC4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3" s="39" t="str">
        <f>IFERROR(__xludf.DUMMYFUNCTION("""COMPUTED_VALUE"""),"Gestión con valores para resultados")</f>
        <v>Gestión con valores para resultados</v>
      </c>
      <c r="AE43" s="39" t="str">
        <f>IFERROR(__xludf.DUMMYFUNCTION("""COMPUTED_VALUE"""),"Fortalecimiento Organizacional y Simplificación de Procesos")</f>
        <v>Fortalecimiento Organizacional y Simplificación de Procesos</v>
      </c>
      <c r="AF43" s="39" t="str">
        <f>IFERROR(__xludf.DUMMYFUNCTION("""COMPUTED_VALUE"""),"12. Producción y consumo responsable")</f>
        <v>12. Producción y consumo responsable</v>
      </c>
      <c r="AG43" s="76">
        <f>IFERROR(__xludf.DUMMYFUNCTION("""COMPUTED_VALUE"""),0.0)</f>
        <v>0</v>
      </c>
      <c r="AH43" s="51" t="str">
        <f>IFERROR(__xludf.DUMMYFUNCTION("""COMPUTED_VALUE"""),"En el I Trimestre no se tenia programado la realización de la actividad.")</f>
        <v>En el I Trimestre no se tenia programado la realización de la actividad.</v>
      </c>
      <c r="AI43" s="51"/>
      <c r="AJ43" s="52">
        <f>IFERROR(__xludf.DUMMYFUNCTION("""COMPUTED_VALUE"""),44298.0)</f>
        <v>44298</v>
      </c>
      <c r="AK43" s="53" t="str">
        <f>IFERROR(IF((AL43+1)&lt;2,Alertas!$B$2&amp;TEXT(AL43,"0%")&amp;Alertas!$D$2, IF((AL43+1)=2,Alertas!$B$3,IF((AL43+1)&gt;2,Alertas!$B$4&amp;TEXT(AL43,"0%")&amp;Alertas!$D$4,AL43+1))),"Sin meta para el cuarto trimestre")</f>
        <v>Sin meta para el cuarto trimestre</v>
      </c>
      <c r="AL43" s="54" t="str">
        <f t="shared" si="2"/>
        <v>-</v>
      </c>
      <c r="AM43" s="53" t="str">
        <f t="shared" si="3"/>
        <v>Sin meta para el cuarto trimestre.</v>
      </c>
      <c r="AN43" s="55"/>
      <c r="AO43" s="56"/>
      <c r="AP43" s="57"/>
      <c r="AQ43" s="57"/>
      <c r="AR43" s="58"/>
      <c r="AS43" s="59"/>
      <c r="AT43" s="60"/>
      <c r="AU43" s="55"/>
      <c r="AV43" s="56"/>
      <c r="AW43" s="61"/>
      <c r="AX43" s="57"/>
      <c r="AY43" s="62"/>
      <c r="AZ43" s="63"/>
      <c r="BA43" s="64"/>
      <c r="BB43" s="65"/>
      <c r="BC43" s="56"/>
      <c r="BD43" s="61"/>
      <c r="BE43" s="57"/>
      <c r="BF43" s="58"/>
      <c r="BG43" s="63"/>
      <c r="BH43" s="64"/>
      <c r="BI43" s="66"/>
      <c r="BK43" s="21" t="str">
        <f t="shared" si="23"/>
        <v>-</v>
      </c>
      <c r="BM43" s="21"/>
    </row>
    <row r="44" ht="33.75" customHeight="1">
      <c r="A44" s="37"/>
      <c r="B44" s="38">
        <f>IFERROR(__xludf.DUMMYFUNCTION("""COMPUTED_VALUE"""),50.0)</f>
        <v>50</v>
      </c>
      <c r="C44" s="39" t="str">
        <f>IFERROR(__xludf.DUMMYFUNCTION("""COMPUTED_VALUE"""),"Gestión de la inspección y vigilancia")</f>
        <v>Gestión de la inspección y vigilancia</v>
      </c>
      <c r="D44" s="40" t="str">
        <f>IFERROR(__xludf.DUMMYFUNCTION("""COMPUTED_VALUE"""),"Dirección Técnica de Inspección y Vigilancia")</f>
        <v>Dirección Técnica de Inspección y Vigilancia</v>
      </c>
      <c r="E44"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44" s="40">
        <f>IFERROR(__xludf.DUMMYFUNCTION("""COMPUTED_VALUE"""),2.01901E12)</f>
        <v>2019010000000</v>
      </c>
      <c r="G44" s="41" t="str">
        <f>IFERROR(__xludf.DUMMYFUNCTION("""COMPUTED_VALUE"""),"Inspección")</f>
        <v>Inspección</v>
      </c>
      <c r="H44" s="40" t="str">
        <f>IFERROR(__xludf.DUMMYFUNCTION("""COMPUTED_VALUE"""),"Fortalecer los mecanismos de seguimiento y control de la actividad pesquera y de la acuicultura.")</f>
        <v>Fortalecer los mecanismos de seguimiento y control de la actividad pesquera y de la acuicultura.</v>
      </c>
      <c r="I44" s="40" t="str">
        <f>IFERROR(__xludf.DUMMYFUNCTION("""COMPUTED_VALUE"""),"Servicio de inspección, vigilancia y control de la pesca y la acuicultura")</f>
        <v>Servicio de inspección, vigilancia y control de la pesca y la acuicultura</v>
      </c>
      <c r="J44" s="40" t="str">
        <f>IFERROR(__xludf.DUMMYFUNCTION("""COMPUTED_VALUE"""),"Realizar seguimiento y actualización al registro general de pesca.")</f>
        <v>Realizar seguimiento y actualización al registro general de pesca.</v>
      </c>
      <c r="K44" s="42" t="str">
        <f>IFERROR(__xludf.DUMMYFUNCTION("""COMPUTED_VALUE"""),"Gestión del área")</f>
        <v>Gestión del área</v>
      </c>
      <c r="L44" s="42" t="str">
        <f>IFERROR(__xludf.DUMMYFUNCTION("""COMPUTED_VALUE"""),"Eficacia")</f>
        <v>Eficacia</v>
      </c>
      <c r="M44" s="42" t="str">
        <f>IFERROR(__xludf.DUMMYFUNCTION("""COMPUTED_VALUE"""),"Número")</f>
        <v>Número</v>
      </c>
      <c r="N44" s="43" t="str">
        <f>IFERROR(__xludf.DUMMYFUNCTION("""COMPUTED_VALUE"""),"Actualizaciones realizadas a la base de datos del Registro General de Pesca.
")</f>
        <v>Actualizaciones realizadas a la base de datos del Registro General de Pesca.
</v>
      </c>
      <c r="O44" s="44"/>
      <c r="P44" s="45">
        <f>IFERROR(__xludf.DUMMYFUNCTION("""COMPUTED_VALUE"""),12.0)</f>
        <v>12</v>
      </c>
      <c r="Q44" s="46" t="str">
        <f>IFERROR(__xludf.DUMMYFUNCTION("""COMPUTED_VALUE"""),"Actualizar las bases de datos para el seguimiento de los permisionarios en el registro general de pesca - RGP")</f>
        <v>Actualizar las bases de datos para el seguimiento de los permisionarios en el registro general de pesca - RGP</v>
      </c>
      <c r="R44" s="47" t="str">
        <f>IFERROR(__xludf.DUMMYFUNCTION("""COMPUTED_VALUE"""),"Mensual")</f>
        <v>Mensual</v>
      </c>
      <c r="S44" s="45">
        <f>IFERROR(__xludf.DUMMYFUNCTION("""COMPUTED_VALUE"""),3.0)</f>
        <v>3</v>
      </c>
      <c r="T44" s="45">
        <f>IFERROR(__xludf.DUMMYFUNCTION("""COMPUTED_VALUE"""),3.0)</f>
        <v>3</v>
      </c>
      <c r="U44" s="45">
        <f>IFERROR(__xludf.DUMMYFUNCTION("""COMPUTED_VALUE"""),3.0)</f>
        <v>3</v>
      </c>
      <c r="V44" s="45">
        <f>IFERROR(__xludf.DUMMYFUNCTION("""COMPUTED_VALUE"""),3.0)</f>
        <v>3</v>
      </c>
      <c r="W44" s="48" t="str">
        <f>IFERROR(__xludf.DUMMYFUNCTION("""COMPUTED_VALUE"""),"Dirección Técnica de Inspección y Vigilancia")</f>
        <v>Dirección Técnica de Inspección y Vigilancia</v>
      </c>
      <c r="X44" s="49" t="str">
        <f>IFERROR(__xludf.DUMMYFUNCTION("""COMPUTED_VALUE"""),"Nelcy Villa")</f>
        <v>Nelcy Villa</v>
      </c>
      <c r="Y44" s="39" t="str">
        <f>IFERROR(__xludf.DUMMYFUNCTION("""COMPUTED_VALUE"""),"Directora técnica de inspección y vigilancia")</f>
        <v>Directora técnica de inspección y vigilancia</v>
      </c>
      <c r="Z44" s="49" t="str">
        <f>IFERROR(__xludf.DUMMYFUNCTION("""COMPUTED_VALUE"""),"nelcy.villa@aunap.gov.co")</f>
        <v>nelcy.villa@aunap.gov.co</v>
      </c>
      <c r="AA44" s="39" t="str">
        <f>IFERROR(__xludf.DUMMYFUNCTION("""COMPUTED_VALUE"""),"Humanos, Físicos, Financieros, Tecnológicos")</f>
        <v>Humanos, Físicos, Financieros, Tecnológicos</v>
      </c>
      <c r="AB44" s="39" t="str">
        <f>IFERROR(__xludf.DUMMYFUNCTION("""COMPUTED_VALUE"""),"No asociado")</f>
        <v>No asociado</v>
      </c>
      <c r="AC4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4" s="39" t="str">
        <f>IFERROR(__xludf.DUMMYFUNCTION("""COMPUTED_VALUE"""),"Gestión con valores para resultados")</f>
        <v>Gestión con valores para resultados</v>
      </c>
      <c r="AE44" s="39" t="str">
        <f>IFERROR(__xludf.DUMMYFUNCTION("""COMPUTED_VALUE"""),"Fortalecimiento Organizacional y Simplificación de Procesos")</f>
        <v>Fortalecimiento Organizacional y Simplificación de Procesos</v>
      </c>
      <c r="AF44" s="39" t="str">
        <f>IFERROR(__xludf.DUMMYFUNCTION("""COMPUTED_VALUE"""),"12. Producción y consumo responsable")</f>
        <v>12. Producción y consumo responsable</v>
      </c>
      <c r="AG44" s="76">
        <f>IFERROR(__xludf.DUMMYFUNCTION("""COMPUTED_VALUE"""),3.0)</f>
        <v>3</v>
      </c>
      <c r="AH44" s="51" t="str">
        <f>IFERROR(__xludf.DUMMYFUNCTION("""COMPUTED_VALUE"""),"Se realizó las públicaciones en los meses de Enero, Febrero y Marzo.")</f>
        <v>Se realizó las públicaciones en los meses de Enero, Febrero y Marzo.</v>
      </c>
      <c r="AI44" s="72" t="str">
        <f>IFERROR(__xludf.DUMMYFUNCTION("""COMPUTED_VALUE"""),"https://drive.google.com/drive/folders/1NqwvakIwTQ0RUDTAyakAAISrcvHRwFOb?usp=sharing")</f>
        <v>https://drive.google.com/drive/folders/1NqwvakIwTQ0RUDTAyakAAISrcvHRwFOb?usp=sharing</v>
      </c>
      <c r="AJ44" s="52">
        <f>IFERROR(__xludf.DUMMYFUNCTION("""COMPUTED_VALUE"""),44298.0)</f>
        <v>44298</v>
      </c>
      <c r="AK44" s="53" t="str">
        <f>IFERROR(IF((AL44+1)&lt;2,Alertas!$B$2&amp;TEXT(AL44,"0%")&amp;Alertas!$D$2, IF((AL44+1)=2,Alertas!$B$3,IF((AL44+1)&gt;2,Alertas!$B$4&amp;TEXT(AL44,"0%")&amp;Alertas!$D$4,AL44+1))),"Sin meta para el cuarto trimestre")</f>
        <v>La ejecución de la meta registrada se encuentra acorde a la meta programada en la formulación del plan de acción para el cuarto trimestre</v>
      </c>
      <c r="AL44" s="54">
        <f t="shared" si="2"/>
        <v>1</v>
      </c>
      <c r="AM44" s="53" t="str">
        <f t="shared" si="3"/>
        <v>La ejecución de la meta registrada se encuentra acorde a la meta programada en la formulación del plan de acción para el cuarto trimestre.</v>
      </c>
      <c r="AN44" s="55"/>
      <c r="AO44" s="56"/>
      <c r="AP44" s="57"/>
      <c r="AQ44" s="57"/>
      <c r="AR44" s="58"/>
      <c r="AS44" s="59"/>
      <c r="AT44" s="60"/>
      <c r="AU44" s="55"/>
      <c r="AV44" s="56"/>
      <c r="AW44" s="61"/>
      <c r="AX44" s="57"/>
      <c r="AY44" s="62"/>
      <c r="AZ44" s="63"/>
      <c r="BA44" s="64"/>
      <c r="BB44" s="65"/>
      <c r="BC44" s="56"/>
      <c r="BD44" s="61"/>
      <c r="BE44" s="57"/>
      <c r="BF44" s="58"/>
      <c r="BG44" s="63"/>
      <c r="BH44" s="64"/>
      <c r="BI44" s="66"/>
      <c r="BK44" s="21" t="str">
        <f t="shared" si="23"/>
        <v>0</v>
      </c>
      <c r="BM44" s="21"/>
    </row>
    <row r="45" ht="33.75" customHeight="1">
      <c r="A45" s="37"/>
      <c r="B45" s="38">
        <f>IFERROR(__xludf.DUMMYFUNCTION("""COMPUTED_VALUE"""),51.0)</f>
        <v>51</v>
      </c>
      <c r="C45" s="39" t="str">
        <f>IFERROR(__xludf.DUMMYFUNCTION("""COMPUTED_VALUE"""),"Gestión de la inspección y vigilancia")</f>
        <v>Gestión de la inspección y vigilancia</v>
      </c>
      <c r="D45" s="40" t="str">
        <f>IFERROR(__xludf.DUMMYFUNCTION("""COMPUTED_VALUE"""),"Dirección Técnica de Inspección y Vigilancia")</f>
        <v>Dirección Técnica de Inspección y Vigilancia</v>
      </c>
      <c r="E45" s="40" t="str">
        <f>IFERROR(__xludf.DUMMYFUNCTION("""COMPUTED_VALUE"""),"Fortalecimiento del servicio estadístico pesquero colombiano a nivel nacional")</f>
        <v>Fortalecimiento del servicio estadístico pesquero colombiano a nivel nacional</v>
      </c>
      <c r="F45" s="40">
        <f>IFERROR(__xludf.DUMMYFUNCTION("""COMPUTED_VALUE"""),2.01901E12)</f>
        <v>2019010000000</v>
      </c>
      <c r="G45" s="41" t="str">
        <f>IFERROR(__xludf.DUMMYFUNCTION("""COMPUTED_VALUE"""),"Sepec")</f>
        <v>Sepec</v>
      </c>
      <c r="H45" s="40" t="str">
        <f>IFERROR(__xludf.DUMMYFUNCTION("""COMPUTED_VALUE"""),"Fortalecer los mecanismos de recolección y análisis de la información estadística de la actividad pesquera y de la acuicultura.")</f>
        <v>Fortalecer los mecanismos de recolección y análisis de la información estadística de la actividad pesquera y de la acuicultura.</v>
      </c>
      <c r="I45" s="40" t="str">
        <f>IFERROR(__xludf.DUMMYFUNCTION("""COMPUTED_VALUE"""),"_Servicio de análisis de Información para la planificación pesquera y de la acuicultura")</f>
        <v>_Servicio de análisis de Información para la planificación pesquera y de la acuicultura</v>
      </c>
      <c r="J45" s="40" t="str">
        <f>IFERROR(__xludf.DUMMYFUNCTION("""COMPUTED_VALUE"""),"Analizar la información estadística de la pesca y la acuicultura.")</f>
        <v>Analizar la información estadística de la pesca y la acuicultura.</v>
      </c>
      <c r="K45" s="42" t="str">
        <f>IFERROR(__xludf.DUMMYFUNCTION("""COMPUTED_VALUE"""),"Producto")</f>
        <v>Producto</v>
      </c>
      <c r="L45" s="42" t="str">
        <f>IFERROR(__xludf.DUMMYFUNCTION("""COMPUTED_VALUE"""),"Eficacia")</f>
        <v>Eficacia</v>
      </c>
      <c r="M45" s="42" t="str">
        <f>IFERROR(__xludf.DUMMYFUNCTION("""COMPUTED_VALUE"""),"Número")</f>
        <v>Número</v>
      </c>
      <c r="N45" s="43" t="str">
        <f>IFERROR(__xludf.DUMMYFUNCTION("""COMPUTED_VALUE"""),"Análisis generados")</f>
        <v>Análisis generados</v>
      </c>
      <c r="O45" s="44">
        <f>IFERROR(__xludf.DUMMYFUNCTION("""COMPUTED_VALUE"""),3.0)</f>
        <v>3</v>
      </c>
      <c r="P45" s="45">
        <f>IFERROR(__xludf.DUMMYFUNCTION("""COMPUTED_VALUE"""),5.0)</f>
        <v>5</v>
      </c>
      <c r="Q45" s="46" t="str">
        <f>IFERROR(__xludf.DUMMYFUNCTION("""COMPUTED_VALUE"""),"Realizar el seguimiento de la actualización a las bases de datos, análisis generados de los componentes del Servicio Estadístico Pesquero Colombiano - SEPEC")</f>
        <v>Realizar el seguimiento de la actualización a las bases de datos, análisis generados de los componentes del Servicio Estadístico Pesquero Colombiano - SEPEC</v>
      </c>
      <c r="R45" s="47" t="str">
        <f>IFERROR(__xludf.DUMMYFUNCTION("""COMPUTED_VALUE"""),"Bimestral")</f>
        <v>Bimestral</v>
      </c>
      <c r="S45" s="45">
        <f>IFERROR(__xludf.DUMMYFUNCTION("""COMPUTED_VALUE"""),1.0)</f>
        <v>1</v>
      </c>
      <c r="T45" s="45">
        <f>IFERROR(__xludf.DUMMYFUNCTION("""COMPUTED_VALUE"""),1.0)</f>
        <v>1</v>
      </c>
      <c r="U45" s="45">
        <f>IFERROR(__xludf.DUMMYFUNCTION("""COMPUTED_VALUE"""),2.0)</f>
        <v>2</v>
      </c>
      <c r="V45" s="45">
        <f>IFERROR(__xludf.DUMMYFUNCTION("""COMPUTED_VALUE"""),1.0)</f>
        <v>1</v>
      </c>
      <c r="W45" s="48" t="str">
        <f>IFERROR(__xludf.DUMMYFUNCTION("""COMPUTED_VALUE"""),"Dirección Técnica de Inspección y Vigilancia")</f>
        <v>Dirección Técnica de Inspección y Vigilancia</v>
      </c>
      <c r="X45" s="49" t="str">
        <f>IFERROR(__xludf.DUMMYFUNCTION("""COMPUTED_VALUE"""),"Nelcy Villa")</f>
        <v>Nelcy Villa</v>
      </c>
      <c r="Y45" s="39" t="str">
        <f>IFERROR(__xludf.DUMMYFUNCTION("""COMPUTED_VALUE"""),"Directora técnica de inspección y vigilancia")</f>
        <v>Directora técnica de inspección y vigilancia</v>
      </c>
      <c r="Z45" s="49" t="str">
        <f>IFERROR(__xludf.DUMMYFUNCTION("""COMPUTED_VALUE"""),"nelcy.villa@aunap.gov.co")</f>
        <v>nelcy.villa@aunap.gov.co</v>
      </c>
      <c r="AA45" s="39" t="str">
        <f>IFERROR(__xludf.DUMMYFUNCTION("""COMPUTED_VALUE"""),"Humanos, Físicos, Financieros, Tecnológicos")</f>
        <v>Humanos, Físicos, Financieros, Tecnológicos</v>
      </c>
      <c r="AB45" s="39" t="str">
        <f>IFERROR(__xludf.DUMMYFUNCTION("""COMPUTED_VALUE"""),"No asociado")</f>
        <v>No asociado</v>
      </c>
      <c r="AC45"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5" s="39" t="str">
        <f>IFERROR(__xludf.DUMMYFUNCTION("""COMPUTED_VALUE"""),"Gestión con valores para resultados")</f>
        <v>Gestión con valores para resultados</v>
      </c>
      <c r="AE45" s="39" t="str">
        <f>IFERROR(__xludf.DUMMYFUNCTION("""COMPUTED_VALUE"""),"Fortalecimiento Organizacional y Simplificación de Procesos")</f>
        <v>Fortalecimiento Organizacional y Simplificación de Procesos</v>
      </c>
      <c r="AF45" s="39" t="str">
        <f>IFERROR(__xludf.DUMMYFUNCTION("""COMPUTED_VALUE"""),"12. Producción y consumo responsable")</f>
        <v>12. Producción y consumo responsable</v>
      </c>
      <c r="AG45" s="76">
        <f>IFERROR(__xludf.DUMMYFUNCTION("""COMPUTED_VALUE"""),1.0)</f>
        <v>1</v>
      </c>
      <c r="AH45" s="51" t="str">
        <f>IFERROR(__xludf.DUMMYFUNCTION("""COMPUTED_VALUE"""),"Seguimiento de las bases de datos SEPEC")</f>
        <v>Seguimiento de las bases de datos SEPEC</v>
      </c>
      <c r="AI45" s="72" t="str">
        <f>IFERROR(__xludf.DUMMYFUNCTION("""COMPUTED_VALUE"""),"https://drive.google.com/file/d/1XeY6QjlYWJW69Ve4NoP0JeA08B4SeNbv/view?usp=sharing")</f>
        <v>https://drive.google.com/file/d/1XeY6QjlYWJW69Ve4NoP0JeA08B4SeNbv/view?usp=sharing</v>
      </c>
      <c r="AJ45" s="52">
        <f>IFERROR(__xludf.DUMMYFUNCTION("""COMPUTED_VALUE"""),44298.0)</f>
        <v>44298</v>
      </c>
      <c r="AK45" s="53" t="str">
        <f>IFERROR(IF((AL45+1)&lt;2,Alertas!$B$2&amp;TEXT(AL45,"0%")&amp;Alertas!$D$2, IF((AL45+1)=2,Alertas!$B$3,IF((AL45+1)&gt;2,Alertas!$B$4&amp;TEXT(AL45,"0%")&amp;Alertas!$D$4,AL45+1))),"Sin meta para el cuarto trimestre")</f>
        <v>La ejecución de la meta registrada se encuentra acorde a la meta programada en la formulación del plan de acción para el cuarto trimestre</v>
      </c>
      <c r="AL45" s="54">
        <f t="shared" si="2"/>
        <v>1</v>
      </c>
      <c r="AM45" s="53" t="str">
        <f t="shared" si="3"/>
        <v>La ejecución de la meta registrada se encuentra acorde a la meta programada en la formulación del plan de acción para el cuarto trimestre.</v>
      </c>
      <c r="AN45" s="55"/>
      <c r="AO45" s="56"/>
      <c r="AP45" s="57"/>
      <c r="AQ45" s="57"/>
      <c r="AR45" s="58"/>
      <c r="AS45" s="59"/>
      <c r="AT45" s="60"/>
      <c r="AU45" s="55"/>
      <c r="AV45" s="56"/>
      <c r="AW45" s="61"/>
      <c r="AX45" s="57"/>
      <c r="AY45" s="62"/>
      <c r="AZ45" s="63"/>
      <c r="BA45" s="64"/>
      <c r="BB45" s="65"/>
      <c r="BC45" s="56"/>
      <c r="BD45" s="61"/>
      <c r="BE45" s="57"/>
      <c r="BF45" s="58"/>
      <c r="BG45" s="63"/>
      <c r="BH45" s="64"/>
      <c r="BI45" s="66"/>
      <c r="BK45" s="21" t="str">
        <f t="shared" si="23"/>
        <v>0</v>
      </c>
      <c r="BM45" s="21"/>
    </row>
    <row r="46" ht="33.75" customHeight="1">
      <c r="A46" s="37"/>
      <c r="B46" s="38">
        <f>IFERROR(__xludf.DUMMYFUNCTION("""COMPUTED_VALUE"""),52.0)</f>
        <v>52</v>
      </c>
      <c r="C46" s="39" t="str">
        <f>IFERROR(__xludf.DUMMYFUNCTION("""COMPUTED_VALUE"""),"Gestión de la inspección y vigilancia")</f>
        <v>Gestión de la inspección y vigilancia</v>
      </c>
      <c r="D46" s="40" t="str">
        <f>IFERROR(__xludf.DUMMYFUNCTION("""COMPUTED_VALUE"""),"Dirección Técnica de Inspección y Vigilancia")</f>
        <v>Dirección Técnica de Inspección y Vigilancia</v>
      </c>
      <c r="E46"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46" s="40">
        <f>IFERROR(__xludf.DUMMYFUNCTION("""COMPUTED_VALUE"""),2.01901E12)</f>
        <v>2019010000000</v>
      </c>
      <c r="G46" s="41" t="str">
        <f>IFERROR(__xludf.DUMMYFUNCTION("""COMPUTED_VALUE"""),"Inspección")</f>
        <v>Inspección</v>
      </c>
      <c r="H46" s="40" t="str">
        <f>IFERROR(__xludf.DUMMYFUNCTION("""COMPUTED_VALUE"""),"Fortalecer los mecanismos de seguimiento y control de la actividad pesquera y de la acuicultura.")</f>
        <v>Fortalecer los mecanismos de seguimiento y control de la actividad pesquera y de la acuicultura.</v>
      </c>
      <c r="I46" s="40" t="str">
        <f>IFERROR(__xludf.DUMMYFUNCTION("""COMPUTED_VALUE"""),"Servicio de inspección, vigilancia y control de la pesca y la acuicultura")</f>
        <v>Servicio de inspección, vigilancia y control de la pesca y la acuicultura</v>
      </c>
      <c r="J46" s="40" t="str">
        <f>IFERROR(__xludf.DUMMYFUNCTION("""COMPUTED_VALUE"""),"Realizar seguimiento a los procesos y procedimientos del área.")</f>
        <v>Realizar seguimiento a los procesos y procedimientos del área.</v>
      </c>
      <c r="K46" s="42" t="str">
        <f>IFERROR(__xludf.DUMMYFUNCTION("""COMPUTED_VALUE"""),"Gestión del área")</f>
        <v>Gestión del área</v>
      </c>
      <c r="L46" s="42" t="str">
        <f>IFERROR(__xludf.DUMMYFUNCTION("""COMPUTED_VALUE"""),"Eficacia")</f>
        <v>Eficacia</v>
      </c>
      <c r="M46" s="42" t="str">
        <f>IFERROR(__xludf.DUMMYFUNCTION("""COMPUTED_VALUE"""),"Número")</f>
        <v>Número</v>
      </c>
      <c r="N46" s="43" t="str">
        <f>IFERROR(__xludf.DUMMYFUNCTION("""COMPUTED_VALUE"""),"Informes reportados a la oficina de comunicaciones sobre los operativos de inspección, vigilancia y control realizados.")</f>
        <v>Informes reportados a la oficina de comunicaciones sobre los operativos de inspección, vigilancia y control realizados.</v>
      </c>
      <c r="O46" s="44"/>
      <c r="P46" s="45">
        <f>IFERROR(__xludf.DUMMYFUNCTION("""COMPUTED_VALUE"""),8.0)</f>
        <v>8</v>
      </c>
      <c r="Q46" s="46" t="str">
        <f>IFERROR(__xludf.DUMMYFUNCTION("""COMPUTED_VALUE"""),"Reportar la información de los operativos de inspección, vigilancia y control realizados para su divulgacion.")</f>
        <v>Reportar la información de los operativos de inspección, vigilancia y control realizados para su divulgacion.</v>
      </c>
      <c r="R46" s="47" t="str">
        <f>IFERROR(__xludf.DUMMYFUNCTION("""COMPUTED_VALUE"""),"Mensual")</f>
        <v>Mensual</v>
      </c>
      <c r="S46" s="45">
        <f>IFERROR(__xludf.DUMMYFUNCTION("""COMPUTED_VALUE"""),1.0)</f>
        <v>1</v>
      </c>
      <c r="T46" s="45">
        <f>IFERROR(__xludf.DUMMYFUNCTION("""COMPUTED_VALUE"""),0.0)</f>
        <v>0</v>
      </c>
      <c r="U46" s="45">
        <f>IFERROR(__xludf.DUMMYFUNCTION("""COMPUTED_VALUE"""),4.0)</f>
        <v>4</v>
      </c>
      <c r="V46" s="45">
        <f>IFERROR(__xludf.DUMMYFUNCTION("""COMPUTED_VALUE"""),3.0)</f>
        <v>3</v>
      </c>
      <c r="W46" s="48" t="str">
        <f>IFERROR(__xludf.DUMMYFUNCTION("""COMPUTED_VALUE"""),"Dirección Técnica de Inspección y Vigilancia")</f>
        <v>Dirección Técnica de Inspección y Vigilancia</v>
      </c>
      <c r="X46" s="49" t="str">
        <f>IFERROR(__xludf.DUMMYFUNCTION("""COMPUTED_VALUE"""),"Nelcy Villa")</f>
        <v>Nelcy Villa</v>
      </c>
      <c r="Y46" s="39" t="str">
        <f>IFERROR(__xludf.DUMMYFUNCTION("""COMPUTED_VALUE"""),"Directora técnica de inspección y vigilancia")</f>
        <v>Directora técnica de inspección y vigilancia</v>
      </c>
      <c r="Z46" s="49" t="str">
        <f>IFERROR(__xludf.DUMMYFUNCTION("""COMPUTED_VALUE"""),"nelcy.villa@aunap.gov.co")</f>
        <v>nelcy.villa@aunap.gov.co</v>
      </c>
      <c r="AA46" s="39" t="str">
        <f>IFERROR(__xludf.DUMMYFUNCTION("""COMPUTED_VALUE"""),"Humanos, Físicos, Financieros, Tecnológicos")</f>
        <v>Humanos, Físicos, Financieros, Tecnológicos</v>
      </c>
      <c r="AB46" s="39" t="str">
        <f>IFERROR(__xludf.DUMMYFUNCTION("""COMPUTED_VALUE"""),"No asociado")</f>
        <v>No asociado</v>
      </c>
      <c r="AC46"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46" s="39" t="str">
        <f>IFERROR(__xludf.DUMMYFUNCTION("""COMPUTED_VALUE"""),"Gestión con valores para resultados")</f>
        <v>Gestión con valores para resultados</v>
      </c>
      <c r="AE46" s="39" t="str">
        <f>IFERROR(__xludf.DUMMYFUNCTION("""COMPUTED_VALUE"""),"Fortalecimiento Organizacional y Simplificación de Procesos")</f>
        <v>Fortalecimiento Organizacional y Simplificación de Procesos</v>
      </c>
      <c r="AF46" s="39" t="str">
        <f>IFERROR(__xludf.DUMMYFUNCTION("""COMPUTED_VALUE"""),"12. Producción y consumo responsable")</f>
        <v>12. Producción y consumo responsable</v>
      </c>
      <c r="AG46" s="76">
        <f>IFERROR(__xludf.DUMMYFUNCTION("""COMPUTED_VALUE"""),1.0)</f>
        <v>1</v>
      </c>
      <c r="AH46" s="51" t="str">
        <f>IFERROR(__xludf.DUMMYFUNCTION("""COMPUTED_VALUE"""),"Publicación en fecebook operativo de inspección y vigilancia en el Aeropuerto.")</f>
        <v>Publicación en fecebook operativo de inspección y vigilancia en el Aeropuerto.</v>
      </c>
      <c r="AI46" s="77" t="str">
        <f>IFERROR(__xludf.DUMMYFUNCTION("""COMPUTED_VALUE"""),"https://drive.google.com/file/d/1cGcl2BztV3iesjREq6VADTbIIy1eoSGy/view?usp=sharing")</f>
        <v>https://drive.google.com/file/d/1cGcl2BztV3iesjREq6VADTbIIy1eoSGy/view?usp=sharing</v>
      </c>
      <c r="AJ46" s="52">
        <f>IFERROR(__xludf.DUMMYFUNCTION("""COMPUTED_VALUE"""),44298.0)</f>
        <v>44298</v>
      </c>
      <c r="AK46" s="53" t="str">
        <f>IFERROR(IF((AL46+1)&lt;2,Alertas!$B$2&amp;TEXT(AL46,"0%")&amp;Alertas!$D$2, IF((AL46+1)=2,Alertas!$B$3,IF((AL46+1)&gt;2,Alertas!$B$4&amp;TEXT(AL46,"0%")&amp;Alertas!$D$4,AL46+1))),"Sin meta para el cuarto trimestre")</f>
        <v>La ejecución de la meta registrada se encuentra por debajo de la meta programada en la formulación del plan de acción para el cuarto trimestre, su porcentaje de cumplimiento es 33%, lo cual indica un incumplimiento que puede ser entendido por los entes de control como falencias en el proceso de planeación. se recomienda tomar este antecedente como insumo para disminuir la meta en la próxima vigencia</v>
      </c>
      <c r="AL46" s="54">
        <f t="shared" si="2"/>
        <v>0.3333333333</v>
      </c>
      <c r="AM46" s="53" t="str">
        <f t="shared" si="3"/>
        <v>La ejecución de la meta registrada se encuentra por debajo de la meta programada en la formulación del plan de acción para el cuarto trimestre, su porcentaje de cumplimiento es 33%, lo cual indica un incumplimiento que puede ser entendido por los entes de control como falencias en el proceso de planeación. se recomienda tomar este antecedente como insumo para disminuir la meta en la próxima vigencia.</v>
      </c>
      <c r="AN46" s="55"/>
      <c r="AO46" s="56"/>
      <c r="AP46" s="57"/>
      <c r="AQ46" s="57"/>
      <c r="AR46" s="58"/>
      <c r="AS46" s="59"/>
      <c r="AT46" s="60"/>
      <c r="AU46" s="55"/>
      <c r="AV46" s="56"/>
      <c r="AW46" s="61"/>
      <c r="AX46" s="57"/>
      <c r="AY46" s="62"/>
      <c r="AZ46" s="63"/>
      <c r="BA46" s="64"/>
      <c r="BB46" s="65"/>
      <c r="BC46" s="56"/>
      <c r="BD46" s="61"/>
      <c r="BE46" s="57"/>
      <c r="BF46" s="58"/>
      <c r="BG46" s="63"/>
      <c r="BH46" s="64"/>
      <c r="BI46" s="66"/>
      <c r="BK46" s="21" t="str">
        <f t="shared" si="23"/>
        <v>-1</v>
      </c>
      <c r="BM46" s="21"/>
    </row>
    <row r="47" ht="33.75" customHeight="1">
      <c r="A47" s="37"/>
      <c r="B47" s="38">
        <f>IFERROR(__xludf.DUMMYFUNCTION("""COMPUTED_VALUE"""),53.0)</f>
        <v>53</v>
      </c>
      <c r="C47" s="39" t="str">
        <f>IFERROR(__xludf.DUMMYFUNCTION("""COMPUTED_VALUE"""),"Gestión financiera")</f>
        <v>Gestión financiera</v>
      </c>
      <c r="D47" s="40" t="str">
        <f>IFERROR(__xludf.DUMMYFUNCTION("""COMPUTED_VALUE"""),"Financiera")</f>
        <v>Financiera</v>
      </c>
      <c r="E47" s="40" t="str">
        <f>IFERROR(__xludf.DUMMYFUNCTION("""COMPUTED_VALUE"""),"Fortalecimiento de la capacidad de gestión de la autoridad nacional de acuicultura y pesca - aunap nacional")</f>
        <v>Fortalecimiento de la capacidad de gestión de la autoridad nacional de acuicultura y pesca - aunap nacional</v>
      </c>
      <c r="F47" s="40">
        <f>IFERROR(__xludf.DUMMYFUNCTION("""COMPUTED_VALUE"""),2.01801E12)</f>
        <v>2018010000000</v>
      </c>
      <c r="G47" s="41" t="str">
        <f>IFERROR(__xludf.DUMMYFUNCTION("""COMPUTED_VALUE"""),"Fortalecimiento")</f>
        <v>Fortalecimiento</v>
      </c>
      <c r="H47" s="40" t="str">
        <f>IFERROR(__xludf.DUMMYFUNCTION("""COMPUTED_VALUE"""),"Fortalecer los sistemas de gestión de la Entidad")</f>
        <v>Fortalecer los sistemas de gestión de la Entidad</v>
      </c>
      <c r="I47" s="40" t="str">
        <f>IFERROR(__xludf.DUMMYFUNCTION("""COMPUTED_VALUE"""),"Servicio de Implementación Sistemas de Gestión")</f>
        <v>Servicio de Implementación Sistemas de Gestión</v>
      </c>
      <c r="J47"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47" s="42" t="str">
        <f>IFERROR(__xludf.DUMMYFUNCTION("""COMPUTED_VALUE"""),"Gestión del área")</f>
        <v>Gestión del área</v>
      </c>
      <c r="L47" s="42" t="str">
        <f>IFERROR(__xludf.DUMMYFUNCTION("""COMPUTED_VALUE"""),"Eficacia")</f>
        <v>Eficacia</v>
      </c>
      <c r="M47" s="42" t="str">
        <f>IFERROR(__xludf.DUMMYFUNCTION("""COMPUTED_VALUE"""),"Número")</f>
        <v>Número</v>
      </c>
      <c r="N47" s="43" t="str">
        <f>IFERROR(__xludf.DUMMYFUNCTION("""COMPUTED_VALUE"""),"Número de estados financieros elaborados, presentados, transmitidos y publicados/Número de Estados financieros programados para elaboración, presentación, transmición y publicación")</f>
        <v>Número de estados financieros elaborados, presentados, transmitidos y publicados/Número de Estados financieros programados para elaboración, presentación, transmición y publicación</v>
      </c>
      <c r="O47" s="44"/>
      <c r="P47" s="45">
        <f>IFERROR(__xludf.DUMMYFUNCTION("""COMPUTED_VALUE"""),12.0)</f>
        <v>12</v>
      </c>
      <c r="Q47" s="46" t="str">
        <f>IFERROR(__xludf.DUMMYFUNCTION("""COMPUTED_VALUE"""),"Elaboración, presentación, transmisión y publicación de estados financieros con la periodicidad requerida, de conformidad con el nuevo Marco Normativo y Conceptual para Entidades de Gobierno, entes de control o terceros que lo requieran. Será publicado en"&amp;" pagina web. (Publicaciones)")</f>
        <v>Elaboración, presentación, transmisión y publicación de estados financieros con la periodicidad requerida, de conformidad con el nuevo Marco Normativo y Conceptual para Entidades de Gobierno, entes de control o terceros que lo requieran. Será publicado en pagina web. (Publicaciones)</v>
      </c>
      <c r="R47" s="47" t="str">
        <f>IFERROR(__xludf.DUMMYFUNCTION("""COMPUTED_VALUE"""),"Mensual")</f>
        <v>Mensual</v>
      </c>
      <c r="S47" s="45">
        <f>IFERROR(__xludf.DUMMYFUNCTION("""COMPUTED_VALUE"""),3.0)</f>
        <v>3</v>
      </c>
      <c r="T47" s="45">
        <f>IFERROR(__xludf.DUMMYFUNCTION("""COMPUTED_VALUE"""),3.0)</f>
        <v>3</v>
      </c>
      <c r="U47" s="45">
        <f>IFERROR(__xludf.DUMMYFUNCTION("""COMPUTED_VALUE"""),3.0)</f>
        <v>3</v>
      </c>
      <c r="V47" s="45">
        <f>IFERROR(__xludf.DUMMYFUNCTION("""COMPUTED_VALUE"""),3.0)</f>
        <v>3</v>
      </c>
      <c r="W47" s="48" t="str">
        <f>IFERROR(__xludf.DUMMYFUNCTION("""COMPUTED_VALUE"""),"Financiera")</f>
        <v>Financiera</v>
      </c>
      <c r="X47" s="49" t="str">
        <f>IFERROR(__xludf.DUMMYFUNCTION("""COMPUTED_VALUE"""),"Sharol Natalia Mora")</f>
        <v>Sharol Natalia Mora</v>
      </c>
      <c r="Y47" s="39" t="str">
        <f>IFERROR(__xludf.DUMMYFUNCTION("""COMPUTED_VALUE"""),"Coordinador Financiero")</f>
        <v>Coordinador Financiero</v>
      </c>
      <c r="Z47" s="49" t="str">
        <f>IFERROR(__xludf.DUMMYFUNCTION("""COMPUTED_VALUE"""),"natalia.mora@aunap.gov.co")</f>
        <v>natalia.mora@aunap.gov.co</v>
      </c>
      <c r="AA47" s="39" t="str">
        <f>IFERROR(__xludf.DUMMYFUNCTION("""COMPUTED_VALUE"""),"Humanos, Físicos, Financieros, Tecnológicos")</f>
        <v>Humanos, Físicos, Financieros, Tecnológicos</v>
      </c>
      <c r="AB47" s="39" t="str">
        <f>IFERROR(__xludf.DUMMYFUNCTION("""COMPUTED_VALUE"""),"Plan Anticorrupción y de Atención al Ciudadano - PAAC")</f>
        <v>Plan Anticorrupción y de Atención al Ciudadano - PAAC</v>
      </c>
      <c r="AC47" s="39" t="str">
        <f>IFERROR(__xludf.DUMMYFUNCTION("""COMPUTED_VALUE"""),"Llegar con actividades de pesca y acuicultura a todas las regiones")</f>
        <v>Llegar con actividades de pesca y acuicultura a todas las regiones</v>
      </c>
      <c r="AD47" s="39" t="str">
        <f>IFERROR(__xludf.DUMMYFUNCTION("""COMPUTED_VALUE"""),"Información y comunicación")</f>
        <v>Información y comunicación</v>
      </c>
      <c r="AE47" s="39" t="str">
        <f>IFERROR(__xludf.DUMMYFUNCTION("""COMPUTED_VALUE"""),"Transparencia, acceso a la información pública y lucha contra la corrupción")</f>
        <v>Transparencia, acceso a la información pública y lucha contra la corrupción</v>
      </c>
      <c r="AF47" s="39" t="str">
        <f>IFERROR(__xludf.DUMMYFUNCTION("""COMPUTED_VALUE"""),"16. Paz, justicia e instituciones sólidas")</f>
        <v>16. Paz, justicia e instituciones sólidas</v>
      </c>
      <c r="AG47" s="76"/>
      <c r="AH47" s="51"/>
      <c r="AI47" s="51"/>
      <c r="AJ47" s="52">
        <f>IFERROR(__xludf.DUMMYFUNCTION("""COMPUTED_VALUE"""),44298.0)</f>
        <v>44298</v>
      </c>
      <c r="AK47" s="53" t="str">
        <f>IFERROR(IF((AL47+1)&lt;2,Alertas!$B$2&amp;TEXT(AL47,"0%")&amp;Alertas!$D$2, IF((AL47+1)=2,Alertas!$B$3,IF((AL47+1)&gt;2,Alertas!$B$4&amp;TEXT(AL47,"0%")&amp;Alertas!$D$4,AL47+1))),"Sin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47" s="54">
        <f t="shared" si="2"/>
        <v>0</v>
      </c>
      <c r="AM47" s="53" t="str">
        <f t="shared" si="3"/>
        <v>No reporto ejecución. 
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47" s="55"/>
      <c r="AO47" s="56"/>
      <c r="AP47" s="57"/>
      <c r="AQ47" s="57"/>
      <c r="AR47" s="58"/>
      <c r="AS47" s="59"/>
      <c r="AT47" s="60"/>
      <c r="AU47" s="55"/>
      <c r="AV47" s="56"/>
      <c r="AW47" s="61"/>
      <c r="AX47" s="57"/>
      <c r="AY47" s="62"/>
      <c r="AZ47" s="63"/>
      <c r="BA47" s="64"/>
      <c r="BB47" s="65"/>
      <c r="BC47" s="56"/>
      <c r="BD47" s="61"/>
      <c r="BE47" s="57"/>
      <c r="BF47" s="58"/>
      <c r="BG47" s="63"/>
      <c r="BH47" s="64"/>
      <c r="BI47" s="66"/>
      <c r="BK47" s="21" t="str">
        <f t="shared" si="23"/>
        <v>-1</v>
      </c>
      <c r="BM47" s="21"/>
    </row>
    <row r="48" ht="33.75" customHeight="1">
      <c r="A48" s="37"/>
      <c r="B48" s="38">
        <f>IFERROR(__xludf.DUMMYFUNCTION("""COMPUTED_VALUE"""),54.0)</f>
        <v>54</v>
      </c>
      <c r="C48" s="39" t="str">
        <f>IFERROR(__xludf.DUMMYFUNCTION("""COMPUTED_VALUE"""),"Gestión financiera")</f>
        <v>Gestión financiera</v>
      </c>
      <c r="D48" s="40" t="str">
        <f>IFERROR(__xludf.DUMMYFUNCTION("""COMPUTED_VALUE"""),"Financiera")</f>
        <v>Financiera</v>
      </c>
      <c r="E48" s="40" t="str">
        <f>IFERROR(__xludf.DUMMYFUNCTION("""COMPUTED_VALUE"""),"Fortalecimiento de la capacidad de gestión de la autoridad nacional de acuicultura y pesca - aunap nacional")</f>
        <v>Fortalecimiento de la capacidad de gestión de la autoridad nacional de acuicultura y pesca - aunap nacional</v>
      </c>
      <c r="F48" s="40">
        <f>IFERROR(__xludf.DUMMYFUNCTION("""COMPUTED_VALUE"""),2.01801E12)</f>
        <v>2018010000000</v>
      </c>
      <c r="G48" s="41" t="str">
        <f>IFERROR(__xludf.DUMMYFUNCTION("""COMPUTED_VALUE"""),"Fortalecimiento")</f>
        <v>Fortalecimiento</v>
      </c>
      <c r="H48" s="40" t="str">
        <f>IFERROR(__xludf.DUMMYFUNCTION("""COMPUTED_VALUE"""),"Fortalecer los sistemas de gestión de la Entidad")</f>
        <v>Fortalecer los sistemas de gestión de la Entidad</v>
      </c>
      <c r="I48" s="40" t="str">
        <f>IFERROR(__xludf.DUMMYFUNCTION("""COMPUTED_VALUE"""),"Servicio de Implementación Sistemas de Gestión")</f>
        <v>Servicio de Implementación Sistemas de Gestión</v>
      </c>
      <c r="J48"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48" s="42" t="str">
        <f>IFERROR(__xludf.DUMMYFUNCTION("""COMPUTED_VALUE"""),"Gestión del área")</f>
        <v>Gestión del área</v>
      </c>
      <c r="L48" s="42" t="str">
        <f>IFERROR(__xludf.DUMMYFUNCTION("""COMPUTED_VALUE"""),"Eficacia")</f>
        <v>Eficacia</v>
      </c>
      <c r="M48" s="42" t="str">
        <f>IFERROR(__xludf.DUMMYFUNCTION("""COMPUTED_VALUE"""),"Número")</f>
        <v>Número</v>
      </c>
      <c r="N48" s="43" t="str">
        <f>IFERROR(__xludf.DUMMYFUNCTION("""COMPUTED_VALUE"""),"Número de publicaciones  de estados financieros realizadas")</f>
        <v>Número de publicaciones  de estados financieros realizadas</v>
      </c>
      <c r="O48" s="44"/>
      <c r="P48" s="45">
        <f>IFERROR(__xludf.DUMMYFUNCTION("""COMPUTED_VALUE"""),12.0)</f>
        <v>12</v>
      </c>
      <c r="Q48" s="46" t="str">
        <f>IFERROR(__xludf.DUMMYFUNCTION("""COMPUTED_VALUE"""),"Elaboración, presentación, transmisión y publicación de estados financieros con la periodicidad requerida, de conformidad con el nuevo Marco Normativo y Conceptual para Entidades de Gobierno, entes de control o terceros que lo requieran. Será publicado en"&amp;" pagina web. (Publicaciones)")</f>
        <v>Elaboración, presentación, transmisión y publicación de estados financieros con la periodicidad requerida, de conformidad con el nuevo Marco Normativo y Conceptual para Entidades de Gobierno, entes de control o terceros que lo requieran. Será publicado en pagina web. (Publicaciones)</v>
      </c>
      <c r="R48" s="47" t="str">
        <f>IFERROR(__xludf.DUMMYFUNCTION("""COMPUTED_VALUE"""),"Mensual")</f>
        <v>Mensual</v>
      </c>
      <c r="S48" s="45">
        <f>IFERROR(__xludf.DUMMYFUNCTION("""COMPUTED_VALUE"""),3.0)</f>
        <v>3</v>
      </c>
      <c r="T48" s="45">
        <f>IFERROR(__xludf.DUMMYFUNCTION("""COMPUTED_VALUE"""),3.0)</f>
        <v>3</v>
      </c>
      <c r="U48" s="45">
        <f>IFERROR(__xludf.DUMMYFUNCTION("""COMPUTED_VALUE"""),3.0)</f>
        <v>3</v>
      </c>
      <c r="V48" s="45">
        <f>IFERROR(__xludf.DUMMYFUNCTION("""COMPUTED_VALUE"""),3.0)</f>
        <v>3</v>
      </c>
      <c r="W48" s="48" t="str">
        <f>IFERROR(__xludf.DUMMYFUNCTION("""COMPUTED_VALUE"""),"Financiera")</f>
        <v>Financiera</v>
      </c>
      <c r="X48" s="49" t="str">
        <f>IFERROR(__xludf.DUMMYFUNCTION("""COMPUTED_VALUE"""),"Sharol Natalia Mora")</f>
        <v>Sharol Natalia Mora</v>
      </c>
      <c r="Y48" s="39" t="str">
        <f>IFERROR(__xludf.DUMMYFUNCTION("""COMPUTED_VALUE"""),"Coordinador Financiero")</f>
        <v>Coordinador Financiero</v>
      </c>
      <c r="Z48" s="49" t="str">
        <f>IFERROR(__xludf.DUMMYFUNCTION("""COMPUTED_VALUE"""),"natalia.mora@aunap.gov.co")</f>
        <v>natalia.mora@aunap.gov.co</v>
      </c>
      <c r="AA48" s="39" t="str">
        <f>IFERROR(__xludf.DUMMYFUNCTION("""COMPUTED_VALUE"""),"Humanos, Físicos, Financieros, Tecnológicos")</f>
        <v>Humanos, Físicos, Financieros, Tecnológicos</v>
      </c>
      <c r="AB48" s="39" t="str">
        <f>IFERROR(__xludf.DUMMYFUNCTION("""COMPUTED_VALUE"""),"Plan Anticorrupción y de Atención al Ciudadano - PAAC")</f>
        <v>Plan Anticorrupción y de Atención al Ciudadano - PAAC</v>
      </c>
      <c r="AC48" s="39" t="str">
        <f>IFERROR(__xludf.DUMMYFUNCTION("""COMPUTED_VALUE"""),"Llegar con actividades de pesca y acuicultura a todas las regiones")</f>
        <v>Llegar con actividades de pesca y acuicultura a todas las regiones</v>
      </c>
      <c r="AD48" s="39" t="str">
        <f>IFERROR(__xludf.DUMMYFUNCTION("""COMPUTED_VALUE"""),"Información y comunicación")</f>
        <v>Información y comunicación</v>
      </c>
      <c r="AE48" s="39" t="str">
        <f>IFERROR(__xludf.DUMMYFUNCTION("""COMPUTED_VALUE"""),"Transparencia, acceso a la información pública y lucha contra la corrupción")</f>
        <v>Transparencia, acceso a la información pública y lucha contra la corrupción</v>
      </c>
      <c r="AF48" s="39" t="str">
        <f>IFERROR(__xludf.DUMMYFUNCTION("""COMPUTED_VALUE"""),"16. Paz, justicia e instituciones sólidas")</f>
        <v>16. Paz, justicia e instituciones sólidas</v>
      </c>
      <c r="AG48" s="76">
        <f>IFERROR(__xludf.DUMMYFUNCTION("""COMPUTED_VALUE"""),3.0)</f>
        <v>3</v>
      </c>
      <c r="AH48" s="51" t="str">
        <f>IFERROR(__xludf.DUMMYFUNCTION("""COMPUTED_VALUE"""),"En el trimestre del 2021, se publicaron en la pagina web de la Entidad los estado financieros con corte al 31 dic 2020")</f>
        <v>En el trimestre del 2021, se publicaron en la pagina web de la Entidad los estado financieros con corte al 31 dic 2020</v>
      </c>
      <c r="AI48" s="77" t="str">
        <f>IFERROR(__xludf.DUMMYFUNCTION("""COMPUTED_VALUE"""),"https://www.aunap.gov.co/images/2021/financiera/estados_financieros_diciembre_2020_publicacion-1.pdf")</f>
        <v>https://www.aunap.gov.co/images/2021/financiera/estados_financieros_diciembre_2020_publicacion-1.pdf</v>
      </c>
      <c r="AJ48" s="52">
        <f>IFERROR(__xludf.DUMMYFUNCTION("""COMPUTED_VALUE"""),44298.0)</f>
        <v>44298</v>
      </c>
      <c r="AK48" s="53" t="str">
        <f>IFERROR(IF((AL48+1)&lt;2,Alertas!$B$2&amp;TEXT(AL48,"0%")&amp;Alertas!$D$2, IF((AL48+1)=2,Alertas!$B$3,IF((AL48+1)&gt;2,Alertas!$B$4&amp;TEXT(AL48,"0%")&amp;Alertas!$D$4,AL48+1))),"Sin meta para el cuarto trimestre")</f>
        <v>La ejecución de la meta registrada se encuentra acorde a la meta programada en la formulación del plan de acción para el cuarto trimestre</v>
      </c>
      <c r="AL48" s="54">
        <f t="shared" si="2"/>
        <v>1</v>
      </c>
      <c r="AM48" s="53" t="str">
        <f t="shared" si="3"/>
        <v>La ejecución de la meta registrada se encuentra acorde a la meta programada en la formulación del plan de acción para el cuarto trimestre.</v>
      </c>
      <c r="AN48" s="55"/>
      <c r="AO48" s="56"/>
      <c r="AP48" s="57"/>
      <c r="AQ48" s="57"/>
      <c r="AR48" s="58"/>
      <c r="AS48" s="59"/>
      <c r="AT48" s="60"/>
      <c r="AU48" s="55"/>
      <c r="AV48" s="56"/>
      <c r="AW48" s="61"/>
      <c r="AX48" s="57"/>
      <c r="AY48" s="62"/>
      <c r="AZ48" s="63"/>
      <c r="BA48" s="64"/>
      <c r="BB48" s="65"/>
      <c r="BC48" s="56"/>
      <c r="BD48" s="61"/>
      <c r="BE48" s="57"/>
      <c r="BF48" s="58"/>
      <c r="BG48" s="63"/>
      <c r="BH48" s="64"/>
      <c r="BI48" s="66"/>
      <c r="BK48" s="21" t="str">
        <f t="shared" si="23"/>
        <v>0</v>
      </c>
      <c r="BM48" s="21"/>
    </row>
    <row r="49" ht="33.75" customHeight="1">
      <c r="A49" s="37"/>
      <c r="B49" s="38">
        <f>IFERROR(__xludf.DUMMYFUNCTION("""COMPUTED_VALUE"""),55.0)</f>
        <v>55</v>
      </c>
      <c r="C49" s="39" t="str">
        <f>IFERROR(__xludf.DUMMYFUNCTION("""COMPUTED_VALUE"""),"Gestión financiera")</f>
        <v>Gestión financiera</v>
      </c>
      <c r="D49" s="40" t="str">
        <f>IFERROR(__xludf.DUMMYFUNCTION("""COMPUTED_VALUE"""),"Financiera")</f>
        <v>Financiera</v>
      </c>
      <c r="E49" s="40" t="str">
        <f>IFERROR(__xludf.DUMMYFUNCTION("""COMPUTED_VALUE"""),"Fortalecimiento de la capacidad de gestión de la autoridad nacional de acuicultura y pesca - aunap nacional")</f>
        <v>Fortalecimiento de la capacidad de gestión de la autoridad nacional de acuicultura y pesca - aunap nacional</v>
      </c>
      <c r="F49" s="40">
        <f>IFERROR(__xludf.DUMMYFUNCTION("""COMPUTED_VALUE"""),2.01801E12)</f>
        <v>2018010000000</v>
      </c>
      <c r="G49" s="41" t="str">
        <f>IFERROR(__xludf.DUMMYFUNCTION("""COMPUTED_VALUE"""),"Fortalecimiento")</f>
        <v>Fortalecimiento</v>
      </c>
      <c r="H49" s="40" t="str">
        <f>IFERROR(__xludf.DUMMYFUNCTION("""COMPUTED_VALUE"""),"Fortalecer los sistemas de gestión de la Entidad")</f>
        <v>Fortalecer los sistemas de gestión de la Entidad</v>
      </c>
      <c r="I49" s="40" t="str">
        <f>IFERROR(__xludf.DUMMYFUNCTION("""COMPUTED_VALUE"""),"Servicio de Implementación Sistemas de Gestión")</f>
        <v>Servicio de Implementación Sistemas de Gestión</v>
      </c>
      <c r="J49"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49" s="42" t="str">
        <f>IFERROR(__xludf.DUMMYFUNCTION("""COMPUTED_VALUE"""),"Gestión del área")</f>
        <v>Gestión del área</v>
      </c>
      <c r="L49" s="42" t="str">
        <f>IFERROR(__xludf.DUMMYFUNCTION("""COMPUTED_VALUE"""),"Eficacia")</f>
        <v>Eficacia</v>
      </c>
      <c r="M49" s="42" t="str">
        <f>IFERROR(__xludf.DUMMYFUNCTION("""COMPUTED_VALUE"""),"Número")</f>
        <v>Número</v>
      </c>
      <c r="N49" s="43" t="str">
        <f>IFERROR(__xludf.DUMMYFUNCTION("""COMPUTED_VALUE"""),"Número de controles de ejecución presupuestal realizados")</f>
        <v>Número de controles de ejecución presupuestal realizados</v>
      </c>
      <c r="O49" s="44"/>
      <c r="P49" s="45">
        <f>IFERROR(__xludf.DUMMYFUNCTION("""COMPUTED_VALUE"""),12.0)</f>
        <v>12</v>
      </c>
      <c r="Q49" s="46" t="str">
        <f>IFERROR(__xludf.DUMMYFUNCTION("""COMPUTED_VALUE"""),"Realizar el  control y registro de las operaciones financieras de acuerdo con los recursos disponibles de la entidad. Integra las actividades relacionadas con la adquisición de bienes y servicios, la gestión de proyectos de inversión  y el registro de la "&amp;"ejecución del presupuesto.(publicaciones )")</f>
        <v>Realizar el  control y registro de las operaciones financieras de acuerdo con los recursos disponibles de la entidad. Integra las actividades relacionadas con la adquisición de bienes y servicios, la gestión de proyectos de inversión  y el registro de la ejecución del presupuesto.(publicaciones )</v>
      </c>
      <c r="R49" s="47" t="str">
        <f>IFERROR(__xludf.DUMMYFUNCTION("""COMPUTED_VALUE"""),"Mensual")</f>
        <v>Mensual</v>
      </c>
      <c r="S49" s="45">
        <f>IFERROR(__xludf.DUMMYFUNCTION("""COMPUTED_VALUE"""),3.0)</f>
        <v>3</v>
      </c>
      <c r="T49" s="45">
        <f>IFERROR(__xludf.DUMMYFUNCTION("""COMPUTED_VALUE"""),3.0)</f>
        <v>3</v>
      </c>
      <c r="U49" s="45">
        <f>IFERROR(__xludf.DUMMYFUNCTION("""COMPUTED_VALUE"""),3.0)</f>
        <v>3</v>
      </c>
      <c r="V49" s="45">
        <f>IFERROR(__xludf.DUMMYFUNCTION("""COMPUTED_VALUE"""),3.0)</f>
        <v>3</v>
      </c>
      <c r="W49" s="48" t="str">
        <f>IFERROR(__xludf.DUMMYFUNCTION("""COMPUTED_VALUE"""),"Financiera")</f>
        <v>Financiera</v>
      </c>
      <c r="X49" s="49" t="str">
        <f>IFERROR(__xludf.DUMMYFUNCTION("""COMPUTED_VALUE"""),"Sharol Natalia Mora")</f>
        <v>Sharol Natalia Mora</v>
      </c>
      <c r="Y49" s="39" t="str">
        <f>IFERROR(__xludf.DUMMYFUNCTION("""COMPUTED_VALUE"""),"Coordinador Financiero")</f>
        <v>Coordinador Financiero</v>
      </c>
      <c r="Z49" s="49" t="str">
        <f>IFERROR(__xludf.DUMMYFUNCTION("""COMPUTED_VALUE"""),"natalia.mora@aunap.gov.co")</f>
        <v>natalia.mora@aunap.gov.co</v>
      </c>
      <c r="AA49" s="39" t="str">
        <f>IFERROR(__xludf.DUMMYFUNCTION("""COMPUTED_VALUE"""),"Humanos, Físicos, Financieros, Tecnológicos")</f>
        <v>Humanos, Físicos, Financieros, Tecnológicos</v>
      </c>
      <c r="AB49" s="39" t="str">
        <f>IFERROR(__xludf.DUMMYFUNCTION("""COMPUTED_VALUE"""),"Plan Anticorrupción y de Atención al Ciudadano - PAAC")</f>
        <v>Plan Anticorrupción y de Atención al Ciudadano - PAAC</v>
      </c>
      <c r="AC49" s="39" t="str">
        <f>IFERROR(__xludf.DUMMYFUNCTION("""COMPUTED_VALUE"""),"Llegar con actividades de pesca y acuicultura a todas las regiones")</f>
        <v>Llegar con actividades de pesca y acuicultura a todas las regiones</v>
      </c>
      <c r="AD49" s="39" t="str">
        <f>IFERROR(__xludf.DUMMYFUNCTION("""COMPUTED_VALUE"""),"Información y comunicación")</f>
        <v>Información y comunicación</v>
      </c>
      <c r="AE49" s="39" t="str">
        <f>IFERROR(__xludf.DUMMYFUNCTION("""COMPUTED_VALUE"""),"Gestión Presupuestal y Eficiencia del Gasto Público")</f>
        <v>Gestión Presupuestal y Eficiencia del Gasto Público</v>
      </c>
      <c r="AF49" s="39" t="str">
        <f>IFERROR(__xludf.DUMMYFUNCTION("""COMPUTED_VALUE"""),"16. Paz, justicia e instituciones sólidas")</f>
        <v>16. Paz, justicia e instituciones sólidas</v>
      </c>
      <c r="AG49" s="76">
        <f>IFERROR(__xludf.DUMMYFUNCTION("""COMPUTED_VALUE"""),3.0)</f>
        <v>3</v>
      </c>
      <c r="AH49" s="51" t="str">
        <f>IFERROR(__xludf.DUMMYFUNCTION("""COMPUTED_VALUE"""),"En el trimestre del 2021, se publicaron en la pagina web de la Entidad la ejecucion presupuestal correspondiente al 2021")</f>
        <v>En el trimestre del 2021, se publicaron en la pagina web de la Entidad la ejecucion presupuestal correspondiente al 2021</v>
      </c>
      <c r="AI49" s="77" t="str">
        <f>IFERROR(__xludf.DUMMYFUNCTION("""COMPUTED_VALUE"""),"https://docs.google.com/document/d/1Fqb6H3iC7eDJd2IXgDo9GehVlxO0pqzy/edit")</f>
        <v>https://docs.google.com/document/d/1Fqb6H3iC7eDJd2IXgDo9GehVlxO0pqzy/edit</v>
      </c>
      <c r="AJ49" s="52">
        <f>IFERROR(__xludf.DUMMYFUNCTION("""COMPUTED_VALUE"""),44298.0)</f>
        <v>44298</v>
      </c>
      <c r="AK49" s="53" t="str">
        <f>IFERROR(IF((AL49+1)&lt;2,Alertas!$B$2&amp;TEXT(AL49,"0%")&amp;Alertas!$D$2, IF((AL49+1)=2,Alertas!$B$3,IF((AL49+1)&gt;2,Alertas!$B$4&amp;TEXT(AL49,"0%")&amp;Alertas!$D$4,AL49+1))),"Sin meta para el cuarto trimestre")</f>
        <v>La ejecución de la meta registrada se encuentra acorde a la meta programada en la formulación del plan de acción para el cuarto trimestre</v>
      </c>
      <c r="AL49" s="54">
        <f t="shared" si="2"/>
        <v>1</v>
      </c>
      <c r="AM49" s="53" t="str">
        <f t="shared" si="3"/>
        <v>La ejecución de la meta registrada se encuentra acorde a la meta programada en la formulación del plan de acción para el cuarto trimestre.</v>
      </c>
      <c r="AN49" s="55"/>
      <c r="AO49" s="56"/>
      <c r="AP49" s="57"/>
      <c r="AQ49" s="57"/>
      <c r="AR49" s="58"/>
      <c r="AS49" s="59"/>
      <c r="AT49" s="60"/>
      <c r="AU49" s="55"/>
      <c r="AV49" s="56"/>
      <c r="AW49" s="61"/>
      <c r="AX49" s="57"/>
      <c r="AY49" s="62"/>
      <c r="AZ49" s="63"/>
      <c r="BA49" s="64"/>
      <c r="BB49" s="65"/>
      <c r="BC49" s="56"/>
      <c r="BD49" s="61"/>
      <c r="BE49" s="57"/>
      <c r="BF49" s="58"/>
      <c r="BG49" s="63"/>
      <c r="BH49" s="64"/>
      <c r="BI49" s="66"/>
      <c r="BK49" s="21" t="str">
        <f t="shared" si="23"/>
        <v>0</v>
      </c>
      <c r="BM49" s="21"/>
    </row>
    <row r="50" ht="33.75" customHeight="1">
      <c r="A50" s="37"/>
      <c r="B50" s="38">
        <f>IFERROR(__xludf.DUMMYFUNCTION("""COMPUTED_VALUE"""),56.0)</f>
        <v>56</v>
      </c>
      <c r="C50" s="39" t="str">
        <f>IFERROR(__xludf.DUMMYFUNCTION("""COMPUTED_VALUE"""),"Gestión documental")</f>
        <v>Gestión documental</v>
      </c>
      <c r="D50" s="40" t="str">
        <f>IFERROR(__xludf.DUMMYFUNCTION("""COMPUTED_VALUE"""),"Gestión Documental")</f>
        <v>Gestión Documental</v>
      </c>
      <c r="E50" s="40" t="str">
        <f>IFERROR(__xludf.DUMMYFUNCTION("""COMPUTED_VALUE"""),"Fortalecimiento de la capacidad de gestión de la autoridad nacional de acuicultura y pesca - aunap nacional")</f>
        <v>Fortalecimiento de la capacidad de gestión de la autoridad nacional de acuicultura y pesca - aunap nacional</v>
      </c>
      <c r="F50" s="40">
        <f>IFERROR(__xludf.DUMMYFUNCTION("""COMPUTED_VALUE"""),2.01801E12)</f>
        <v>2018010000000</v>
      </c>
      <c r="G50" s="41" t="str">
        <f>IFERROR(__xludf.DUMMYFUNCTION("""COMPUTED_VALUE"""),"Fortalecimiento")</f>
        <v>Fortalecimiento</v>
      </c>
      <c r="H50" s="40" t="str">
        <f>IFERROR(__xludf.DUMMYFUNCTION("""COMPUTED_VALUE"""),"Fortalecer los sistemas de gestión de la Entidad")</f>
        <v>Fortalecer los sistemas de gestión de la Entidad</v>
      </c>
      <c r="I50" s="40" t="str">
        <f>IFERROR(__xludf.DUMMYFUNCTION("""COMPUTED_VALUE"""),"Servicio de Gestión Documental")</f>
        <v>Servicio de Gestión Documental</v>
      </c>
      <c r="J50" s="40" t="str">
        <f>IFERROR(__xludf.DUMMYFUNCTION("""COMPUTED_VALUE"""),"Actualizar y mantener el Sistema de Gestión Documental")</f>
        <v>Actualizar y mantener el Sistema de Gestión Documental</v>
      </c>
      <c r="K50" s="42" t="str">
        <f>IFERROR(__xludf.DUMMYFUNCTION("""COMPUTED_VALUE"""),"Gestión del área")</f>
        <v>Gestión del área</v>
      </c>
      <c r="L50" s="42" t="str">
        <f>IFERROR(__xludf.DUMMYFUNCTION("""COMPUTED_VALUE"""),"Eficacia")</f>
        <v>Eficacia</v>
      </c>
      <c r="M50" s="42" t="str">
        <f>IFERROR(__xludf.DUMMYFUNCTION("""COMPUTED_VALUE"""),"Número")</f>
        <v>Número</v>
      </c>
      <c r="N50" s="43" t="str">
        <f>IFERROR(__xludf.DUMMYFUNCTION("""COMPUTED_VALUE"""),"Numero de intervenciones realizadas/Numero de intervenciones programadas")</f>
        <v>Numero de intervenciones realizadas/Numero de intervenciones programadas</v>
      </c>
      <c r="O50" s="44"/>
      <c r="P50" s="45">
        <f>IFERROR(__xludf.DUMMYFUNCTION("""COMPUTED_VALUE"""),2.0)</f>
        <v>2</v>
      </c>
      <c r="Q50" s="46" t="str">
        <f>IFERROR(__xludf.DUMMYFUNCTION("""COMPUTED_VALUE"""),"Realizar los inventarios de Archivo de Nivel Central")</f>
        <v>Realizar los inventarios de Archivo de Nivel Central</v>
      </c>
      <c r="R50" s="47" t="str">
        <f>IFERROR(__xludf.DUMMYFUNCTION("""COMPUTED_VALUE"""),"Semestral")</f>
        <v>Semestral</v>
      </c>
      <c r="S50" s="45">
        <f>IFERROR(__xludf.DUMMYFUNCTION("""COMPUTED_VALUE"""),0.0)</f>
        <v>0</v>
      </c>
      <c r="T50" s="45">
        <f>IFERROR(__xludf.DUMMYFUNCTION("""COMPUTED_VALUE"""),1.0)</f>
        <v>1</v>
      </c>
      <c r="U50" s="45"/>
      <c r="V50" s="45">
        <f>IFERROR(__xludf.DUMMYFUNCTION("""COMPUTED_VALUE"""),1.0)</f>
        <v>1</v>
      </c>
      <c r="W50" s="48" t="str">
        <f>IFERROR(__xludf.DUMMYFUNCTION("""COMPUTED_VALUE"""),"Gestión Documental")</f>
        <v>Gestión Documental</v>
      </c>
      <c r="X50" s="49" t="str">
        <f>IFERROR(__xludf.DUMMYFUNCTION("""COMPUTED_VALUE"""),"Gustavo Polo")</f>
        <v>Gustavo Polo</v>
      </c>
      <c r="Y50" s="39" t="str">
        <f>IFERROR(__xludf.DUMMYFUNCTION("""COMPUTED_VALUE"""),"Funcionario")</f>
        <v>Funcionario</v>
      </c>
      <c r="Z50" s="49" t="str">
        <f>IFERROR(__xludf.DUMMYFUNCTION("""COMPUTED_VALUE"""),"gustavo.polo@aunap.gov.co")</f>
        <v>gustavo.polo@aunap.gov.co</v>
      </c>
      <c r="AA50" s="39" t="str">
        <f>IFERROR(__xludf.DUMMYFUNCTION("""COMPUTED_VALUE"""),"Talento humano")</f>
        <v>Talento humano</v>
      </c>
      <c r="AB50" s="39" t="str">
        <f>IFERROR(__xludf.DUMMYFUNCTION("""COMPUTED_VALUE"""),"Plan Institucional de Archivos de la Entidad -PINAR")</f>
        <v>Plan Institucional de Archivos de la Entidad -PINAR</v>
      </c>
      <c r="AC50" s="39" t="str">
        <f>IFERROR(__xludf.DUMMYFUNCTION("""COMPUTED_VALUE"""),"Llegar con actividades de pesca y acuicultura a todas las regiones")</f>
        <v>Llegar con actividades de pesca y acuicultura a todas las regiones</v>
      </c>
      <c r="AD50" s="39" t="str">
        <f>IFERROR(__xludf.DUMMYFUNCTION("""COMPUTED_VALUE"""),"Información y comunicación")</f>
        <v>Información y comunicación</v>
      </c>
      <c r="AE50" s="39" t="str">
        <f>IFERROR(__xludf.DUMMYFUNCTION("""COMPUTED_VALUE"""),"Gestión Documental")</f>
        <v>Gestión Documental</v>
      </c>
      <c r="AF50" s="39" t="str">
        <f>IFERROR(__xludf.DUMMYFUNCTION("""COMPUTED_VALUE"""),"16. Paz, justicia e instituciones sólidas")</f>
        <v>16. Paz, justicia e instituciones sólidas</v>
      </c>
      <c r="AG50" s="76" t="str">
        <f>IFERROR(__xludf.DUMMYFUNCTION("""COMPUTED_VALUE"""),"Se realizo reunión de trabajo con las nuevas contratistas para realizar el inicio de las actividades de inventario con las areas de la entidad.")</f>
        <v>Se realizo reunión de trabajo con las nuevas contratistas para realizar el inicio de las actividades de inventario con las areas de la entidad.</v>
      </c>
      <c r="AH50" s="51"/>
      <c r="AI50" s="51" t="str">
        <f>IFERROR(__xludf.DUMMYFUNCTION("""COMPUTED_VALUE"""),"Se realizo unicamente una reunion")</f>
        <v>Se realizo unicamente una reunion</v>
      </c>
      <c r="AJ50" s="52">
        <f>IFERROR(__xludf.DUMMYFUNCTION("""COMPUTED_VALUE"""),44298.0)</f>
        <v>44298</v>
      </c>
      <c r="AK50" s="53" t="str">
        <f>IFERROR(IF((AL50+1)&lt;2,Alertas!$B$2&amp;TEXT(AL50,"0%")&amp;Alertas!$D$2, IF((AL50+1)=2,Alertas!$B$3,IF((AL50+1)&gt;2,Alertas!$B$4&amp;TEXT(AL50,"0%")&amp;Alertas!$D$4,AL50+1))),"Sin meta para el cuarto trimestre")</f>
        <v>Sin meta para el cuarto trimestre</v>
      </c>
      <c r="AL50" s="54" t="str">
        <f t="shared" si="2"/>
        <v>#VALUE!</v>
      </c>
      <c r="AM50" s="53" t="str">
        <f t="shared" si="3"/>
        <v>No reporto justificación de avance. 
Sin meta para el cuarto trimestre.</v>
      </c>
      <c r="AN50" s="55"/>
      <c r="AO50" s="56"/>
      <c r="AP50" s="57"/>
      <c r="AQ50" s="57"/>
      <c r="AR50" s="58"/>
      <c r="AS50" s="59"/>
      <c r="AT50" s="60"/>
      <c r="AU50" s="55"/>
      <c r="AV50" s="56"/>
      <c r="AW50" s="61"/>
      <c r="AX50" s="57"/>
      <c r="AY50" s="62"/>
      <c r="AZ50" s="63"/>
      <c r="BA50" s="64"/>
      <c r="BB50" s="65"/>
      <c r="BC50" s="56"/>
      <c r="BD50" s="61"/>
      <c r="BE50" s="57"/>
      <c r="BF50" s="58"/>
      <c r="BG50" s="63"/>
      <c r="BH50" s="64"/>
      <c r="BI50" s="66"/>
      <c r="BK50" s="21" t="str">
        <f t="shared" si="23"/>
        <v>-</v>
      </c>
      <c r="BM50" s="21"/>
    </row>
    <row r="51" ht="33.75" customHeight="1">
      <c r="A51" s="37"/>
      <c r="B51" s="38">
        <f>IFERROR(__xludf.DUMMYFUNCTION("""COMPUTED_VALUE"""),57.0)</f>
        <v>57</v>
      </c>
      <c r="C51" s="39" t="str">
        <f>IFERROR(__xludf.DUMMYFUNCTION("""COMPUTED_VALUE"""),"Gestión documental")</f>
        <v>Gestión documental</v>
      </c>
      <c r="D51" s="40" t="str">
        <f>IFERROR(__xludf.DUMMYFUNCTION("""COMPUTED_VALUE"""),"Gestión Documental")</f>
        <v>Gestión Documental</v>
      </c>
      <c r="E51" s="40" t="str">
        <f>IFERROR(__xludf.DUMMYFUNCTION("""COMPUTED_VALUE"""),"Fortalecimiento de la capacidad de gestión de la autoridad nacional de acuicultura y pesca - aunap nacional")</f>
        <v>Fortalecimiento de la capacidad de gestión de la autoridad nacional de acuicultura y pesca - aunap nacional</v>
      </c>
      <c r="F51" s="40">
        <f>IFERROR(__xludf.DUMMYFUNCTION("""COMPUTED_VALUE"""),2.01801E12)</f>
        <v>2018010000000</v>
      </c>
      <c r="G51" s="41" t="str">
        <f>IFERROR(__xludf.DUMMYFUNCTION("""COMPUTED_VALUE"""),"Fortalecimiento")</f>
        <v>Fortalecimiento</v>
      </c>
      <c r="H51" s="40" t="str">
        <f>IFERROR(__xludf.DUMMYFUNCTION("""COMPUTED_VALUE"""),"Fortalecer los sistemas de gestión de la Entidad")</f>
        <v>Fortalecer los sistemas de gestión de la Entidad</v>
      </c>
      <c r="I51" s="40" t="str">
        <f>IFERROR(__xludf.DUMMYFUNCTION("""COMPUTED_VALUE"""),"Servicio de Gestión Documental")</f>
        <v>Servicio de Gestión Documental</v>
      </c>
      <c r="J51" s="40" t="str">
        <f>IFERROR(__xludf.DUMMYFUNCTION("""COMPUTED_VALUE"""),"Actualizar y mantener el Sistema de Gestión Documental")</f>
        <v>Actualizar y mantener el Sistema de Gestión Documental</v>
      </c>
      <c r="K51" s="42" t="str">
        <f>IFERROR(__xludf.DUMMYFUNCTION("""COMPUTED_VALUE"""),"Gestión del área")</f>
        <v>Gestión del área</v>
      </c>
      <c r="L51" s="42" t="str">
        <f>IFERROR(__xludf.DUMMYFUNCTION("""COMPUTED_VALUE"""),"Eficacia")</f>
        <v>Eficacia</v>
      </c>
      <c r="M51" s="42" t="str">
        <f>IFERROR(__xludf.DUMMYFUNCTION("""COMPUTED_VALUE"""),"Número")</f>
        <v>Número</v>
      </c>
      <c r="N51" s="43" t="str">
        <f>IFERROR(__xludf.DUMMYFUNCTION("""COMPUTED_VALUE"""),"Numero de intervenciones realizadas/Numero de intervenciones programadas")</f>
        <v>Numero de intervenciones realizadas/Numero de intervenciones programadas</v>
      </c>
      <c r="O51" s="44"/>
      <c r="P51" s="45">
        <f>IFERROR(__xludf.DUMMYFUNCTION("""COMPUTED_VALUE"""),2.0)</f>
        <v>2</v>
      </c>
      <c r="Q51" s="46" t="str">
        <f>IFERROR(__xludf.DUMMYFUNCTION("""COMPUTED_VALUE"""),"Realizar la organizacion de los archivos de Gestion")</f>
        <v>Realizar la organizacion de los archivos de Gestion</v>
      </c>
      <c r="R51" s="47" t="str">
        <f>IFERROR(__xludf.DUMMYFUNCTION("""COMPUTED_VALUE"""),"Semestral")</f>
        <v>Semestral</v>
      </c>
      <c r="S51" s="45">
        <f>IFERROR(__xludf.DUMMYFUNCTION("""COMPUTED_VALUE"""),0.0)</f>
        <v>0</v>
      </c>
      <c r="T51" s="45">
        <f>IFERROR(__xludf.DUMMYFUNCTION("""COMPUTED_VALUE"""),1.0)</f>
        <v>1</v>
      </c>
      <c r="U51" s="45"/>
      <c r="V51" s="45">
        <f>IFERROR(__xludf.DUMMYFUNCTION("""COMPUTED_VALUE"""),1.0)</f>
        <v>1</v>
      </c>
      <c r="W51" s="48" t="str">
        <f>IFERROR(__xludf.DUMMYFUNCTION("""COMPUTED_VALUE"""),"Gestión Documental")</f>
        <v>Gestión Documental</v>
      </c>
      <c r="X51" s="49" t="str">
        <f>IFERROR(__xludf.DUMMYFUNCTION("""COMPUTED_VALUE"""),"Gustavo Polo")</f>
        <v>Gustavo Polo</v>
      </c>
      <c r="Y51" s="39" t="str">
        <f>IFERROR(__xludf.DUMMYFUNCTION("""COMPUTED_VALUE"""),"Funcionario")</f>
        <v>Funcionario</v>
      </c>
      <c r="Z51" s="49" t="str">
        <f>IFERROR(__xludf.DUMMYFUNCTION("""COMPUTED_VALUE"""),"gustavo.polo@aunap.gov.co")</f>
        <v>gustavo.polo@aunap.gov.co</v>
      </c>
      <c r="AA51" s="39" t="str">
        <f>IFERROR(__xludf.DUMMYFUNCTION("""COMPUTED_VALUE"""),"Talento humano")</f>
        <v>Talento humano</v>
      </c>
      <c r="AB51" s="39" t="str">
        <f>IFERROR(__xludf.DUMMYFUNCTION("""COMPUTED_VALUE"""),"Plan Institucional de Archivos de la Entidad -PINAR")</f>
        <v>Plan Institucional de Archivos de la Entidad -PINAR</v>
      </c>
      <c r="AC51" s="39" t="str">
        <f>IFERROR(__xludf.DUMMYFUNCTION("""COMPUTED_VALUE"""),"Llegar con actividades de pesca y acuicultura a todas las regiones")</f>
        <v>Llegar con actividades de pesca y acuicultura a todas las regiones</v>
      </c>
      <c r="AD51" s="39" t="str">
        <f>IFERROR(__xludf.DUMMYFUNCTION("""COMPUTED_VALUE"""),"Información y comunicación")</f>
        <v>Información y comunicación</v>
      </c>
      <c r="AE51" s="39" t="str">
        <f>IFERROR(__xludf.DUMMYFUNCTION("""COMPUTED_VALUE"""),"Gestión Documental")</f>
        <v>Gestión Documental</v>
      </c>
      <c r="AF51" s="39" t="str">
        <f>IFERROR(__xludf.DUMMYFUNCTION("""COMPUTED_VALUE"""),"16. Paz, justicia e instituciones sólidas")</f>
        <v>16. Paz, justicia e instituciones sólidas</v>
      </c>
      <c r="AG51" s="76" t="str">
        <f>IFERROR(__xludf.DUMMYFUNCTION("""COMPUTED_VALUE"""),"Se realizó la organización de los expedientes de la oficina de financiera en la ordenación y descripción")</f>
        <v>Se realizó la organización de los expedientes de la oficina de financiera en la ordenación y descripción</v>
      </c>
      <c r="AH51" s="51"/>
      <c r="AI51" s="51" t="str">
        <f>IFERROR(__xludf.DUMMYFUNCTION("""COMPUTED_VALUE"""),"Se realizo unicamente una reunion")</f>
        <v>Se realizo unicamente una reunion</v>
      </c>
      <c r="AJ51" s="52">
        <f>IFERROR(__xludf.DUMMYFUNCTION("""COMPUTED_VALUE"""),44298.0)</f>
        <v>44298</v>
      </c>
      <c r="AK51" s="53" t="str">
        <f>IFERROR(IF((AL51+1)&lt;2,Alertas!$B$2&amp;TEXT(AL51,"0%")&amp;Alertas!$D$2, IF((AL51+1)=2,Alertas!$B$3,IF((AL51+1)&gt;2,Alertas!$B$4&amp;TEXT(AL51,"0%")&amp;Alertas!$D$4,AL51+1))),"Sin meta para el cuarto trimestre")</f>
        <v>Sin meta para el cuarto trimestre</v>
      </c>
      <c r="AL51" s="54" t="str">
        <f t="shared" si="2"/>
        <v>#VALUE!</v>
      </c>
      <c r="AM51" s="53" t="str">
        <f t="shared" si="3"/>
        <v>No reporto justificación de avance. 
Sin meta para el cuarto trimestre.</v>
      </c>
      <c r="AN51" s="55"/>
      <c r="AO51" s="56"/>
      <c r="AP51" s="57"/>
      <c r="AQ51" s="57"/>
      <c r="AR51" s="58"/>
      <c r="AS51" s="59"/>
      <c r="AT51" s="60"/>
      <c r="AU51" s="55"/>
      <c r="AV51" s="56"/>
      <c r="AW51" s="61"/>
      <c r="AX51" s="57"/>
      <c r="AY51" s="62"/>
      <c r="AZ51" s="63"/>
      <c r="BA51" s="64"/>
      <c r="BB51" s="65"/>
      <c r="BC51" s="56"/>
      <c r="BD51" s="61"/>
      <c r="BE51" s="57"/>
      <c r="BF51" s="58"/>
      <c r="BG51" s="63"/>
      <c r="BH51" s="64"/>
      <c r="BI51" s="66"/>
      <c r="BK51" s="21" t="str">
        <f t="shared" si="23"/>
        <v>-</v>
      </c>
      <c r="BM51" s="21"/>
    </row>
    <row r="52" ht="33.75" customHeight="1">
      <c r="A52" s="37"/>
      <c r="B52" s="38">
        <f>IFERROR(__xludf.DUMMYFUNCTION("""COMPUTED_VALUE"""),58.0)</f>
        <v>58</v>
      </c>
      <c r="C52" s="39" t="str">
        <f>IFERROR(__xludf.DUMMYFUNCTION("""COMPUTED_VALUE"""),"Gestión documental")</f>
        <v>Gestión documental</v>
      </c>
      <c r="D52" s="40" t="str">
        <f>IFERROR(__xludf.DUMMYFUNCTION("""COMPUTED_VALUE"""),"Gestión Documental")</f>
        <v>Gestión Documental</v>
      </c>
      <c r="E52" s="40" t="str">
        <f>IFERROR(__xludf.DUMMYFUNCTION("""COMPUTED_VALUE"""),"Fortalecimiento de la capacidad de gestión de la autoridad nacional de acuicultura y pesca - aunap nacional")</f>
        <v>Fortalecimiento de la capacidad de gestión de la autoridad nacional de acuicultura y pesca - aunap nacional</v>
      </c>
      <c r="F52" s="40">
        <f>IFERROR(__xludf.DUMMYFUNCTION("""COMPUTED_VALUE"""),2.01801E12)</f>
        <v>2018010000000</v>
      </c>
      <c r="G52" s="41" t="str">
        <f>IFERROR(__xludf.DUMMYFUNCTION("""COMPUTED_VALUE"""),"Fortalecimiento")</f>
        <v>Fortalecimiento</v>
      </c>
      <c r="H52" s="40" t="str">
        <f>IFERROR(__xludf.DUMMYFUNCTION("""COMPUTED_VALUE"""),"Fortalecer los sistemas de gestión de la Entidad")</f>
        <v>Fortalecer los sistemas de gestión de la Entidad</v>
      </c>
      <c r="I52" s="40" t="str">
        <f>IFERROR(__xludf.DUMMYFUNCTION("""COMPUTED_VALUE"""),"Servicio de Gestión Documental")</f>
        <v>Servicio de Gestión Documental</v>
      </c>
      <c r="J52" s="40" t="str">
        <f>IFERROR(__xludf.DUMMYFUNCTION("""COMPUTED_VALUE"""),"Actualizar y mantener el Sistema de Gestión Documental")</f>
        <v>Actualizar y mantener el Sistema de Gestión Documental</v>
      </c>
      <c r="K52" s="42" t="str">
        <f>IFERROR(__xludf.DUMMYFUNCTION("""COMPUTED_VALUE"""),"Gestión del área")</f>
        <v>Gestión del área</v>
      </c>
      <c r="L52" s="42" t="str">
        <f>IFERROR(__xludf.DUMMYFUNCTION("""COMPUTED_VALUE"""),"Eficacia")</f>
        <v>Eficacia</v>
      </c>
      <c r="M52" s="42" t="str">
        <f>IFERROR(__xludf.DUMMYFUNCTION("""COMPUTED_VALUE"""),"Número")</f>
        <v>Número</v>
      </c>
      <c r="N52" s="43" t="str">
        <f>IFERROR(__xludf.DUMMYFUNCTION("""COMPUTED_VALUE"""),"Numero de intervenciones realizadas/Numero de intervenciones programadas")</f>
        <v>Numero de intervenciones realizadas/Numero de intervenciones programadas</v>
      </c>
      <c r="O52" s="44"/>
      <c r="P52" s="45">
        <f>IFERROR(__xludf.DUMMYFUNCTION("""COMPUTED_VALUE"""),4.0)</f>
        <v>4</v>
      </c>
      <c r="Q52" s="46" t="str">
        <f>IFERROR(__xludf.DUMMYFUNCTION("""COMPUTED_VALUE"""),"Sensibilizacion a las areas de la AUNAP")</f>
        <v>Sensibilizacion a las areas de la AUNAP</v>
      </c>
      <c r="R52" s="47" t="str">
        <f>IFERROR(__xludf.DUMMYFUNCTION("""COMPUTED_VALUE"""),"Trimestral")</f>
        <v>Trimestral</v>
      </c>
      <c r="S52" s="45">
        <f>IFERROR(__xludf.DUMMYFUNCTION("""COMPUTED_VALUE"""),1.0)</f>
        <v>1</v>
      </c>
      <c r="T52" s="45">
        <f>IFERROR(__xludf.DUMMYFUNCTION("""COMPUTED_VALUE"""),1.0)</f>
        <v>1</v>
      </c>
      <c r="U52" s="45">
        <f>IFERROR(__xludf.DUMMYFUNCTION("""COMPUTED_VALUE"""),1.0)</f>
        <v>1</v>
      </c>
      <c r="V52" s="45">
        <f>IFERROR(__xludf.DUMMYFUNCTION("""COMPUTED_VALUE"""),1.0)</f>
        <v>1</v>
      </c>
      <c r="W52" s="48" t="str">
        <f>IFERROR(__xludf.DUMMYFUNCTION("""COMPUTED_VALUE"""),"Gestión Documental")</f>
        <v>Gestión Documental</v>
      </c>
      <c r="X52" s="49" t="str">
        <f>IFERROR(__xludf.DUMMYFUNCTION("""COMPUTED_VALUE"""),"Gustavo Polo")</f>
        <v>Gustavo Polo</v>
      </c>
      <c r="Y52" s="39" t="str">
        <f>IFERROR(__xludf.DUMMYFUNCTION("""COMPUTED_VALUE"""),"Funcionario")</f>
        <v>Funcionario</v>
      </c>
      <c r="Z52" s="49" t="str">
        <f>IFERROR(__xludf.DUMMYFUNCTION("""COMPUTED_VALUE"""),"gustavo.polo@aunap.gov.co")</f>
        <v>gustavo.polo@aunap.gov.co</v>
      </c>
      <c r="AA52" s="39" t="str">
        <f>IFERROR(__xludf.DUMMYFUNCTION("""COMPUTED_VALUE"""),"Talento humano")</f>
        <v>Talento humano</v>
      </c>
      <c r="AB52" s="39" t="str">
        <f>IFERROR(__xludf.DUMMYFUNCTION("""COMPUTED_VALUE"""),"Plan Institucional de Archivos de la Entidad -PINAR")</f>
        <v>Plan Institucional de Archivos de la Entidad -PINAR</v>
      </c>
      <c r="AC52" s="39" t="str">
        <f>IFERROR(__xludf.DUMMYFUNCTION("""COMPUTED_VALUE"""),"Llegar con actividades de pesca y acuicultura a todas las regiones")</f>
        <v>Llegar con actividades de pesca y acuicultura a todas las regiones</v>
      </c>
      <c r="AD52" s="39" t="str">
        <f>IFERROR(__xludf.DUMMYFUNCTION("""COMPUTED_VALUE"""),"Información y comunicación")</f>
        <v>Información y comunicación</v>
      </c>
      <c r="AE52" s="39" t="str">
        <f>IFERROR(__xludf.DUMMYFUNCTION("""COMPUTED_VALUE"""),"Gestión Documental")</f>
        <v>Gestión Documental</v>
      </c>
      <c r="AF52" s="39" t="str">
        <f>IFERROR(__xludf.DUMMYFUNCTION("""COMPUTED_VALUE"""),"16. Paz, justicia e instituciones sólidas")</f>
        <v>16. Paz, justicia e instituciones sólidas</v>
      </c>
      <c r="AG52" s="76">
        <f>IFERROR(__xludf.DUMMYFUNCTION("""COMPUTED_VALUE"""),2.0)</f>
        <v>2</v>
      </c>
      <c r="AH52" s="51" t="str">
        <f>IFERROR(__xludf.DUMMYFUNCTION("""COMPUTED_VALUE"""),"Se realizó la inducción del 08 de marzo del 2021, sobre temas referentes de gestión documental y de la territorial de Barrancabermeja ")</f>
        <v>Se realizó la inducción del 08 de marzo del 2021, sobre temas referentes de gestión documental y de la territorial de Barrancabermeja </v>
      </c>
      <c r="AI52" s="51" t="str">
        <f>IFERROR(__xludf.DUMMYFUNCTION("""COMPUTED_VALUE"""),"https://docs.google.com/document/d/1Yn7BB4t4cg1IyDiYpervfEwHp4u9jHUY/edit, https://drive.google.com/drive/u/0/folders/1OPjn5_iIQQIEYjzE5mmCBQEr7t5rEINU")</f>
        <v>https://docs.google.com/document/d/1Yn7BB4t4cg1IyDiYpervfEwHp4u9jHUY/edit, https://drive.google.com/drive/u/0/folders/1OPjn5_iIQQIEYjzE5mmCBQEr7t5rEINU</v>
      </c>
      <c r="AJ52" s="52">
        <f>IFERROR(__xludf.DUMMYFUNCTION("""COMPUTED_VALUE"""),44298.0)</f>
        <v>44298</v>
      </c>
      <c r="AK52" s="53" t="str">
        <f>IFERROR(IF((AL52+1)&lt;2,Alertas!$B$2&amp;TEXT(AL52,"0%")&amp;Alertas!$D$2, IF((AL52+1)=2,Alertas!$B$3,IF((AL52+1)&gt;2,Alertas!$B$4&amp;TEXT(AL52,"0%")&amp;Alertas!$D$4,AL52+1))),"Sin meta para el cuarto trimestre")</f>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L52" s="54">
        <f t="shared" si="2"/>
        <v>2</v>
      </c>
      <c r="AM52" s="53" t="str">
        <f t="shared" si="3"/>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N52" s="55"/>
      <c r="AO52" s="56"/>
      <c r="AP52" s="57"/>
      <c r="AQ52" s="57"/>
      <c r="AR52" s="58"/>
      <c r="AS52" s="59"/>
      <c r="AT52" s="60"/>
      <c r="AU52" s="55"/>
      <c r="AV52" s="56"/>
      <c r="AW52" s="61"/>
      <c r="AX52" s="57"/>
      <c r="AY52" s="62"/>
      <c r="AZ52" s="63"/>
      <c r="BA52" s="64"/>
      <c r="BB52" s="65"/>
      <c r="BC52" s="56"/>
      <c r="BD52" s="61"/>
      <c r="BE52" s="57"/>
      <c r="BF52" s="58"/>
      <c r="BG52" s="63"/>
      <c r="BH52" s="64"/>
      <c r="BI52" s="66"/>
      <c r="BK52" s="21" t="str">
        <f t="shared" si="23"/>
        <v>1</v>
      </c>
      <c r="BM52" s="21"/>
    </row>
    <row r="53" ht="33.75" customHeight="1">
      <c r="A53" s="37"/>
      <c r="B53" s="38">
        <f>IFERROR(__xludf.DUMMYFUNCTION("""COMPUTED_VALUE"""),59.0)</f>
        <v>59</v>
      </c>
      <c r="C53" s="39" t="str">
        <f>IFERROR(__xludf.DUMMYFUNCTION("""COMPUTED_VALUE"""),"Gestión jurídica")</f>
        <v>Gestión jurídica</v>
      </c>
      <c r="D53" s="40" t="str">
        <f>IFERROR(__xludf.DUMMYFUNCTION("""COMPUTED_VALUE"""),"Oficina Asesor Jurídica")</f>
        <v>Oficina Asesor Jurídica</v>
      </c>
      <c r="E53" s="40" t="str">
        <f>IFERROR(__xludf.DUMMYFUNCTION("""COMPUTED_VALUE"""),"Fortalecimiento de la capacidad de gestión de la autoridad nacional de acuicultura y pesca - aunap nacional")</f>
        <v>Fortalecimiento de la capacidad de gestión de la autoridad nacional de acuicultura y pesca - aunap nacional</v>
      </c>
      <c r="F53" s="40">
        <f>IFERROR(__xludf.DUMMYFUNCTION("""COMPUTED_VALUE"""),2.018011000241E12)</f>
        <v>2018011000241</v>
      </c>
      <c r="G53" s="41" t="str">
        <f>IFERROR(__xludf.DUMMYFUNCTION("""COMPUTED_VALUE"""),"Fortalecimiento")</f>
        <v>Fortalecimiento</v>
      </c>
      <c r="H53" s="40" t="str">
        <f>IFERROR(__xludf.DUMMYFUNCTION("""COMPUTED_VALUE"""),"Fortalecer los sistemas de gestión de la Entidad")</f>
        <v>Fortalecer los sistemas de gestión de la Entidad</v>
      </c>
      <c r="I53" s="40" t="str">
        <f>IFERROR(__xludf.DUMMYFUNCTION("""COMPUTED_VALUE"""),"Servicio de Implementación Sistemas de Gestión")</f>
        <v>Servicio de Implementación Sistemas de Gestión</v>
      </c>
      <c r="J53"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3" s="42" t="str">
        <f>IFERROR(__xludf.DUMMYFUNCTION("""COMPUTED_VALUE"""),"Gestión del área")</f>
        <v>Gestión del área</v>
      </c>
      <c r="L53" s="42" t="str">
        <f>IFERROR(__xludf.DUMMYFUNCTION("""COMPUTED_VALUE"""),"Efectividad")</f>
        <v>Efectividad</v>
      </c>
      <c r="M53" s="42" t="str">
        <f>IFERROR(__xludf.DUMMYFUNCTION("""COMPUTED_VALUE"""),"Porcentaje")</f>
        <v>Porcentaje</v>
      </c>
      <c r="N53" s="43" t="str">
        <f>IFERROR(__xludf.DUMMYFUNCTION("""COMPUTED_VALUE"""),"(Número de respuestas atendidas oportunamente a las diferentes acciones de tutela, requirimientos a derechos de petición, consultas, actuaciónes judiciales ./Número de las diferentes acciones de tutela, requirimientos a derechos de petición, consultas, ac"&amp;"tuaciónes judiciales raicadas en la OAJ o recibidas mediante el correo de notificaciones judiciales)*100")</f>
        <v>(Número de respuestas atendidas oportunamente a las diferentes acciones de tutela, requirimientos a derechos de petición, consultas, actuaciónes judiciales ./Número de las diferentes acciones de tutela, requirimientos a derechos de petición, consultas, actuaciónes judiciales raicadas en la OAJ o recibidas mediante el correo de notificaciones judiciales)*100</v>
      </c>
      <c r="O53" s="44"/>
      <c r="P53" s="45">
        <f>IFERROR(__xludf.DUMMYFUNCTION("""COMPUTED_VALUE"""),1.0)</f>
        <v>1</v>
      </c>
      <c r="Q53" s="46" t="str">
        <f>IFERROR(__xludf.DUMMYFUNCTION("""COMPUTED_VALUE"""),"Atención oportuna de las respuestas de las diferentes acciones de tutela, requirimientos a derechos de petición, consultas, actuaciónes judiciales raicadas en la OAJ o recibidas mediante el correo de notificaciones judiciales.")</f>
        <v>Atención oportuna de las respuestas de las diferentes acciones de tutela, requirimientos a derechos de petición, consultas, actuaciónes judiciales raicadas en la OAJ o recibidas mediante el correo de notificaciones judiciales.</v>
      </c>
      <c r="R53" s="47" t="str">
        <f>IFERROR(__xludf.DUMMYFUNCTION("""COMPUTED_VALUE"""),"Trimestral")</f>
        <v>Trimestral</v>
      </c>
      <c r="S53" s="45">
        <f>IFERROR(__xludf.DUMMYFUNCTION("""COMPUTED_VALUE"""),1.0)</f>
        <v>1</v>
      </c>
      <c r="T53" s="45">
        <f>IFERROR(__xludf.DUMMYFUNCTION("""COMPUTED_VALUE"""),1.0)</f>
        <v>1</v>
      </c>
      <c r="U53" s="45">
        <f>IFERROR(__xludf.DUMMYFUNCTION("""COMPUTED_VALUE"""),1.0)</f>
        <v>1</v>
      </c>
      <c r="V53" s="45">
        <f>IFERROR(__xludf.DUMMYFUNCTION("""COMPUTED_VALUE"""),1.0)</f>
        <v>1</v>
      </c>
      <c r="W53" s="48" t="str">
        <f>IFERROR(__xludf.DUMMYFUNCTION("""COMPUTED_VALUE"""),"Oficina Asesoria Juridica")</f>
        <v>Oficina Asesoria Juridica</v>
      </c>
      <c r="X53" s="49" t="str">
        <f>IFERROR(__xludf.DUMMYFUNCTION("""COMPUTED_VALUE"""),"Miguel Angel Ardila")</f>
        <v>Miguel Angel Ardila</v>
      </c>
      <c r="Y53" s="39" t="str">
        <f>IFERROR(__xludf.DUMMYFUNCTION("""COMPUTED_VALUE"""),"Jefe Oficina Asesora Juridica")</f>
        <v>Jefe Oficina Asesora Juridica</v>
      </c>
      <c r="Z53" s="49" t="str">
        <f>IFERROR(__xludf.DUMMYFUNCTION("""COMPUTED_VALUE"""),"miguel.ardila@aunap.gov.co")</f>
        <v>miguel.ardila@aunap.gov.co</v>
      </c>
      <c r="AA53" s="39" t="str">
        <f>IFERROR(__xludf.DUMMYFUNCTION("""COMPUTED_VALUE"""),"Humanos, Físicos, Financieros, Tecnológicos")</f>
        <v>Humanos, Físicos, Financieros, Tecnológicos</v>
      </c>
      <c r="AB53" s="39" t="str">
        <f>IFERROR(__xludf.DUMMYFUNCTION("""COMPUTED_VALUE"""),"No asociado")</f>
        <v>No asociado</v>
      </c>
      <c r="AC53" s="39" t="str">
        <f>IFERROR(__xludf.DUMMYFUNCTION("""COMPUTED_VALUE"""),"Propiciar la formalización de la pesca y la acuicultura")</f>
        <v>Propiciar la formalización de la pesca y la acuicultura</v>
      </c>
      <c r="AD53" s="39" t="str">
        <f>IFERROR(__xludf.DUMMYFUNCTION("""COMPUTED_VALUE"""),"Gestión con valores para resultados")</f>
        <v>Gestión con valores para resultados</v>
      </c>
      <c r="AE53" s="39" t="str">
        <f>IFERROR(__xludf.DUMMYFUNCTION("""COMPUTED_VALUE"""),"Defensa Jurídica")</f>
        <v>Defensa Jurídica</v>
      </c>
      <c r="AF53" s="39" t="str">
        <f>IFERROR(__xludf.DUMMYFUNCTION("""COMPUTED_VALUE"""),"16. Paz, justicia e instituciones sólidas")</f>
        <v>16. Paz, justicia e instituciones sólidas</v>
      </c>
      <c r="AG53" s="50">
        <f>IFERROR(__xludf.DUMMYFUNCTION("""COMPUTED_VALUE"""),1.0)</f>
        <v>1</v>
      </c>
      <c r="AH53" s="51" t="str">
        <f>IFERROR(__xludf.DUMMYFUNCTION("""COMPUTED_VALUE"""),"OPORTUNIDAD EN LAS RESPUESTAS DE LOS DERECHOS DE PETICION EN LOS TERMINOS ESTABLECIDOS LEGALMENTE")</f>
        <v>OPORTUNIDAD EN LAS RESPUESTAS DE LOS DERECHOS DE PETICION EN LOS TERMINOS ESTABLECIDOS LEGALMENTE</v>
      </c>
      <c r="AI53" s="72" t="str">
        <f>IFERROR(__xludf.DUMMYFUNCTION("""COMPUTED_VALUE"""),"https://drive.google.com/drive/folders/1FDqahgPr-iMvvO86Lo32gihinGDQyC4M")</f>
        <v>https://drive.google.com/drive/folders/1FDqahgPr-iMvvO86Lo32gihinGDQyC4M</v>
      </c>
      <c r="AJ53" s="52">
        <f>IFERROR(__xludf.DUMMYFUNCTION("""COMPUTED_VALUE"""),44298.0)</f>
        <v>44298</v>
      </c>
      <c r="AK53" s="53" t="str">
        <f>IFERROR(IF((AL53+1)&lt;2,Alertas!$B$2&amp;TEXT(AL53,"0%")&amp;Alertas!$D$2, IF((AL53+1)=2,Alertas!$B$3,IF((AL53+1)&gt;2,Alertas!$B$4&amp;TEXT(AL53,"0%")&amp;Alertas!$D$4,AL53+1))),"Sin meta para el cuarto trimestre")</f>
        <v>La ejecución de la meta registrada se encuentra acorde a la meta programada en la formulación del plan de acción para el cuarto trimestre</v>
      </c>
      <c r="AL53" s="54">
        <f t="shared" si="2"/>
        <v>1</v>
      </c>
      <c r="AM53" s="53" t="str">
        <f t="shared" si="3"/>
        <v>La ejecución de la meta registrada se encuentra acorde a la meta programada en la formulación del plan de acción para el cuarto trimestre.</v>
      </c>
      <c r="AN53" s="55"/>
      <c r="AO53" s="56"/>
      <c r="AP53" s="57"/>
      <c r="AQ53" s="57"/>
      <c r="AR53" s="58"/>
      <c r="AS53" s="59"/>
      <c r="AT53" s="60"/>
      <c r="AU53" s="55"/>
      <c r="AV53" s="56"/>
      <c r="AW53" s="61"/>
      <c r="AX53" s="57"/>
      <c r="AY53" s="62"/>
      <c r="AZ53" s="63"/>
      <c r="BA53" s="64"/>
      <c r="BB53" s="65"/>
      <c r="BC53" s="56"/>
      <c r="BD53" s="61"/>
      <c r="BE53" s="57"/>
      <c r="BF53" s="58"/>
      <c r="BG53" s="63"/>
      <c r="BH53" s="64"/>
      <c r="BI53" s="66"/>
      <c r="BK53" s="21" t="str">
        <f t="shared" si="23"/>
        <v>0</v>
      </c>
      <c r="BM53" s="21"/>
    </row>
    <row r="54" ht="33.75" customHeight="1">
      <c r="A54" s="37"/>
      <c r="B54" s="38">
        <f>IFERROR(__xludf.DUMMYFUNCTION("""COMPUTED_VALUE"""),60.0)</f>
        <v>60</v>
      </c>
      <c r="C54" s="39" t="str">
        <f>IFERROR(__xludf.DUMMYFUNCTION("""COMPUTED_VALUE"""),"Gestión jurídica")</f>
        <v>Gestión jurídica</v>
      </c>
      <c r="D54" s="40" t="str">
        <f>IFERROR(__xludf.DUMMYFUNCTION("""COMPUTED_VALUE"""),"Oficina Asesor Jurídica")</f>
        <v>Oficina Asesor Jurídica</v>
      </c>
      <c r="E54" s="40" t="str">
        <f>IFERROR(__xludf.DUMMYFUNCTION("""COMPUTED_VALUE"""),"Fortalecimiento de la capacidad de gestión de la autoridad nacional de acuicultura y pesca - aunap nacional")</f>
        <v>Fortalecimiento de la capacidad de gestión de la autoridad nacional de acuicultura y pesca - aunap nacional</v>
      </c>
      <c r="F54" s="40">
        <f>IFERROR(__xludf.DUMMYFUNCTION("""COMPUTED_VALUE"""),2.018011000241E12)</f>
        <v>2018011000241</v>
      </c>
      <c r="G54" s="41" t="str">
        <f>IFERROR(__xludf.DUMMYFUNCTION("""COMPUTED_VALUE"""),"Fortalecimiento")</f>
        <v>Fortalecimiento</v>
      </c>
      <c r="H54" s="40" t="str">
        <f>IFERROR(__xludf.DUMMYFUNCTION("""COMPUTED_VALUE"""),"Fortalecer los sistemas de gestión de la Entidad")</f>
        <v>Fortalecer los sistemas de gestión de la Entidad</v>
      </c>
      <c r="I54" s="40" t="str">
        <f>IFERROR(__xludf.DUMMYFUNCTION("""COMPUTED_VALUE"""),"Servicio de Implementación Sistemas de Gestión")</f>
        <v>Servicio de Implementación Sistemas de Gestión</v>
      </c>
      <c r="J54"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4" s="42" t="str">
        <f>IFERROR(__xludf.DUMMYFUNCTION("""COMPUTED_VALUE"""),"Gestión del área")</f>
        <v>Gestión del área</v>
      </c>
      <c r="L54" s="42" t="str">
        <f>IFERROR(__xludf.DUMMYFUNCTION("""COMPUTED_VALUE"""),"Eficacia")</f>
        <v>Eficacia</v>
      </c>
      <c r="M54" s="42" t="str">
        <f>IFERROR(__xludf.DUMMYFUNCTION("""COMPUTED_VALUE"""),"Porcentaje")</f>
        <v>Porcentaje</v>
      </c>
      <c r="N54" s="43" t="str">
        <f>IFERROR(__xludf.DUMMYFUNCTION("""COMPUTED_VALUE"""),"Número de cobro persuasivo y/o coactivo atendidos/Número de sanciones administrativas allegadas por parte la DTIV para tal fin *100")</f>
        <v>Número de cobro persuasivo y/o coactivo atendidos/Número de sanciones administrativas allegadas por parte la DTIV para tal fin *100</v>
      </c>
      <c r="O54" s="44"/>
      <c r="P54" s="45">
        <f>IFERROR(__xludf.DUMMYFUNCTION("""COMPUTED_VALUE"""),1.0)</f>
        <v>1</v>
      </c>
      <c r="Q54" s="46" t="str">
        <f>IFERROR(__xludf.DUMMYFUNCTION("""COMPUTED_VALUE"""),"Tramite del cobro persuasivo y/o coactivo de conformidad con el procedimiento adelantado por la Oficina Asesora Jurídica y la respuesta del mismo respecto  a las sanciones administrativas allegadas por parte la DTIV.")</f>
        <v>Tramite del cobro persuasivo y/o coactivo de conformidad con el procedimiento adelantado por la Oficina Asesora Jurídica y la respuesta del mismo respecto  a las sanciones administrativas allegadas por parte la DTIV.</v>
      </c>
      <c r="R54" s="47" t="str">
        <f>IFERROR(__xludf.DUMMYFUNCTION("""COMPUTED_VALUE"""),"Trimestral")</f>
        <v>Trimestral</v>
      </c>
      <c r="S54" s="45">
        <f>IFERROR(__xludf.DUMMYFUNCTION("""COMPUTED_VALUE"""),1.0)</f>
        <v>1</v>
      </c>
      <c r="T54" s="45">
        <f>IFERROR(__xludf.DUMMYFUNCTION("""COMPUTED_VALUE"""),1.0)</f>
        <v>1</v>
      </c>
      <c r="U54" s="45">
        <f>IFERROR(__xludf.DUMMYFUNCTION("""COMPUTED_VALUE"""),1.0)</f>
        <v>1</v>
      </c>
      <c r="V54" s="45">
        <f>IFERROR(__xludf.DUMMYFUNCTION("""COMPUTED_VALUE"""),1.0)</f>
        <v>1</v>
      </c>
      <c r="W54" s="48" t="str">
        <f>IFERROR(__xludf.DUMMYFUNCTION("""COMPUTED_VALUE"""),"Oficina Asesoria Juridica")</f>
        <v>Oficina Asesoria Juridica</v>
      </c>
      <c r="X54" s="49" t="str">
        <f>IFERROR(__xludf.DUMMYFUNCTION("""COMPUTED_VALUE"""),"Miguel Angel Ardila")</f>
        <v>Miguel Angel Ardila</v>
      </c>
      <c r="Y54" s="39" t="str">
        <f>IFERROR(__xludf.DUMMYFUNCTION("""COMPUTED_VALUE"""),"Jefe Oficina Asesora Juridica")</f>
        <v>Jefe Oficina Asesora Juridica</v>
      </c>
      <c r="Z54" s="49" t="str">
        <f>IFERROR(__xludf.DUMMYFUNCTION("""COMPUTED_VALUE"""),"miguel.ardila@aunap.gov.co")</f>
        <v>miguel.ardila@aunap.gov.co</v>
      </c>
      <c r="AA54" s="39" t="str">
        <f>IFERROR(__xludf.DUMMYFUNCTION("""COMPUTED_VALUE"""),"Humanos, Físicos, Financieros, Tecnológicos")</f>
        <v>Humanos, Físicos, Financieros, Tecnológicos</v>
      </c>
      <c r="AB54" s="39" t="str">
        <f>IFERROR(__xludf.DUMMYFUNCTION("""COMPUTED_VALUE"""),"No asociado")</f>
        <v>No asociado</v>
      </c>
      <c r="AC5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54" s="39" t="str">
        <f>IFERROR(__xludf.DUMMYFUNCTION("""COMPUTED_VALUE"""),"Gestión con valores para resultados")</f>
        <v>Gestión con valores para resultados</v>
      </c>
      <c r="AE54" s="39" t="str">
        <f>IFERROR(__xludf.DUMMYFUNCTION("""COMPUTED_VALUE"""),"Defensa Jurídica")</f>
        <v>Defensa Jurídica</v>
      </c>
      <c r="AF54" s="39" t="str">
        <f>IFERROR(__xludf.DUMMYFUNCTION("""COMPUTED_VALUE"""),"16. Paz, justicia e instituciones sólidas")</f>
        <v>16. Paz, justicia e instituciones sólidas</v>
      </c>
      <c r="AG54" s="50">
        <f>IFERROR(__xludf.DUMMYFUNCTION("""COMPUTED_VALUE"""),1.0)</f>
        <v>1</v>
      </c>
      <c r="AH54" s="51" t="str">
        <f>IFERROR(__xludf.DUMMYFUNCTION("""COMPUTED_VALUE"""),"REALIZACION DE CADA UNA DE LAS ETAPAS EN EL PROCESO DE COBRO COACTIVO DE LA ENTIDAD")</f>
        <v>REALIZACION DE CADA UNA DE LAS ETAPAS EN EL PROCESO DE COBRO COACTIVO DE LA ENTIDAD</v>
      </c>
      <c r="AI54" s="72" t="str">
        <f>IFERROR(__xludf.DUMMYFUNCTION("""COMPUTED_VALUE"""),"https://drive.google.com/drive/folders/1FDqahgPr-iMvvO86Lo32gihinGDQyC4M")</f>
        <v>https://drive.google.com/drive/folders/1FDqahgPr-iMvvO86Lo32gihinGDQyC4M</v>
      </c>
      <c r="AJ54" s="52">
        <f>IFERROR(__xludf.DUMMYFUNCTION("""COMPUTED_VALUE"""),44298.0)</f>
        <v>44298</v>
      </c>
      <c r="AK54" s="53" t="str">
        <f>IFERROR(IF((AL54+1)&lt;2,Alertas!$B$2&amp;TEXT(AL54,"0%")&amp;Alertas!$D$2, IF((AL54+1)=2,Alertas!$B$3,IF((AL54+1)&gt;2,Alertas!$B$4&amp;TEXT(AL54,"0%")&amp;Alertas!$D$4,AL54+1))),"Sin meta para el cuarto trimestre")</f>
        <v>La ejecución de la meta registrada se encuentra acorde a la meta programada en la formulación del plan de acción para el cuarto trimestre</v>
      </c>
      <c r="AL54" s="54">
        <f t="shared" si="2"/>
        <v>1</v>
      </c>
      <c r="AM54" s="53" t="str">
        <f t="shared" si="3"/>
        <v>La ejecución de la meta registrada se encuentra acorde a la meta programada en la formulación del plan de acción para el cuarto trimestre.</v>
      </c>
      <c r="AN54" s="55"/>
      <c r="AO54" s="56"/>
      <c r="AP54" s="57"/>
      <c r="AQ54" s="57"/>
      <c r="AR54" s="58"/>
      <c r="AS54" s="59"/>
      <c r="AT54" s="60"/>
      <c r="AU54" s="55"/>
      <c r="AV54" s="56"/>
      <c r="AW54" s="61"/>
      <c r="AX54" s="57"/>
      <c r="AY54" s="62"/>
      <c r="AZ54" s="63"/>
      <c r="BA54" s="64"/>
      <c r="BB54" s="65"/>
      <c r="BC54" s="56"/>
      <c r="BD54" s="61"/>
      <c r="BE54" s="57"/>
      <c r="BF54" s="58"/>
      <c r="BG54" s="63"/>
      <c r="BH54" s="64"/>
      <c r="BI54" s="66"/>
      <c r="BK54" s="21" t="str">
        <f t="shared" si="23"/>
        <v>0</v>
      </c>
      <c r="BM54" s="21"/>
    </row>
    <row r="55" ht="33.75" customHeight="1">
      <c r="A55" s="37"/>
      <c r="B55" s="38">
        <f>IFERROR(__xludf.DUMMYFUNCTION("""COMPUTED_VALUE"""),61.0)</f>
        <v>61</v>
      </c>
      <c r="C55" s="39" t="str">
        <f>IFERROR(__xludf.DUMMYFUNCTION("""COMPUTED_VALUE"""),"Gestión jurídica")</f>
        <v>Gestión jurídica</v>
      </c>
      <c r="D55" s="40" t="str">
        <f>IFERROR(__xludf.DUMMYFUNCTION("""COMPUTED_VALUE"""),"Oficina Asesor Jurídica")</f>
        <v>Oficina Asesor Jurídica</v>
      </c>
      <c r="E55" s="40" t="str">
        <f>IFERROR(__xludf.DUMMYFUNCTION("""COMPUTED_VALUE"""),"Fortalecimiento de la capacidad de gestión de la autoridad nacional de acuicultura y pesca - aunap nacional")</f>
        <v>Fortalecimiento de la capacidad de gestión de la autoridad nacional de acuicultura y pesca - aunap nacional</v>
      </c>
      <c r="F55" s="40">
        <f>IFERROR(__xludf.DUMMYFUNCTION("""COMPUTED_VALUE"""),2.018011000241E12)</f>
        <v>2018011000241</v>
      </c>
      <c r="G55" s="41" t="str">
        <f>IFERROR(__xludf.DUMMYFUNCTION("""COMPUTED_VALUE"""),"Fortalecimiento")</f>
        <v>Fortalecimiento</v>
      </c>
      <c r="H55" s="40" t="str">
        <f>IFERROR(__xludf.DUMMYFUNCTION("""COMPUTED_VALUE"""),"Fortalecer los sistemas de gestión de la Entidad")</f>
        <v>Fortalecer los sistemas de gestión de la Entidad</v>
      </c>
      <c r="I55" s="40" t="str">
        <f>IFERROR(__xludf.DUMMYFUNCTION("""COMPUTED_VALUE"""),"Servicio de Implementación Sistemas de Gestión")</f>
        <v>Servicio de Implementación Sistemas de Gestión</v>
      </c>
      <c r="J55"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5" s="42" t="str">
        <f>IFERROR(__xludf.DUMMYFUNCTION("""COMPUTED_VALUE"""),"Gestión del área")</f>
        <v>Gestión del área</v>
      </c>
      <c r="L55" s="42" t="str">
        <f>IFERROR(__xludf.DUMMYFUNCTION("""COMPUTED_VALUE"""),"Eficacia")</f>
        <v>Eficacia</v>
      </c>
      <c r="M55" s="42" t="str">
        <f>IFERROR(__xludf.DUMMYFUNCTION("""COMPUTED_VALUE"""),"Porcentaje")</f>
        <v>Porcentaje</v>
      </c>
      <c r="N55" s="43" t="str">
        <f>IFERROR(__xludf.DUMMYFUNCTION("""COMPUTED_VALUE"""),"Número de actos administrativos y resoluciones revisados y Proyectados/ Número de solicitudes de revisión y proyección de actos administrativos y resoluciones por parte de la Dirección General y las Direcciones Tecnicas *100")</f>
        <v>Número de actos administrativos y resoluciones revisados y Proyectados/ Número de solicitudes de revisión y proyección de actos administrativos y resoluciones por parte de la Dirección General y las Direcciones Tecnicas *100</v>
      </c>
      <c r="O55" s="44"/>
      <c r="P55" s="45">
        <f>IFERROR(__xludf.DUMMYFUNCTION("""COMPUTED_VALUE"""),1.0)</f>
        <v>1</v>
      </c>
      <c r="Q55" s="46" t="str">
        <f>IFERROR(__xludf.DUMMYFUNCTION("""COMPUTED_VALUE"""),"Revisión y Proyección de actos administrativos y resoluciones de conformidad con la solicitud de la Dirección General y las Direcciones Tecnicas.")</f>
        <v>Revisión y Proyección de actos administrativos y resoluciones de conformidad con la solicitud de la Dirección General y las Direcciones Tecnicas.</v>
      </c>
      <c r="R55" s="47" t="str">
        <f>IFERROR(__xludf.DUMMYFUNCTION("""COMPUTED_VALUE"""),"Trimestral")</f>
        <v>Trimestral</v>
      </c>
      <c r="S55" s="45">
        <f>IFERROR(__xludf.DUMMYFUNCTION("""COMPUTED_VALUE"""),1.0)</f>
        <v>1</v>
      </c>
      <c r="T55" s="45">
        <f>IFERROR(__xludf.DUMMYFUNCTION("""COMPUTED_VALUE"""),1.0)</f>
        <v>1</v>
      </c>
      <c r="U55" s="45">
        <f>IFERROR(__xludf.DUMMYFUNCTION("""COMPUTED_VALUE"""),1.0)</f>
        <v>1</v>
      </c>
      <c r="V55" s="45">
        <f>IFERROR(__xludf.DUMMYFUNCTION("""COMPUTED_VALUE"""),1.0)</f>
        <v>1</v>
      </c>
      <c r="W55" s="48" t="str">
        <f>IFERROR(__xludf.DUMMYFUNCTION("""COMPUTED_VALUE"""),"Oficina Asesoria Juridica")</f>
        <v>Oficina Asesoria Juridica</v>
      </c>
      <c r="X55" s="49" t="str">
        <f>IFERROR(__xludf.DUMMYFUNCTION("""COMPUTED_VALUE"""),"Miguel Angel Ardila")</f>
        <v>Miguel Angel Ardila</v>
      </c>
      <c r="Y55" s="39" t="str">
        <f>IFERROR(__xludf.DUMMYFUNCTION("""COMPUTED_VALUE"""),"Jefe Oficina Asesora Juridica")</f>
        <v>Jefe Oficina Asesora Juridica</v>
      </c>
      <c r="Z55" s="49" t="str">
        <f>IFERROR(__xludf.DUMMYFUNCTION("""COMPUTED_VALUE"""),"miguel.ardila@aunap.gov.co")</f>
        <v>miguel.ardila@aunap.gov.co</v>
      </c>
      <c r="AA55" s="39" t="str">
        <f>IFERROR(__xludf.DUMMYFUNCTION("""COMPUTED_VALUE"""),"Humanos, Físicos, Financieros, Tecnológicos")</f>
        <v>Humanos, Físicos, Financieros, Tecnológicos</v>
      </c>
      <c r="AB55" s="39" t="str">
        <f>IFERROR(__xludf.DUMMYFUNCTION("""COMPUTED_VALUE"""),"No asociado")</f>
        <v>No asociado</v>
      </c>
      <c r="AC55" s="39" t="str">
        <f>IFERROR(__xludf.DUMMYFUNCTION("""COMPUTED_VALUE"""),"Propiciar la formalización de la pesca y la acuicultura")</f>
        <v>Propiciar la formalización de la pesca y la acuicultura</v>
      </c>
      <c r="AD55" s="39" t="str">
        <f>IFERROR(__xludf.DUMMYFUNCTION("""COMPUTED_VALUE"""),"Gestión con valores para resultados")</f>
        <v>Gestión con valores para resultados</v>
      </c>
      <c r="AE55" s="39" t="str">
        <f>IFERROR(__xludf.DUMMYFUNCTION("""COMPUTED_VALUE"""),"Defensa Jurídica")</f>
        <v>Defensa Jurídica</v>
      </c>
      <c r="AF55" s="39" t="str">
        <f>IFERROR(__xludf.DUMMYFUNCTION("""COMPUTED_VALUE"""),"16. Paz, justicia e instituciones sólidas")</f>
        <v>16. Paz, justicia e instituciones sólidas</v>
      </c>
      <c r="AG55" s="50">
        <f>IFERROR(__xludf.DUMMYFUNCTION("""COMPUTED_VALUE"""),1.0)</f>
        <v>1</v>
      </c>
      <c r="AH55" s="51" t="str">
        <f>IFERROR(__xludf.DUMMYFUNCTION("""COMPUTED_VALUE"""),"REVISIÓN, AJUSTES Y SEGUIMIENTOS A LOS ACTOS ADMINISTRATIVOS RADICADOS EN LA OAJ")</f>
        <v>REVISIÓN, AJUSTES Y SEGUIMIENTOS A LOS ACTOS ADMINISTRATIVOS RADICADOS EN LA OAJ</v>
      </c>
      <c r="AI55" s="77" t="str">
        <f>IFERROR(__xludf.DUMMYFUNCTION("""COMPUTED_VALUE"""),"https://drive.google.com/drive/folders/1FDqahgPr-iMvvO86Lo32gihinGDQyC4M")</f>
        <v>https://drive.google.com/drive/folders/1FDqahgPr-iMvvO86Lo32gihinGDQyC4M</v>
      </c>
      <c r="AJ55" s="52">
        <f>IFERROR(__xludf.DUMMYFUNCTION("""COMPUTED_VALUE"""),44298.0)</f>
        <v>44298</v>
      </c>
      <c r="AK55" s="53" t="str">
        <f>IFERROR(IF((AL55+1)&lt;2,Alertas!$B$2&amp;TEXT(AL55,"0%")&amp;Alertas!$D$2, IF((AL55+1)=2,Alertas!$B$3,IF((AL55+1)&gt;2,Alertas!$B$4&amp;TEXT(AL55,"0%")&amp;Alertas!$D$4,AL55+1))),"Sin meta para el cuarto trimestre")</f>
        <v>La ejecución de la meta registrada se encuentra acorde a la meta programada en la formulación del plan de acción para el cuarto trimestre</v>
      </c>
      <c r="AL55" s="54">
        <f t="shared" si="2"/>
        <v>1</v>
      </c>
      <c r="AM55" s="53" t="str">
        <f t="shared" si="3"/>
        <v>La ejecución de la meta registrada se encuentra acorde a la meta programada en la formulación del plan de acción para el cuarto trimestre.</v>
      </c>
      <c r="AN55" s="55"/>
      <c r="AO55" s="56"/>
      <c r="AP55" s="57"/>
      <c r="AQ55" s="57"/>
      <c r="AR55" s="58"/>
      <c r="AS55" s="59"/>
      <c r="AT55" s="60"/>
      <c r="AU55" s="55"/>
      <c r="AV55" s="56"/>
      <c r="AW55" s="61"/>
      <c r="AX55" s="57"/>
      <c r="AY55" s="62"/>
      <c r="AZ55" s="63"/>
      <c r="BA55" s="64"/>
      <c r="BB55" s="65"/>
      <c r="BC55" s="56"/>
      <c r="BD55" s="61"/>
      <c r="BE55" s="57"/>
      <c r="BF55" s="58"/>
      <c r="BG55" s="63"/>
      <c r="BH55" s="64"/>
      <c r="BI55" s="66"/>
      <c r="BK55" s="21" t="str">
        <f t="shared" si="23"/>
        <v>0</v>
      </c>
      <c r="BM55" s="21"/>
    </row>
    <row r="56" ht="33.75" customHeight="1">
      <c r="A56" s="37"/>
      <c r="B56" s="38">
        <f>IFERROR(__xludf.DUMMYFUNCTION("""COMPUTED_VALUE"""),62.0)</f>
        <v>62</v>
      </c>
      <c r="C56" s="39" t="str">
        <f>IFERROR(__xludf.DUMMYFUNCTION("""COMPUTED_VALUE"""),"Gestión jurídica")</f>
        <v>Gestión jurídica</v>
      </c>
      <c r="D56" s="40" t="str">
        <f>IFERROR(__xludf.DUMMYFUNCTION("""COMPUTED_VALUE"""),"Oficina Asesor Jurídica")</f>
        <v>Oficina Asesor Jurídica</v>
      </c>
      <c r="E56" s="40" t="str">
        <f>IFERROR(__xludf.DUMMYFUNCTION("""COMPUTED_VALUE"""),"Fortalecimiento de la capacidad de gestión de la autoridad nacional de acuicultura y pesca - aunap nacional")</f>
        <v>Fortalecimiento de la capacidad de gestión de la autoridad nacional de acuicultura y pesca - aunap nacional</v>
      </c>
      <c r="F56" s="40">
        <f>IFERROR(__xludf.DUMMYFUNCTION("""COMPUTED_VALUE"""),2.018011000241E12)</f>
        <v>2018011000241</v>
      </c>
      <c r="G56" s="41" t="str">
        <f>IFERROR(__xludf.DUMMYFUNCTION("""COMPUTED_VALUE"""),"Fortalecimiento")</f>
        <v>Fortalecimiento</v>
      </c>
      <c r="H56" s="40" t="str">
        <f>IFERROR(__xludf.DUMMYFUNCTION("""COMPUTED_VALUE"""),"Fortalecer los sistemas de gestión de la Entidad")</f>
        <v>Fortalecer los sistemas de gestión de la Entidad</v>
      </c>
      <c r="I56" s="40" t="str">
        <f>IFERROR(__xludf.DUMMYFUNCTION("""COMPUTED_VALUE"""),"Servicio de Implementación Sistemas de Gestión")</f>
        <v>Servicio de Implementación Sistemas de Gestión</v>
      </c>
      <c r="J56"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6" s="42" t="str">
        <f>IFERROR(__xludf.DUMMYFUNCTION("""COMPUTED_VALUE"""),"Gestión del área")</f>
        <v>Gestión del área</v>
      </c>
      <c r="L56" s="42" t="str">
        <f>IFERROR(__xludf.DUMMYFUNCTION("""COMPUTED_VALUE"""),"Eficacia")</f>
        <v>Eficacia</v>
      </c>
      <c r="M56" s="42" t="str">
        <f>IFERROR(__xludf.DUMMYFUNCTION("""COMPUTED_VALUE"""),"Porcentaje")</f>
        <v>Porcentaje</v>
      </c>
      <c r="N56" s="43" t="str">
        <f>IFERROR(__xludf.DUMMYFUNCTION("""COMPUTED_VALUE"""),"Número de procesos judiciales representados/Número de procesos en los que sea parte la entidad  *100")</f>
        <v>Número de procesos judiciales representados/Número de procesos en los que sea parte la entidad  *100</v>
      </c>
      <c r="O56" s="44"/>
      <c r="P56" s="45">
        <f>IFERROR(__xludf.DUMMYFUNCTION("""COMPUTED_VALUE"""),1.0)</f>
        <v>1</v>
      </c>
      <c r="Q56" s="46" t="str">
        <f>IFERROR(__xludf.DUMMYFUNCTION("""COMPUTED_VALUE"""),"Representación judicial y extrajudicial en los procesos judiciales en los que sea o llegara a ser parte la entidad")</f>
        <v>Representación judicial y extrajudicial en los procesos judiciales en los que sea o llegara a ser parte la entidad</v>
      </c>
      <c r="R56" s="47" t="str">
        <f>IFERROR(__xludf.DUMMYFUNCTION("""COMPUTED_VALUE"""),"Trimestral")</f>
        <v>Trimestral</v>
      </c>
      <c r="S56" s="45">
        <f>IFERROR(__xludf.DUMMYFUNCTION("""COMPUTED_VALUE"""),1.0)</f>
        <v>1</v>
      </c>
      <c r="T56" s="45">
        <f>IFERROR(__xludf.DUMMYFUNCTION("""COMPUTED_VALUE"""),1.0)</f>
        <v>1</v>
      </c>
      <c r="U56" s="45">
        <f>IFERROR(__xludf.DUMMYFUNCTION("""COMPUTED_VALUE"""),1.0)</f>
        <v>1</v>
      </c>
      <c r="V56" s="45">
        <f>IFERROR(__xludf.DUMMYFUNCTION("""COMPUTED_VALUE"""),1.0)</f>
        <v>1</v>
      </c>
      <c r="W56" s="48" t="str">
        <f>IFERROR(__xludf.DUMMYFUNCTION("""COMPUTED_VALUE"""),"Oficina Asesoria Juridica")</f>
        <v>Oficina Asesoria Juridica</v>
      </c>
      <c r="X56" s="49" t="str">
        <f>IFERROR(__xludf.DUMMYFUNCTION("""COMPUTED_VALUE"""),"Miguel Angel Ardila")</f>
        <v>Miguel Angel Ardila</v>
      </c>
      <c r="Y56" s="39" t="str">
        <f>IFERROR(__xludf.DUMMYFUNCTION("""COMPUTED_VALUE"""),"Jefe Oficina Asesora Juridica")</f>
        <v>Jefe Oficina Asesora Juridica</v>
      </c>
      <c r="Z56" s="49" t="str">
        <f>IFERROR(__xludf.DUMMYFUNCTION("""COMPUTED_VALUE"""),"miguel.ardila@aunap.gov.co")</f>
        <v>miguel.ardila@aunap.gov.co</v>
      </c>
      <c r="AA56" s="39" t="str">
        <f>IFERROR(__xludf.DUMMYFUNCTION("""COMPUTED_VALUE"""),"Humanos, Físicos, Financieros, Tecnológicos")</f>
        <v>Humanos, Físicos, Financieros, Tecnológicos</v>
      </c>
      <c r="AB56" s="39" t="str">
        <f>IFERROR(__xludf.DUMMYFUNCTION("""COMPUTED_VALUE"""),"No asociado")</f>
        <v>No asociado</v>
      </c>
      <c r="AC56" s="39" t="str">
        <f>IFERROR(__xludf.DUMMYFUNCTION("""COMPUTED_VALUE"""),"Propiciar la formalización de la pesca y la acuicultura")</f>
        <v>Propiciar la formalización de la pesca y la acuicultura</v>
      </c>
      <c r="AD56" s="39" t="str">
        <f>IFERROR(__xludf.DUMMYFUNCTION("""COMPUTED_VALUE"""),"Gestión con valores para resultados")</f>
        <v>Gestión con valores para resultados</v>
      </c>
      <c r="AE56" s="39" t="str">
        <f>IFERROR(__xludf.DUMMYFUNCTION("""COMPUTED_VALUE"""),"Defensa Jurídica")</f>
        <v>Defensa Jurídica</v>
      </c>
      <c r="AF56" s="39" t="str">
        <f>IFERROR(__xludf.DUMMYFUNCTION("""COMPUTED_VALUE"""),"16. Paz, justicia e instituciones sólidas")</f>
        <v>16. Paz, justicia e instituciones sólidas</v>
      </c>
      <c r="AG56" s="50">
        <f>IFERROR(__xludf.DUMMYFUNCTION("""COMPUTED_VALUE"""),1.0)</f>
        <v>1</v>
      </c>
      <c r="AH56" s="51" t="str">
        <f>IFERROR(__xludf.DUMMYFUNCTION("""COMPUTED_VALUE"""),"ASISTENCIA Y SEGUIMIENTO EN LOS PORCESOS JUDICIALES DONDE LA AUNAP HACE PARTE")</f>
        <v>ASISTENCIA Y SEGUIMIENTO EN LOS PORCESOS JUDICIALES DONDE LA AUNAP HACE PARTE</v>
      </c>
      <c r="AI56" s="72" t="str">
        <f>IFERROR(__xludf.DUMMYFUNCTION("""COMPUTED_VALUE"""),"https://ekogui.defensajuridica.gov.co/Pages/inicio.aspx")</f>
        <v>https://ekogui.defensajuridica.gov.co/Pages/inicio.aspx</v>
      </c>
      <c r="AJ56" s="52">
        <f>IFERROR(__xludf.DUMMYFUNCTION("""COMPUTED_VALUE"""),44298.0)</f>
        <v>44298</v>
      </c>
      <c r="AK56" s="53" t="str">
        <f>IFERROR(IF((AL56+1)&lt;2,Alertas!$B$2&amp;TEXT(AL56,"0%")&amp;Alertas!$D$2, IF((AL56+1)=2,Alertas!$B$3,IF((AL56+1)&gt;2,Alertas!$B$4&amp;TEXT(AL56,"0%")&amp;Alertas!$D$4,AL56+1))),"Sin meta para el cuarto trimestre")</f>
        <v>La ejecución de la meta registrada se encuentra acorde a la meta programada en la formulación del plan de acción para el cuarto trimestre</v>
      </c>
      <c r="AL56" s="54">
        <f t="shared" si="2"/>
        <v>1</v>
      </c>
      <c r="AM56" s="53" t="str">
        <f t="shared" si="3"/>
        <v>La ejecución de la meta registrada se encuentra acorde a la meta programada en la formulación del plan de acción para el cuarto trimestre.</v>
      </c>
      <c r="AN56" s="55"/>
      <c r="AO56" s="56"/>
      <c r="AP56" s="57"/>
      <c r="AQ56" s="57"/>
      <c r="AR56" s="58"/>
      <c r="AS56" s="59"/>
      <c r="AT56" s="60"/>
      <c r="AU56" s="55"/>
      <c r="AV56" s="56"/>
      <c r="AW56" s="61"/>
      <c r="AX56" s="57"/>
      <c r="AY56" s="62"/>
      <c r="AZ56" s="63"/>
      <c r="BA56" s="64"/>
      <c r="BB56" s="65"/>
      <c r="BC56" s="56"/>
      <c r="BD56" s="61"/>
      <c r="BE56" s="57"/>
      <c r="BF56" s="58"/>
      <c r="BG56" s="63"/>
      <c r="BH56" s="64"/>
      <c r="BI56" s="66"/>
      <c r="BK56" s="21" t="str">
        <f t="shared" si="23"/>
        <v>0</v>
      </c>
      <c r="BM56" s="21"/>
    </row>
    <row r="57" ht="33.75" customHeight="1">
      <c r="A57" s="37"/>
      <c r="B57" s="38">
        <f>IFERROR(__xludf.DUMMYFUNCTION("""COMPUTED_VALUE"""),63.0)</f>
        <v>63</v>
      </c>
      <c r="C57" s="39" t="str">
        <f>IFERROR(__xludf.DUMMYFUNCTION("""COMPUTED_VALUE"""),"Gestión jurídica")</f>
        <v>Gestión jurídica</v>
      </c>
      <c r="D57" s="40" t="str">
        <f>IFERROR(__xludf.DUMMYFUNCTION("""COMPUTED_VALUE"""),"Oficina Asesor Jurídica")</f>
        <v>Oficina Asesor Jurídica</v>
      </c>
      <c r="E57" s="40" t="str">
        <f>IFERROR(__xludf.DUMMYFUNCTION("""COMPUTED_VALUE"""),"Fortalecimiento de la capacidad de gestión de la autoridad nacional de acuicultura y pesca - aunap nacional")</f>
        <v>Fortalecimiento de la capacidad de gestión de la autoridad nacional de acuicultura y pesca - aunap nacional</v>
      </c>
      <c r="F57" s="40">
        <f>IFERROR(__xludf.DUMMYFUNCTION("""COMPUTED_VALUE"""),2.018011000241E12)</f>
        <v>2018011000241</v>
      </c>
      <c r="G57" s="41" t="str">
        <f>IFERROR(__xludf.DUMMYFUNCTION("""COMPUTED_VALUE"""),"Fortalecimiento")</f>
        <v>Fortalecimiento</v>
      </c>
      <c r="H57" s="40" t="str">
        <f>IFERROR(__xludf.DUMMYFUNCTION("""COMPUTED_VALUE"""),"Fortalecer los sistemas de gestión de la Entidad")</f>
        <v>Fortalecer los sistemas de gestión de la Entidad</v>
      </c>
      <c r="I57" s="40" t="str">
        <f>IFERROR(__xludf.DUMMYFUNCTION("""COMPUTED_VALUE"""),"Servicio de Implementación Sistemas de Gestión")</f>
        <v>Servicio de Implementación Sistemas de Gestión</v>
      </c>
      <c r="J57"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7" s="42" t="str">
        <f>IFERROR(__xludf.DUMMYFUNCTION("""COMPUTED_VALUE"""),"Gestión del área")</f>
        <v>Gestión del área</v>
      </c>
      <c r="L57" s="42" t="str">
        <f>IFERROR(__xludf.DUMMYFUNCTION("""COMPUTED_VALUE"""),"Eficacia")</f>
        <v>Eficacia</v>
      </c>
      <c r="M57" s="42" t="str">
        <f>IFERROR(__xludf.DUMMYFUNCTION("""COMPUTED_VALUE"""),"Porcentaje")</f>
        <v>Porcentaje</v>
      </c>
      <c r="N57" s="43" t="str">
        <f>IFERROR(__xludf.DUMMYFUNCTION("""COMPUTED_VALUE"""),"Número de seguimiento a las acciones administrativas y constitucionales realizadas/ número de acciones administrativas y constitucionales en las que la entidad se encuentra vinculada * 100")</f>
        <v>Número de seguimiento a las acciones administrativas y constitucionales realizadas/ número de acciones administrativas y constitucionales en las que la entidad se encuentra vinculada * 100</v>
      </c>
      <c r="O57" s="44"/>
      <c r="P57" s="45">
        <f>IFERROR(__xludf.DUMMYFUNCTION("""COMPUTED_VALUE"""),1.0)</f>
        <v>1</v>
      </c>
      <c r="Q57" s="46" t="str">
        <f>IFERROR(__xludf.DUMMYFUNCTION("""COMPUTED_VALUE"""),"Seguimiento a las acciones administrativas y constitucionales en las que la entidad se encuentre vinculada")</f>
        <v>Seguimiento a las acciones administrativas y constitucionales en las que la entidad se encuentre vinculada</v>
      </c>
      <c r="R57" s="47" t="str">
        <f>IFERROR(__xludf.DUMMYFUNCTION("""COMPUTED_VALUE"""),"Trimestral")</f>
        <v>Trimestral</v>
      </c>
      <c r="S57" s="45">
        <f>IFERROR(__xludf.DUMMYFUNCTION("""COMPUTED_VALUE"""),1.0)</f>
        <v>1</v>
      </c>
      <c r="T57" s="45">
        <f>IFERROR(__xludf.DUMMYFUNCTION("""COMPUTED_VALUE"""),1.0)</f>
        <v>1</v>
      </c>
      <c r="U57" s="45">
        <f>IFERROR(__xludf.DUMMYFUNCTION("""COMPUTED_VALUE"""),1.0)</f>
        <v>1</v>
      </c>
      <c r="V57" s="45">
        <f>IFERROR(__xludf.DUMMYFUNCTION("""COMPUTED_VALUE"""),1.0)</f>
        <v>1</v>
      </c>
      <c r="W57" s="48" t="str">
        <f>IFERROR(__xludf.DUMMYFUNCTION("""COMPUTED_VALUE"""),"Oficina Asesoria Juridica")</f>
        <v>Oficina Asesoria Juridica</v>
      </c>
      <c r="X57" s="49" t="str">
        <f>IFERROR(__xludf.DUMMYFUNCTION("""COMPUTED_VALUE"""),"Miguel Angel Ardila")</f>
        <v>Miguel Angel Ardila</v>
      </c>
      <c r="Y57" s="39" t="str">
        <f>IFERROR(__xludf.DUMMYFUNCTION("""COMPUTED_VALUE"""),"Jefe Oficina Asesora Juridica")</f>
        <v>Jefe Oficina Asesora Juridica</v>
      </c>
      <c r="Z57" s="49" t="str">
        <f>IFERROR(__xludf.DUMMYFUNCTION("""COMPUTED_VALUE"""),"miguel.ardila@aunap.gov.co")</f>
        <v>miguel.ardila@aunap.gov.co</v>
      </c>
      <c r="AA57" s="39" t="str">
        <f>IFERROR(__xludf.DUMMYFUNCTION("""COMPUTED_VALUE"""),"Humanos, Físicos, Financieros, Tecnológicos")</f>
        <v>Humanos, Físicos, Financieros, Tecnológicos</v>
      </c>
      <c r="AB57" s="39" t="str">
        <f>IFERROR(__xludf.DUMMYFUNCTION("""COMPUTED_VALUE"""),"No asociado")</f>
        <v>No asociado</v>
      </c>
      <c r="AC57" s="39" t="str">
        <f>IFERROR(__xludf.DUMMYFUNCTION("""COMPUTED_VALUE"""),"Propiciar la formalización de la pesca y la acuicultura")</f>
        <v>Propiciar la formalización de la pesca y la acuicultura</v>
      </c>
      <c r="AD57" s="39" t="str">
        <f>IFERROR(__xludf.DUMMYFUNCTION("""COMPUTED_VALUE"""),"Gestión con valores para resultados")</f>
        <v>Gestión con valores para resultados</v>
      </c>
      <c r="AE57" s="39" t="str">
        <f>IFERROR(__xludf.DUMMYFUNCTION("""COMPUTED_VALUE"""),"Defensa Jurídica")</f>
        <v>Defensa Jurídica</v>
      </c>
      <c r="AF57" s="39" t="str">
        <f>IFERROR(__xludf.DUMMYFUNCTION("""COMPUTED_VALUE"""),"16. Paz, justicia e instituciones sólidas")</f>
        <v>16. Paz, justicia e instituciones sólidas</v>
      </c>
      <c r="AG57" s="50">
        <f>IFERROR(__xludf.DUMMYFUNCTION("""COMPUTED_VALUE"""),1.0)</f>
        <v>1</v>
      </c>
      <c r="AH57" s="51" t="str">
        <f>IFERROR(__xludf.DUMMYFUNCTION("""COMPUTED_VALUE"""),"SEGUIMIENTO A LAS ACCIONES ADMIISTRATIVAS Y CONSTITUCIONALES")</f>
        <v>SEGUIMIENTO A LAS ACCIONES ADMIISTRATIVAS Y CONSTITUCIONALES</v>
      </c>
      <c r="AI57" s="72" t="str">
        <f>IFERROR(__xludf.DUMMYFUNCTION("""COMPUTED_VALUE"""),"https://drive.google.com/drive/folders/1FDqahgPr-iMvvO86Lo32gihinGDQyC4M")</f>
        <v>https://drive.google.com/drive/folders/1FDqahgPr-iMvvO86Lo32gihinGDQyC4M</v>
      </c>
      <c r="AJ57" s="52">
        <f>IFERROR(__xludf.DUMMYFUNCTION("""COMPUTED_VALUE"""),44298.0)</f>
        <v>44298</v>
      </c>
      <c r="AK57" s="53" t="str">
        <f>IFERROR(IF((AL57+1)&lt;2,Alertas!$B$2&amp;TEXT(AL57,"0%")&amp;Alertas!$D$2, IF((AL57+1)=2,Alertas!$B$3,IF((AL57+1)&gt;2,Alertas!$B$4&amp;TEXT(AL57,"0%")&amp;Alertas!$D$4,AL57+1))),"Sin meta para el cuarto trimestre")</f>
        <v>La ejecución de la meta registrada se encuentra acorde a la meta programada en la formulación del plan de acción para el cuarto trimestre</v>
      </c>
      <c r="AL57" s="54">
        <f t="shared" si="2"/>
        <v>1</v>
      </c>
      <c r="AM57" s="53" t="str">
        <f t="shared" si="3"/>
        <v>La ejecución de la meta registrada se encuentra acorde a la meta programada en la formulación del plan de acción para el cuarto trimestre.</v>
      </c>
      <c r="AN57" s="55"/>
      <c r="AO57" s="56"/>
      <c r="AP57" s="57"/>
      <c r="AQ57" s="57"/>
      <c r="AR57" s="58"/>
      <c r="AS57" s="59"/>
      <c r="AT57" s="60"/>
      <c r="AU57" s="55"/>
      <c r="AV57" s="56"/>
      <c r="AW57" s="61"/>
      <c r="AX57" s="57"/>
      <c r="AY57" s="62"/>
      <c r="AZ57" s="63"/>
      <c r="BA57" s="64"/>
      <c r="BB57" s="65"/>
      <c r="BC57" s="56"/>
      <c r="BD57" s="61"/>
      <c r="BE57" s="57"/>
      <c r="BF57" s="58"/>
      <c r="BG57" s="63"/>
      <c r="BH57" s="64"/>
      <c r="BI57" s="66"/>
      <c r="BK57" s="21" t="str">
        <f t="shared" si="23"/>
        <v>0</v>
      </c>
      <c r="BM57" s="21"/>
    </row>
    <row r="58" ht="33.75" customHeight="1">
      <c r="A58" s="37"/>
      <c r="B58" s="38">
        <f>IFERROR(__xludf.DUMMYFUNCTION("""COMPUTED_VALUE"""),64.0)</f>
        <v>64</v>
      </c>
      <c r="C58" s="39" t="str">
        <f>IFERROR(__xludf.DUMMYFUNCTION("""COMPUTED_VALUE"""),"Gestión jurídica")</f>
        <v>Gestión jurídica</v>
      </c>
      <c r="D58" s="40" t="str">
        <f>IFERROR(__xludf.DUMMYFUNCTION("""COMPUTED_VALUE"""),"Oficina Asesor Jurídica")</f>
        <v>Oficina Asesor Jurídica</v>
      </c>
      <c r="E58" s="40" t="str">
        <f>IFERROR(__xludf.DUMMYFUNCTION("""COMPUTED_VALUE"""),"Fortalecimiento de la capacidad de gestión de la autoridad nacional de acuicultura y pesca - aunap nacional")</f>
        <v>Fortalecimiento de la capacidad de gestión de la autoridad nacional de acuicultura y pesca - aunap nacional</v>
      </c>
      <c r="F58" s="40">
        <f>IFERROR(__xludf.DUMMYFUNCTION("""COMPUTED_VALUE"""),2.018011000241E12)</f>
        <v>2018011000241</v>
      </c>
      <c r="G58" s="41" t="str">
        <f>IFERROR(__xludf.DUMMYFUNCTION("""COMPUTED_VALUE"""),"Fortalecimiento")</f>
        <v>Fortalecimiento</v>
      </c>
      <c r="H58" s="40" t="str">
        <f>IFERROR(__xludf.DUMMYFUNCTION("""COMPUTED_VALUE"""),"Fortalecer los sistemas de gestión de la Entidad")</f>
        <v>Fortalecer los sistemas de gestión de la Entidad</v>
      </c>
      <c r="I58" s="40" t="str">
        <f>IFERROR(__xludf.DUMMYFUNCTION("""COMPUTED_VALUE"""),"Servicio de Implementación Sistemas de Gestión")</f>
        <v>Servicio de Implementación Sistemas de Gestión</v>
      </c>
      <c r="J58"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58" s="42" t="str">
        <f>IFERROR(__xludf.DUMMYFUNCTION("""COMPUTED_VALUE"""),"Gestión del área")</f>
        <v>Gestión del área</v>
      </c>
      <c r="L58" s="42" t="str">
        <f>IFERROR(__xludf.DUMMYFUNCTION("""COMPUTED_VALUE"""),"Eficacia")</f>
        <v>Eficacia</v>
      </c>
      <c r="M58" s="42" t="str">
        <f>IFERROR(__xludf.DUMMYFUNCTION("""COMPUTED_VALUE"""),"Porcentaje")</f>
        <v>Porcentaje</v>
      </c>
      <c r="N58" s="43" t="str">
        <f>IFERROR(__xludf.DUMMYFUNCTION("""COMPUTED_VALUE"""),"Número de investigaciones administrativas con acciones de sustanciación y proyección por infracción al estatuto pesquero/Número de investigaciones administrativas que avoque la Dirección General en segunda instancia, por infracción al estatuto pesquero *1"&amp;"00")</f>
        <v>Número de investigaciones administrativas con acciones de sustanciación y proyección por infracción al estatuto pesquero/Número de investigaciones administrativas que avoque la Dirección General en segunda instancia, por infracción al estatuto pesquero *100</v>
      </c>
      <c r="O58" s="44"/>
      <c r="P58" s="74">
        <f>IFERROR(__xludf.DUMMYFUNCTION("""COMPUTED_VALUE"""),1.0)</f>
        <v>1</v>
      </c>
      <c r="Q58" s="75" t="str">
        <f>IFERROR(__xludf.DUMMYFUNCTION("""COMPUTED_VALUE"""),"Sustanciación y proyección de las investigaciones administrativas que avoque la Dirección General en segunda instancia, por infracción al estatuto pesquero")</f>
        <v>Sustanciación y proyección de las investigaciones administrativas que avoque la Dirección General en segunda instancia, por infracción al estatuto pesquero</v>
      </c>
      <c r="R58" s="75" t="str">
        <f>IFERROR(__xludf.DUMMYFUNCTION("""COMPUTED_VALUE"""),"Trimestral")</f>
        <v>Trimestral</v>
      </c>
      <c r="S58" s="74">
        <f>IFERROR(__xludf.DUMMYFUNCTION("""COMPUTED_VALUE"""),1.0)</f>
        <v>1</v>
      </c>
      <c r="T58" s="74">
        <f>IFERROR(__xludf.DUMMYFUNCTION("""COMPUTED_VALUE"""),1.0)</f>
        <v>1</v>
      </c>
      <c r="U58" s="74">
        <f>IFERROR(__xludf.DUMMYFUNCTION("""COMPUTED_VALUE"""),1.0)</f>
        <v>1</v>
      </c>
      <c r="V58" s="74">
        <f>IFERROR(__xludf.DUMMYFUNCTION("""COMPUTED_VALUE"""),1.0)</f>
        <v>1</v>
      </c>
      <c r="W58" s="48" t="str">
        <f>IFERROR(__xludf.DUMMYFUNCTION("""COMPUTED_VALUE"""),"Oficina Asesoria Juridica")</f>
        <v>Oficina Asesoria Juridica</v>
      </c>
      <c r="X58" s="49" t="str">
        <f>IFERROR(__xludf.DUMMYFUNCTION("""COMPUTED_VALUE"""),"Miguel Angel Ardila")</f>
        <v>Miguel Angel Ardila</v>
      </c>
      <c r="Y58" s="39" t="str">
        <f>IFERROR(__xludf.DUMMYFUNCTION("""COMPUTED_VALUE"""),"Jefe Oficina Asesora Juridica")</f>
        <v>Jefe Oficina Asesora Juridica</v>
      </c>
      <c r="Z58" s="49" t="str">
        <f>IFERROR(__xludf.DUMMYFUNCTION("""COMPUTED_VALUE"""),"miguel.ardila@aunap.gov.co")</f>
        <v>miguel.ardila@aunap.gov.co</v>
      </c>
      <c r="AA58" s="39" t="str">
        <f>IFERROR(__xludf.DUMMYFUNCTION("""COMPUTED_VALUE"""),"Humanos, Físicos, Financieros, Tecnológicos")</f>
        <v>Humanos, Físicos, Financieros, Tecnológicos</v>
      </c>
      <c r="AB58" s="39" t="str">
        <f>IFERROR(__xludf.DUMMYFUNCTION("""COMPUTED_VALUE"""),"No asociado")</f>
        <v>No asociado</v>
      </c>
      <c r="AC58" s="39" t="str">
        <f>IFERROR(__xludf.DUMMYFUNCTION("""COMPUTED_VALUE"""),"Propiciar la formalización de la pesca y la acuicultura")</f>
        <v>Propiciar la formalización de la pesca y la acuicultura</v>
      </c>
      <c r="AD58" s="39" t="str">
        <f>IFERROR(__xludf.DUMMYFUNCTION("""COMPUTED_VALUE"""),"Gestión con valores para resultados")</f>
        <v>Gestión con valores para resultados</v>
      </c>
      <c r="AE58" s="39" t="str">
        <f>IFERROR(__xludf.DUMMYFUNCTION("""COMPUTED_VALUE"""),"Defensa Jurídica")</f>
        <v>Defensa Jurídica</v>
      </c>
      <c r="AF58" s="39" t="str">
        <f>IFERROR(__xludf.DUMMYFUNCTION("""COMPUTED_VALUE"""),"16. Paz, justicia e instituciones sólidas")</f>
        <v>16. Paz, justicia e instituciones sólidas</v>
      </c>
      <c r="AG58" s="50">
        <f>IFERROR(__xludf.DUMMYFUNCTION("""COMPUTED_VALUE"""),1.0)</f>
        <v>1</v>
      </c>
      <c r="AH58" s="51" t="str">
        <f>IFERROR(__xludf.DUMMYFUNCTION("""COMPUTED_VALUE"""),"NO SE HA PRESENTADO EN LA OAJ PROCESOS DE SEGUNDA INSTANCIA")</f>
        <v>NO SE HA PRESENTADO EN LA OAJ PROCESOS DE SEGUNDA INSTANCIA</v>
      </c>
      <c r="AI58" s="72" t="str">
        <f>IFERROR(__xludf.DUMMYFUNCTION("""COMPUTED_VALUE"""),"https://drive.google.com/drive/folders/1FDqahgPr-iMvvO86Lo32gihinGDQyC4M")</f>
        <v>https://drive.google.com/drive/folders/1FDqahgPr-iMvvO86Lo32gihinGDQyC4M</v>
      </c>
      <c r="AJ58" s="52">
        <f>IFERROR(__xludf.DUMMYFUNCTION("""COMPUTED_VALUE"""),44298.0)</f>
        <v>44298</v>
      </c>
      <c r="AK58" s="53" t="str">
        <f>IFERROR(IF((AL58+1)&lt;2,Alertas!$B$2&amp;TEXT(AL58,"0%")&amp;Alertas!$D$2, IF((AL58+1)=2,Alertas!$B$3,IF((AL58+1)&gt;2,Alertas!$B$4&amp;TEXT(AL58,"0%")&amp;Alertas!$D$4,AL58+1))),"Sin meta para el cuarto trimestre")</f>
        <v>La ejecución de la meta registrada se encuentra acorde a la meta programada en la formulación del plan de acción para el cuarto trimestre</v>
      </c>
      <c r="AL58" s="54">
        <f t="shared" si="2"/>
        <v>1</v>
      </c>
      <c r="AM58" s="53" t="str">
        <f t="shared" si="3"/>
        <v>La ejecución de la meta registrada se encuentra acorde a la meta programada en la formulación del plan de acción para el cuarto trimestre.</v>
      </c>
      <c r="AN58" s="55"/>
      <c r="AO58" s="56"/>
      <c r="AP58" s="57"/>
      <c r="AQ58" s="57"/>
      <c r="AR58" s="58"/>
      <c r="AS58" s="59"/>
      <c r="AT58" s="60"/>
      <c r="AU58" s="55"/>
      <c r="AV58" s="56"/>
      <c r="AW58" s="61"/>
      <c r="AX58" s="57"/>
      <c r="AY58" s="62"/>
      <c r="AZ58" s="63"/>
      <c r="BA58" s="64"/>
      <c r="BB58" s="65"/>
      <c r="BC58" s="56"/>
      <c r="BD58" s="61"/>
      <c r="BE58" s="57"/>
      <c r="BF58" s="58"/>
      <c r="BG58" s="63"/>
      <c r="BH58" s="64"/>
      <c r="BI58" s="66"/>
      <c r="BK58" s="21" t="str">
        <f t="shared" si="23"/>
        <v>0</v>
      </c>
      <c r="BM58" s="21"/>
    </row>
    <row r="59" ht="33.75" customHeight="1">
      <c r="A59" s="37"/>
      <c r="B59" s="38">
        <f>IFERROR(__xludf.DUMMYFUNCTION("""COMPUTED_VALUE"""),65.0)</f>
        <v>65</v>
      </c>
      <c r="C59" s="39" t="str">
        <f>IFERROR(__xludf.DUMMYFUNCTION("""COMPUTED_VALUE"""),"Gestión jurídica")</f>
        <v>Gestión jurídica</v>
      </c>
      <c r="D59" s="40" t="str">
        <f>IFERROR(__xludf.DUMMYFUNCTION("""COMPUTED_VALUE"""),"Oficina Asesor Jurídica")</f>
        <v>Oficina Asesor Jurídica</v>
      </c>
      <c r="E59" s="40" t="str">
        <f>IFERROR(__xludf.DUMMYFUNCTION("""COMPUTED_VALUE"""),"Fortalecimiento de la sostenibilidad del sector pesquero y de la acuicultura en el territorio nacional")</f>
        <v>Fortalecimiento de la sostenibilidad del sector pesquero y de la acuicultura en el territorio nacional</v>
      </c>
      <c r="F59" s="40">
        <f>IFERROR(__xludf.DUMMYFUNCTION("""COMPUTED_VALUE"""),2.01901100028E12)</f>
        <v>2019011000280</v>
      </c>
      <c r="G59" s="41" t="str">
        <f>IFERROR(__xludf.DUMMYFUNCTION("""COMPUTED_VALUE"""),"Sostenibilidad")</f>
        <v>Sostenibilidad</v>
      </c>
      <c r="H59" s="40" t="str">
        <f>IFERROR(__xludf.DUMMYFUNCTION("""COMPUTED_VALUE"""),"Mejorar las prácticas de pesca y de acuicultura.")</f>
        <v>Mejorar las prácticas de pesca y de acuicultura.</v>
      </c>
      <c r="I59" s="40" t="str">
        <f>IFERROR(__xludf.DUMMYFUNCTION("""COMPUTED_VALUE"""),"Servicios de apoyo al fomento de la pesca y la acuicultura")</f>
        <v>Servicios de apoyo al fomento de la pesca y la acuicultura</v>
      </c>
      <c r="J59" s="40" t="str">
        <f>IFERROR(__xludf.DUMMYFUNCTION("""COMPUTED_VALUE"""),"Generar acciones de fomento para la pesca, la acuicultura y sus actividades conexas.")</f>
        <v>Generar acciones de fomento para la pesca, la acuicultura y sus actividades conexas.</v>
      </c>
      <c r="K59" s="42" t="str">
        <f>IFERROR(__xludf.DUMMYFUNCTION("""COMPUTED_VALUE"""),"Gestión del área")</f>
        <v>Gestión del área</v>
      </c>
      <c r="L59" s="42" t="str">
        <f>IFERROR(__xludf.DUMMYFUNCTION("""COMPUTED_VALUE"""),"Eficacia")</f>
        <v>Eficacia</v>
      </c>
      <c r="M59" s="42" t="str">
        <f>IFERROR(__xludf.DUMMYFUNCTION("""COMPUTED_VALUE"""),"Porcentaje")</f>
        <v>Porcentaje</v>
      </c>
      <c r="N59" s="43" t="str">
        <f>IFERROR(__xludf.DUMMYFUNCTION("""COMPUTED_VALUE"""),"Número de proyectos de ley, reglamentos, estatutos y manuales elaborados/Número de proyectos de ley, reglamentos, estatutos y manuales requeridos desde la Direcciones Tecnicas * 100")</f>
        <v>Número de proyectos de ley, reglamentos, estatutos y manuales elaborados/Número de proyectos de ley, reglamentos, estatutos y manuales requeridos desde la Direcciones Tecnicas * 100</v>
      </c>
      <c r="O59" s="44"/>
      <c r="P59" s="74">
        <f>IFERROR(__xludf.DUMMYFUNCTION("""COMPUTED_VALUE"""),1.0)</f>
        <v>1</v>
      </c>
      <c r="Q59" s="75" t="str">
        <f>IFERROR(__xludf.DUMMYFUNCTION("""COMPUTED_VALUE"""),"Elaboración de proyectos de ley, reglamentos, estatutos y manuales, que se requeiran desde la Direcciones Tecnicas")</f>
        <v>Elaboración de proyectos de ley, reglamentos, estatutos y manuales, que se requeiran desde la Direcciones Tecnicas</v>
      </c>
      <c r="R59" s="75" t="str">
        <f>IFERROR(__xludf.DUMMYFUNCTION("""COMPUTED_VALUE"""),"Trimestral")</f>
        <v>Trimestral</v>
      </c>
      <c r="S59" s="74">
        <f>IFERROR(__xludf.DUMMYFUNCTION("""COMPUTED_VALUE"""),1.0)</f>
        <v>1</v>
      </c>
      <c r="T59" s="74">
        <f>IFERROR(__xludf.DUMMYFUNCTION("""COMPUTED_VALUE"""),1.0)</f>
        <v>1</v>
      </c>
      <c r="U59" s="74">
        <f>IFERROR(__xludf.DUMMYFUNCTION("""COMPUTED_VALUE"""),1.0)</f>
        <v>1</v>
      </c>
      <c r="V59" s="74">
        <f>IFERROR(__xludf.DUMMYFUNCTION("""COMPUTED_VALUE"""),1.0)</f>
        <v>1</v>
      </c>
      <c r="W59" s="48" t="str">
        <f>IFERROR(__xludf.DUMMYFUNCTION("""COMPUTED_VALUE"""),"Oficina Asesoria Juridica")</f>
        <v>Oficina Asesoria Juridica</v>
      </c>
      <c r="X59" s="49" t="str">
        <f>IFERROR(__xludf.DUMMYFUNCTION("""COMPUTED_VALUE"""),"Miguel Angel Ardila")</f>
        <v>Miguel Angel Ardila</v>
      </c>
      <c r="Y59" s="39" t="str">
        <f>IFERROR(__xludf.DUMMYFUNCTION("""COMPUTED_VALUE"""),"Jefe Oficina Asesora Juridica")</f>
        <v>Jefe Oficina Asesora Juridica</v>
      </c>
      <c r="Z59" s="49" t="str">
        <f>IFERROR(__xludf.DUMMYFUNCTION("""COMPUTED_VALUE"""),"miguel.ardila@aunap.gov.co")</f>
        <v>miguel.ardila@aunap.gov.co</v>
      </c>
      <c r="AA59" s="39" t="str">
        <f>IFERROR(__xludf.DUMMYFUNCTION("""COMPUTED_VALUE"""),"Humanos, Físicos, Financieros, Tecnológicos")</f>
        <v>Humanos, Físicos, Financieros, Tecnológicos</v>
      </c>
      <c r="AB59" s="39" t="str">
        <f>IFERROR(__xludf.DUMMYFUNCTION("""COMPUTED_VALUE"""),"No asociado")</f>
        <v>No asociado</v>
      </c>
      <c r="AC59" s="39" t="str">
        <f>IFERROR(__xludf.DUMMYFUNCTION("""COMPUTED_VALUE"""),"Propiciar la formalización de la pesca y la acuicultura")</f>
        <v>Propiciar la formalización de la pesca y la acuicultura</v>
      </c>
      <c r="AD59" s="39" t="str">
        <f>IFERROR(__xludf.DUMMYFUNCTION("""COMPUTED_VALUE"""),"Gestión con valores para resultados")</f>
        <v>Gestión con valores para resultados</v>
      </c>
      <c r="AE59" s="39" t="str">
        <f>IFERROR(__xludf.DUMMYFUNCTION("""COMPUTED_VALUE"""),"Defensa Jurídica")</f>
        <v>Defensa Jurídica</v>
      </c>
      <c r="AF59" s="39" t="str">
        <f>IFERROR(__xludf.DUMMYFUNCTION("""COMPUTED_VALUE"""),"16. Paz, justicia e instituciones sólidas")</f>
        <v>16. Paz, justicia e instituciones sólidas</v>
      </c>
      <c r="AG59" s="50">
        <f>IFERROR(__xludf.DUMMYFUNCTION("""COMPUTED_VALUE"""),1.0)</f>
        <v>1</v>
      </c>
      <c r="AH59" s="51" t="str">
        <f>IFERROR(__xludf.DUMMYFUNCTION("""COMPUTED_VALUE"""),"PARTICIPACION EN ESTUDIO DE PROYECCION DE LEYES CUANDO LAS DIRECCIONES TECNICAS LO REQUIERAN")</f>
        <v>PARTICIPACION EN ESTUDIO DE PROYECCION DE LEYES CUANDO LAS DIRECCIONES TECNICAS LO REQUIERAN</v>
      </c>
      <c r="AI59" s="72" t="str">
        <f>IFERROR(__xludf.DUMMYFUNCTION("""COMPUTED_VALUE"""),"https://drive.google.com/drive/folders/1FDqahgPr-iMvvO86Lo32gihinGDQyC4M")</f>
        <v>https://drive.google.com/drive/folders/1FDqahgPr-iMvvO86Lo32gihinGDQyC4M</v>
      </c>
      <c r="AJ59" s="52">
        <f>IFERROR(__xludf.DUMMYFUNCTION("""COMPUTED_VALUE"""),44298.0)</f>
        <v>44298</v>
      </c>
      <c r="AK59" s="53" t="str">
        <f>IFERROR(IF((AL59+1)&lt;2,Alertas!$B$2&amp;TEXT(AL59,"0%")&amp;Alertas!$D$2, IF((AL59+1)=2,Alertas!$B$3,IF((AL59+1)&gt;2,Alertas!$B$4&amp;TEXT(AL59,"0%")&amp;Alertas!$D$4,AL59+1))),"Sin meta para el cuarto trimestre")</f>
        <v>La ejecución de la meta registrada se encuentra acorde a la meta programada en la formulación del plan de acción para el cuarto trimestre</v>
      </c>
      <c r="AL59" s="54">
        <f t="shared" si="2"/>
        <v>1</v>
      </c>
      <c r="AM59" s="53" t="str">
        <f t="shared" si="3"/>
        <v>La ejecución de la meta registrada se encuentra acorde a la meta programada en la formulación del plan de acción para el cuarto trimestre.</v>
      </c>
      <c r="AN59" s="55"/>
      <c r="AO59" s="56"/>
      <c r="AP59" s="57"/>
      <c r="AQ59" s="57"/>
      <c r="AR59" s="58"/>
      <c r="AS59" s="59"/>
      <c r="AT59" s="60"/>
      <c r="AU59" s="55"/>
      <c r="AV59" s="56"/>
      <c r="AW59" s="61"/>
      <c r="AX59" s="57"/>
      <c r="AY59" s="62"/>
      <c r="AZ59" s="63"/>
      <c r="BA59" s="64"/>
      <c r="BB59" s="65"/>
      <c r="BC59" s="56"/>
      <c r="BD59" s="61"/>
      <c r="BE59" s="57"/>
      <c r="BF59" s="58"/>
      <c r="BG59" s="63"/>
      <c r="BH59" s="64"/>
      <c r="BI59" s="66"/>
      <c r="BK59" s="21" t="str">
        <f t="shared" si="23"/>
        <v>0</v>
      </c>
      <c r="BM59" s="21"/>
    </row>
    <row r="60" ht="33.75" customHeight="1">
      <c r="A60" s="37"/>
      <c r="B60" s="38">
        <f>IFERROR(__xludf.DUMMYFUNCTION("""COMPUTED_VALUE"""),66.0)</f>
        <v>66</v>
      </c>
      <c r="C60" s="39" t="str">
        <f>IFERROR(__xludf.DUMMYFUNCTION("""COMPUTED_VALUE"""),"Gestión jurídica")</f>
        <v>Gestión jurídica</v>
      </c>
      <c r="D60" s="40" t="str">
        <f>IFERROR(__xludf.DUMMYFUNCTION("""COMPUTED_VALUE"""),"Oficina Asesor Jurídica")</f>
        <v>Oficina Asesor Jurídica</v>
      </c>
      <c r="E60" s="40" t="str">
        <f>IFERROR(__xludf.DUMMYFUNCTION("""COMPUTED_VALUE"""),"Fortalecimiento de la capacidad de gestión de la autoridad nacional de acuicultura y pesca - aunap nacional")</f>
        <v>Fortalecimiento de la capacidad de gestión de la autoridad nacional de acuicultura y pesca - aunap nacional</v>
      </c>
      <c r="F60" s="40">
        <f>IFERROR(__xludf.DUMMYFUNCTION("""COMPUTED_VALUE"""),2.018011000241E12)</f>
        <v>2018011000241</v>
      </c>
      <c r="G60" s="41" t="str">
        <f>IFERROR(__xludf.DUMMYFUNCTION("""COMPUTED_VALUE"""),"Fortalecimiento")</f>
        <v>Fortalecimiento</v>
      </c>
      <c r="H60" s="40" t="str">
        <f>IFERROR(__xludf.DUMMYFUNCTION("""COMPUTED_VALUE"""),"Fortalecer los sistemas de gestión de la Entidad")</f>
        <v>Fortalecer los sistemas de gestión de la Entidad</v>
      </c>
      <c r="I60" s="40" t="str">
        <f>IFERROR(__xludf.DUMMYFUNCTION("""COMPUTED_VALUE"""),"Servicio de Implementación Sistemas de Gestión")</f>
        <v>Servicio de Implementación Sistemas de Gestión</v>
      </c>
      <c r="J60"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60" s="42" t="str">
        <f>IFERROR(__xludf.DUMMYFUNCTION("""COMPUTED_VALUE"""),"Gestión del área")</f>
        <v>Gestión del área</v>
      </c>
      <c r="L60" s="42" t="str">
        <f>IFERROR(__xludf.DUMMYFUNCTION("""COMPUTED_VALUE"""),"Eficacia")</f>
        <v>Eficacia</v>
      </c>
      <c r="M60" s="42" t="str">
        <f>IFERROR(__xludf.DUMMYFUNCTION("""COMPUTED_VALUE"""),"Porcentaje")</f>
        <v>Porcentaje</v>
      </c>
      <c r="N60" s="43" t="str">
        <f>IFERROR(__xludf.DUMMYFUNCTION("""COMPUTED_VALUE"""),"Número de procedimientos para la realización de audiencias, para imposición de multas, sanciones y declaratorias de incumplmiento apoyadas/Número de procedimientos para la realización de audiencias, para imposición de multas, sanciones y declaratorias de "&amp;"incumplmiento apoyadas requetidos.*100")</f>
        <v>Número de procedimientos para la realización de audiencias, para imposición de multas, sanciones y declaratorias de incumplmiento apoyadas/Número de procedimientos para la realización de audiencias, para imposición de multas, sanciones y declaratorias de incumplmiento apoyadas requetidos.*100</v>
      </c>
      <c r="O60" s="44"/>
      <c r="P60" s="74">
        <f>IFERROR(__xludf.DUMMYFUNCTION("""COMPUTED_VALUE"""),1.0)</f>
        <v>1</v>
      </c>
      <c r="Q60" s="75" t="str">
        <f>IFERROR(__xludf.DUMMYFUNCTION("""COMPUTED_VALUE"""),"Apoyo a las Direcciones Tecnicas, en el procedimiento para la realización de audiencias, para imposición de multas, sanciones y declaratorias de incumplmiento")</f>
        <v>Apoyo a las Direcciones Tecnicas, en el procedimiento para la realización de audiencias, para imposición de multas, sanciones y declaratorias de incumplmiento</v>
      </c>
      <c r="R60" s="75" t="str">
        <f>IFERROR(__xludf.DUMMYFUNCTION("""COMPUTED_VALUE"""),"Trimestral")</f>
        <v>Trimestral</v>
      </c>
      <c r="S60" s="74">
        <f>IFERROR(__xludf.DUMMYFUNCTION("""COMPUTED_VALUE"""),1.0)</f>
        <v>1</v>
      </c>
      <c r="T60" s="74">
        <f>IFERROR(__xludf.DUMMYFUNCTION("""COMPUTED_VALUE"""),1.0)</f>
        <v>1</v>
      </c>
      <c r="U60" s="74">
        <f>IFERROR(__xludf.DUMMYFUNCTION("""COMPUTED_VALUE"""),1.0)</f>
        <v>1</v>
      </c>
      <c r="V60" s="74">
        <f>IFERROR(__xludf.DUMMYFUNCTION("""COMPUTED_VALUE"""),1.0)</f>
        <v>1</v>
      </c>
      <c r="W60" s="48" t="str">
        <f>IFERROR(__xludf.DUMMYFUNCTION("""COMPUTED_VALUE"""),"Oficina Asesoria Juridica")</f>
        <v>Oficina Asesoria Juridica</v>
      </c>
      <c r="X60" s="49" t="str">
        <f>IFERROR(__xludf.DUMMYFUNCTION("""COMPUTED_VALUE"""),"Miguel Angel Ardila")</f>
        <v>Miguel Angel Ardila</v>
      </c>
      <c r="Y60" s="39" t="str">
        <f>IFERROR(__xludf.DUMMYFUNCTION("""COMPUTED_VALUE"""),"Jefe Oficina Asesora Juridica")</f>
        <v>Jefe Oficina Asesora Juridica</v>
      </c>
      <c r="Z60" s="49" t="str">
        <f>IFERROR(__xludf.DUMMYFUNCTION("""COMPUTED_VALUE"""),"miguel.ardila@aunap.gov.co")</f>
        <v>miguel.ardila@aunap.gov.co</v>
      </c>
      <c r="AA60" s="39" t="str">
        <f>IFERROR(__xludf.DUMMYFUNCTION("""COMPUTED_VALUE"""),"Humanos, Físicos, Financieros, Tecnológicos")</f>
        <v>Humanos, Físicos, Financieros, Tecnológicos</v>
      </c>
      <c r="AB60" s="39" t="str">
        <f>IFERROR(__xludf.DUMMYFUNCTION("""COMPUTED_VALUE"""),"No asociado")</f>
        <v>No asociado</v>
      </c>
      <c r="AC60" s="39" t="str">
        <f>IFERROR(__xludf.DUMMYFUNCTION("""COMPUTED_VALUE"""),"Propiciar la formalización de la pesca y la acuicultura")</f>
        <v>Propiciar la formalización de la pesca y la acuicultura</v>
      </c>
      <c r="AD60" s="39" t="str">
        <f>IFERROR(__xludf.DUMMYFUNCTION("""COMPUTED_VALUE"""),"Gestión con valores para resultados")</f>
        <v>Gestión con valores para resultados</v>
      </c>
      <c r="AE60" s="39" t="str">
        <f>IFERROR(__xludf.DUMMYFUNCTION("""COMPUTED_VALUE"""),"Defensa Jurídica")</f>
        <v>Defensa Jurídica</v>
      </c>
      <c r="AF60" s="39" t="str">
        <f>IFERROR(__xludf.DUMMYFUNCTION("""COMPUTED_VALUE"""),"16. Paz, justicia e instituciones sólidas")</f>
        <v>16. Paz, justicia e instituciones sólidas</v>
      </c>
      <c r="AG60" s="50">
        <f>IFERROR(__xludf.DUMMYFUNCTION("""COMPUTED_VALUE"""),1.0)</f>
        <v>1</v>
      </c>
      <c r="AH60" s="51" t="str">
        <f>IFERROR(__xludf.DUMMYFUNCTION("""COMPUTED_VALUE"""),"NO HAY SOLICITUDES DE PRESENCIA DE ACOMPAÑAMIENTO A AUDIENCIAS SOLICITADAS POR LAS AREAS DE LA ENTIDAD")</f>
        <v>NO HAY SOLICITUDES DE PRESENCIA DE ACOMPAÑAMIENTO A AUDIENCIAS SOLICITADAS POR LAS AREAS DE LA ENTIDAD</v>
      </c>
      <c r="AI60" s="72" t="str">
        <f>IFERROR(__xludf.DUMMYFUNCTION("""COMPUTED_VALUE"""),"https://drive.google.com/drive/folders/1FDqahgPr-iMvvO86Lo32gihinGDQyC4M")</f>
        <v>https://drive.google.com/drive/folders/1FDqahgPr-iMvvO86Lo32gihinGDQyC4M</v>
      </c>
      <c r="AJ60" s="52">
        <f>IFERROR(__xludf.DUMMYFUNCTION("""COMPUTED_VALUE"""),44298.0)</f>
        <v>44298</v>
      </c>
      <c r="AK60" s="53" t="str">
        <f>IFERROR(IF((AL60+1)&lt;2,Alertas!$B$2&amp;TEXT(AL60,"0%")&amp;Alertas!$D$2, IF((AL60+1)=2,Alertas!$B$3,IF((AL60+1)&gt;2,Alertas!$B$4&amp;TEXT(AL60,"0%")&amp;Alertas!$D$4,AL60+1))),"Sin meta para el cuarto trimestre")</f>
        <v>La ejecución de la meta registrada se encuentra acorde a la meta programada en la formulación del plan de acción para el cuarto trimestre</v>
      </c>
      <c r="AL60" s="54">
        <f t="shared" si="2"/>
        <v>1</v>
      </c>
      <c r="AM60" s="53" t="str">
        <f t="shared" si="3"/>
        <v>La ejecución de la meta registrada se encuentra acorde a la meta programada en la formulación del plan de acción para el cuarto trimestre.</v>
      </c>
      <c r="AN60" s="55"/>
      <c r="AO60" s="56"/>
      <c r="AP60" s="57"/>
      <c r="AQ60" s="57"/>
      <c r="AR60" s="58"/>
      <c r="AS60" s="59"/>
      <c r="AT60" s="60"/>
      <c r="AU60" s="55"/>
      <c r="AV60" s="56"/>
      <c r="AW60" s="61"/>
      <c r="AX60" s="57"/>
      <c r="AY60" s="62"/>
      <c r="AZ60" s="63"/>
      <c r="BA60" s="64"/>
      <c r="BB60" s="65"/>
      <c r="BC60" s="56"/>
      <c r="BD60" s="61"/>
      <c r="BE60" s="57"/>
      <c r="BF60" s="58"/>
      <c r="BG60" s="63"/>
      <c r="BH60" s="64"/>
      <c r="BI60" s="66"/>
      <c r="BK60" s="21" t="str">
        <f t="shared" si="23"/>
        <v>0</v>
      </c>
      <c r="BM60" s="21"/>
    </row>
    <row r="61" ht="33.75" customHeight="1">
      <c r="A61" s="37"/>
      <c r="B61" s="38">
        <f>IFERROR(__xludf.DUMMYFUNCTION("""COMPUTED_VALUE"""),67.0)</f>
        <v>67</v>
      </c>
      <c r="C61" s="39" t="str">
        <f>IFERROR(__xludf.DUMMYFUNCTION("""COMPUTED_VALUE"""),"Gestión jurídica")</f>
        <v>Gestión jurídica</v>
      </c>
      <c r="D61" s="40" t="str">
        <f>IFERROR(__xludf.DUMMYFUNCTION("""COMPUTED_VALUE"""),"Oficina Asesor Jurídica")</f>
        <v>Oficina Asesor Jurídica</v>
      </c>
      <c r="E61" s="40" t="str">
        <f>IFERROR(__xludf.DUMMYFUNCTION("""COMPUTED_VALUE"""),"Fortalecimiento de la capacidad de gestión de la autoridad nacional de acuicultura y pesca - aunap nacional")</f>
        <v>Fortalecimiento de la capacidad de gestión de la autoridad nacional de acuicultura y pesca - aunap nacional</v>
      </c>
      <c r="F61" s="40">
        <f>IFERROR(__xludf.DUMMYFUNCTION("""COMPUTED_VALUE"""),2.018011000241E12)</f>
        <v>2018011000241</v>
      </c>
      <c r="G61" s="41" t="str">
        <f>IFERROR(__xludf.DUMMYFUNCTION("""COMPUTED_VALUE"""),"Fortalecimiento")</f>
        <v>Fortalecimiento</v>
      </c>
      <c r="H61" s="40" t="str">
        <f>IFERROR(__xludf.DUMMYFUNCTION("""COMPUTED_VALUE"""),"Fortalecer los sistemas de gestión de la Entidad")</f>
        <v>Fortalecer los sistemas de gestión de la Entidad</v>
      </c>
      <c r="I61" s="40" t="str">
        <f>IFERROR(__xludf.DUMMYFUNCTION("""COMPUTED_VALUE"""),"Servicio de Implementación Sistemas de Gestión")</f>
        <v>Servicio de Implementación Sistemas de Gestión</v>
      </c>
      <c r="J61"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61" s="42" t="str">
        <f>IFERROR(__xludf.DUMMYFUNCTION("""COMPUTED_VALUE"""),"Gestión del área")</f>
        <v>Gestión del área</v>
      </c>
      <c r="L61" s="42" t="str">
        <f>IFERROR(__xludf.DUMMYFUNCTION("""COMPUTED_VALUE"""),"Eficacia")</f>
        <v>Eficacia</v>
      </c>
      <c r="M61" s="42" t="str">
        <f>IFERROR(__xludf.DUMMYFUNCTION("""COMPUTED_VALUE"""),"Porcentaje")</f>
        <v>Porcentaje</v>
      </c>
      <c r="N61" s="43" t="str">
        <f>IFERROR(__xludf.DUMMYFUNCTION("""COMPUTED_VALUE"""),"Número de conceptos y sustanciaciones emitidos / Número de procesos solicitados por las Direcciones Tecnicas")</f>
        <v>Número de conceptos y sustanciaciones emitidos / Número de procesos solicitados por las Direcciones Tecnicas</v>
      </c>
      <c r="O61" s="44"/>
      <c r="P61" s="74">
        <f>IFERROR(__xludf.DUMMYFUNCTION("""COMPUTED_VALUE"""),1.0)</f>
        <v>1</v>
      </c>
      <c r="Q61" s="75" t="str">
        <f>IFERROR(__xludf.DUMMYFUNCTION("""COMPUTED_VALUE"""),"Conceptualización y sustanciación en los procesos que se adelantan en la Direcciones Tecnicas")</f>
        <v>Conceptualización y sustanciación en los procesos que se adelantan en la Direcciones Tecnicas</v>
      </c>
      <c r="R61" s="75" t="str">
        <f>IFERROR(__xludf.DUMMYFUNCTION("""COMPUTED_VALUE"""),"Trimestral")</f>
        <v>Trimestral</v>
      </c>
      <c r="S61" s="74">
        <f>IFERROR(__xludf.DUMMYFUNCTION("""COMPUTED_VALUE"""),1.0)</f>
        <v>1</v>
      </c>
      <c r="T61" s="74">
        <f>IFERROR(__xludf.DUMMYFUNCTION("""COMPUTED_VALUE"""),1.0)</f>
        <v>1</v>
      </c>
      <c r="U61" s="74">
        <f>IFERROR(__xludf.DUMMYFUNCTION("""COMPUTED_VALUE"""),1.0)</f>
        <v>1</v>
      </c>
      <c r="V61" s="74">
        <f>IFERROR(__xludf.DUMMYFUNCTION("""COMPUTED_VALUE"""),1.0)</f>
        <v>1</v>
      </c>
      <c r="W61" s="48" t="str">
        <f>IFERROR(__xludf.DUMMYFUNCTION("""COMPUTED_VALUE"""),"Oficina Asesoria Juridica")</f>
        <v>Oficina Asesoria Juridica</v>
      </c>
      <c r="X61" s="49" t="str">
        <f>IFERROR(__xludf.DUMMYFUNCTION("""COMPUTED_VALUE"""),"Miguel Angel Ardila")</f>
        <v>Miguel Angel Ardila</v>
      </c>
      <c r="Y61" s="39" t="str">
        <f>IFERROR(__xludf.DUMMYFUNCTION("""COMPUTED_VALUE"""),"Jefe Oficina Asesora Juridica")</f>
        <v>Jefe Oficina Asesora Juridica</v>
      </c>
      <c r="Z61" s="49" t="str">
        <f>IFERROR(__xludf.DUMMYFUNCTION("""COMPUTED_VALUE"""),"miguel.ardila@aunap.gov.co")</f>
        <v>miguel.ardila@aunap.gov.co</v>
      </c>
      <c r="AA61" s="39" t="str">
        <f>IFERROR(__xludf.DUMMYFUNCTION("""COMPUTED_VALUE"""),"Humanos, Físicos, Financieros, Tecnológicos")</f>
        <v>Humanos, Físicos, Financieros, Tecnológicos</v>
      </c>
      <c r="AB61" s="39" t="str">
        <f>IFERROR(__xludf.DUMMYFUNCTION("""COMPUTED_VALUE"""),"No asociado")</f>
        <v>No asociado</v>
      </c>
      <c r="AC61" s="39" t="str">
        <f>IFERROR(__xludf.DUMMYFUNCTION("""COMPUTED_VALUE"""),"Propiciar la formalización de la pesca y la acuicultura")</f>
        <v>Propiciar la formalización de la pesca y la acuicultura</v>
      </c>
      <c r="AD61" s="39" t="str">
        <f>IFERROR(__xludf.DUMMYFUNCTION("""COMPUTED_VALUE"""),"Gestión con valores para resultados")</f>
        <v>Gestión con valores para resultados</v>
      </c>
      <c r="AE61" s="39" t="str">
        <f>IFERROR(__xludf.DUMMYFUNCTION("""COMPUTED_VALUE"""),"Defensa Jurídica")</f>
        <v>Defensa Jurídica</v>
      </c>
      <c r="AF61" s="39" t="str">
        <f>IFERROR(__xludf.DUMMYFUNCTION("""COMPUTED_VALUE"""),"16. Paz, justicia e instituciones sólidas")</f>
        <v>16. Paz, justicia e instituciones sólidas</v>
      </c>
      <c r="AG61" s="50">
        <f>IFERROR(__xludf.DUMMYFUNCTION("""COMPUTED_VALUE"""),1.0)</f>
        <v>1</v>
      </c>
      <c r="AH61" s="51" t="str">
        <f>IFERROR(__xludf.DUMMYFUNCTION("""COMPUTED_VALUE"""),"ELABORACION DE CONCEPTOS INTERNOS Y EXTERNOS, CON EL ACOMPAÑAMIENTO DE LAS DIRECCIONES TECNICAS")</f>
        <v>ELABORACION DE CONCEPTOS INTERNOS Y EXTERNOS, CON EL ACOMPAÑAMIENTO DE LAS DIRECCIONES TECNICAS</v>
      </c>
      <c r="AI61" s="77" t="str">
        <f>IFERROR(__xludf.DUMMYFUNCTION("""COMPUTED_VALUE"""),"https://drive.google.com/drive/folders/1FDqahgPr-iMvvO86Lo32gihinGDQyC4M")</f>
        <v>https://drive.google.com/drive/folders/1FDqahgPr-iMvvO86Lo32gihinGDQyC4M</v>
      </c>
      <c r="AJ61" s="52">
        <f>IFERROR(__xludf.DUMMYFUNCTION("""COMPUTED_VALUE"""),44298.0)</f>
        <v>44298</v>
      </c>
      <c r="AK61" s="53" t="str">
        <f>IFERROR(IF((AL61+1)&lt;2,Alertas!$B$2&amp;TEXT(AL61,"0%")&amp;Alertas!$D$2, IF((AL61+1)=2,Alertas!$B$3,IF((AL61+1)&gt;2,Alertas!$B$4&amp;TEXT(AL61,"0%")&amp;Alertas!$D$4,AL61+1))),"Sin meta para el cuarto trimestre")</f>
        <v>La ejecución de la meta registrada se encuentra acorde a la meta programada en la formulación del plan de acción para el cuarto trimestre</v>
      </c>
      <c r="AL61" s="54">
        <f t="shared" si="2"/>
        <v>1</v>
      </c>
      <c r="AM61" s="53" t="str">
        <f t="shared" si="3"/>
        <v>La ejecución de la meta registrada se encuentra acorde a la meta programada en la formulación del plan de acción para el cuarto trimestre.</v>
      </c>
      <c r="AN61" s="55"/>
      <c r="AO61" s="56"/>
      <c r="AP61" s="57"/>
      <c r="AQ61" s="57"/>
      <c r="AR61" s="58"/>
      <c r="AS61" s="59"/>
      <c r="AT61" s="60"/>
      <c r="AU61" s="55"/>
      <c r="AV61" s="56"/>
      <c r="AW61" s="61"/>
      <c r="AX61" s="57"/>
      <c r="AY61" s="62"/>
      <c r="AZ61" s="63"/>
      <c r="BA61" s="64"/>
      <c r="BB61" s="65"/>
      <c r="BC61" s="56"/>
      <c r="BD61" s="61"/>
      <c r="BE61" s="57"/>
      <c r="BF61" s="58"/>
      <c r="BG61" s="63"/>
      <c r="BH61" s="64"/>
      <c r="BI61" s="66"/>
      <c r="BK61" s="21" t="str">
        <f t="shared" si="23"/>
        <v>0</v>
      </c>
      <c r="BM61" s="21"/>
    </row>
    <row r="62" ht="33.75" customHeight="1">
      <c r="A62" s="37"/>
      <c r="B62" s="38">
        <f>IFERROR(__xludf.DUMMYFUNCTION("""COMPUTED_VALUE"""),68.0)</f>
        <v>68</v>
      </c>
      <c r="C62" s="39" t="str">
        <f>IFERROR(__xludf.DUMMYFUNCTION("""COMPUTED_VALUE"""),"Gestión jurídica")</f>
        <v>Gestión jurídica</v>
      </c>
      <c r="D62" s="40" t="str">
        <f>IFERROR(__xludf.DUMMYFUNCTION("""COMPUTED_VALUE"""),"Oficina Asesor Jurídica")</f>
        <v>Oficina Asesor Jurídica</v>
      </c>
      <c r="E62" s="40" t="str">
        <f>IFERROR(__xludf.DUMMYFUNCTION("""COMPUTED_VALUE"""),"Fortalecimiento de la capacidad de gestión de la autoridad nacional de acuicultura y pesca - aunap nacional")</f>
        <v>Fortalecimiento de la capacidad de gestión de la autoridad nacional de acuicultura y pesca - aunap nacional</v>
      </c>
      <c r="F62" s="40">
        <f>IFERROR(__xludf.DUMMYFUNCTION("""COMPUTED_VALUE"""),2.018011000241E12)</f>
        <v>2018011000241</v>
      </c>
      <c r="G62" s="41" t="str">
        <f>IFERROR(__xludf.DUMMYFUNCTION("""COMPUTED_VALUE"""),"Fortalecimiento")</f>
        <v>Fortalecimiento</v>
      </c>
      <c r="H62" s="40" t="str">
        <f>IFERROR(__xludf.DUMMYFUNCTION("""COMPUTED_VALUE"""),"Fortalecer los sistemas de gestión de la Entidad")</f>
        <v>Fortalecer los sistemas de gestión de la Entidad</v>
      </c>
      <c r="I62" s="40" t="str">
        <f>IFERROR(__xludf.DUMMYFUNCTION("""COMPUTED_VALUE"""),"Servicio de Implementación Sistemas de Gestión")</f>
        <v>Servicio de Implementación Sistemas de Gestión</v>
      </c>
      <c r="J62" s="40" t="str">
        <f>IFERROR(__xludf.DUMMYFUNCTION("""COMPUTED_VALUE"""),"Optimizar la gestión administrativa, operativa, de planeación, seguimiento y control de la Entidad, para mejorar el desempeño institucional y la prestación del servicio a nivel nacional")</f>
        <v>Optimizar la gestión administrativa, operativa, de planeación, seguimiento y control de la Entidad, para mejorar el desempeño institucional y la prestación del servicio a nivel nacional</v>
      </c>
      <c r="K62" s="42" t="str">
        <f>IFERROR(__xludf.DUMMYFUNCTION("""COMPUTED_VALUE"""),"Gestión del área")</f>
        <v>Gestión del área</v>
      </c>
      <c r="L62" s="42" t="str">
        <f>IFERROR(__xludf.DUMMYFUNCTION("""COMPUTED_VALUE"""),"Eficacia")</f>
        <v>Eficacia</v>
      </c>
      <c r="M62" s="42" t="str">
        <f>IFERROR(__xludf.DUMMYFUNCTION("""COMPUTED_VALUE"""),"Porcentaje")</f>
        <v>Porcentaje</v>
      </c>
      <c r="N62" s="43" t="str">
        <f>IFERROR(__xludf.DUMMYFUNCTION("""COMPUTED_VALUE"""),"Porcentaje del Sistema Unico de Gestión e Información de Actividad Litigiosa del Estado - eKOGUI actualizado con las piezas procesales.")</f>
        <v>Porcentaje del Sistema Unico de Gestión e Información de Actividad Litigiosa del Estado - eKOGUI actualizado con las piezas procesales.</v>
      </c>
      <c r="O62" s="44"/>
      <c r="P62" s="74">
        <f>IFERROR(__xludf.DUMMYFUNCTION("""COMPUTED_VALUE"""),1.0)</f>
        <v>1</v>
      </c>
      <c r="Q62" s="75" t="str">
        <f>IFERROR(__xludf.DUMMYFUNCTION("""COMPUTED_VALUE"""),"Actualizar con las piezas procesales el Sistema Unico de Gestión e Información de Actividad Litigiosa del Estado - eKOGUI")</f>
        <v>Actualizar con las piezas procesales el Sistema Unico de Gestión e Información de Actividad Litigiosa del Estado - eKOGUI</v>
      </c>
      <c r="R62" s="75" t="str">
        <f>IFERROR(__xludf.DUMMYFUNCTION("""COMPUTED_VALUE"""),"Trimestral")</f>
        <v>Trimestral</v>
      </c>
      <c r="S62" s="74">
        <f>IFERROR(__xludf.DUMMYFUNCTION("""COMPUTED_VALUE"""),1.0)</f>
        <v>1</v>
      </c>
      <c r="T62" s="74">
        <f>IFERROR(__xludf.DUMMYFUNCTION("""COMPUTED_VALUE"""),1.0)</f>
        <v>1</v>
      </c>
      <c r="U62" s="74">
        <f>IFERROR(__xludf.DUMMYFUNCTION("""COMPUTED_VALUE"""),1.0)</f>
        <v>1</v>
      </c>
      <c r="V62" s="74">
        <f>IFERROR(__xludf.DUMMYFUNCTION("""COMPUTED_VALUE"""),1.0)</f>
        <v>1</v>
      </c>
      <c r="W62" s="48" t="str">
        <f>IFERROR(__xludf.DUMMYFUNCTION("""COMPUTED_VALUE"""),"Oficina Asesoria Juridica")</f>
        <v>Oficina Asesoria Juridica</v>
      </c>
      <c r="X62" s="49" t="str">
        <f>IFERROR(__xludf.DUMMYFUNCTION("""COMPUTED_VALUE"""),"Miguel Angel Ardila")</f>
        <v>Miguel Angel Ardila</v>
      </c>
      <c r="Y62" s="39" t="str">
        <f>IFERROR(__xludf.DUMMYFUNCTION("""COMPUTED_VALUE"""),"Jefe Oficina Asesora Juridica")</f>
        <v>Jefe Oficina Asesora Juridica</v>
      </c>
      <c r="Z62" s="49" t="str">
        <f>IFERROR(__xludf.DUMMYFUNCTION("""COMPUTED_VALUE"""),"miguel.ardila@aunap.gov.co")</f>
        <v>miguel.ardila@aunap.gov.co</v>
      </c>
      <c r="AA62" s="39" t="str">
        <f>IFERROR(__xludf.DUMMYFUNCTION("""COMPUTED_VALUE"""),"Humanos, Físicos, Financieros, Tecnológicos")</f>
        <v>Humanos, Físicos, Financieros, Tecnológicos</v>
      </c>
      <c r="AB62" s="39" t="str">
        <f>IFERROR(__xludf.DUMMYFUNCTION("""COMPUTED_VALUE"""),"No asociado")</f>
        <v>No asociado</v>
      </c>
      <c r="AC62" s="39" t="str">
        <f>IFERROR(__xludf.DUMMYFUNCTION("""COMPUTED_VALUE"""),"Propiciar la formalización de la pesca y la acuicultura")</f>
        <v>Propiciar la formalización de la pesca y la acuicultura</v>
      </c>
      <c r="AD62" s="39" t="str">
        <f>IFERROR(__xludf.DUMMYFUNCTION("""COMPUTED_VALUE"""),"Gestión con valores para resultados")</f>
        <v>Gestión con valores para resultados</v>
      </c>
      <c r="AE62" s="39" t="str">
        <f>IFERROR(__xludf.DUMMYFUNCTION("""COMPUTED_VALUE"""),"Defensa Jurídica")</f>
        <v>Defensa Jurídica</v>
      </c>
      <c r="AF62" s="39" t="str">
        <f>IFERROR(__xludf.DUMMYFUNCTION("""COMPUTED_VALUE"""),"16. Paz, justicia e instituciones sólidas")</f>
        <v>16. Paz, justicia e instituciones sólidas</v>
      </c>
      <c r="AG62" s="50">
        <f>IFERROR(__xludf.DUMMYFUNCTION("""COMPUTED_VALUE"""),1.0)</f>
        <v>1</v>
      </c>
      <c r="AH62" s="51" t="str">
        <f>IFERROR(__xludf.DUMMYFUNCTION("""COMPUTED_VALUE"""),"ACTUALIZACION Y SEGUIMIENTO DE LOSPROCESOS JUDICIALES EN LA PLATAFORMA EKOGUI")</f>
        <v>ACTUALIZACION Y SEGUIMIENTO DE LOSPROCESOS JUDICIALES EN LA PLATAFORMA EKOGUI</v>
      </c>
      <c r="AI62" s="77" t="str">
        <f>IFERROR(__xludf.DUMMYFUNCTION("""COMPUTED_VALUE"""),"https://ekogui.defensajuridica.gov.co/Pages/inicio.aspx")</f>
        <v>https://ekogui.defensajuridica.gov.co/Pages/inicio.aspx</v>
      </c>
      <c r="AJ62" s="52">
        <f>IFERROR(__xludf.DUMMYFUNCTION("""COMPUTED_VALUE"""),44298.0)</f>
        <v>44298</v>
      </c>
      <c r="AK62" s="53" t="str">
        <f>IFERROR(IF((AL62+1)&lt;2,Alertas!$B$2&amp;TEXT(AL62,"0%")&amp;Alertas!$D$2, IF((AL62+1)=2,Alertas!$B$3,IF((AL62+1)&gt;2,Alertas!$B$4&amp;TEXT(AL62,"0%")&amp;Alertas!$D$4,AL62+1))),"Sin meta para el cuarto trimestre")</f>
        <v>La ejecución de la meta registrada se encuentra acorde a la meta programada en la formulación del plan de acción para el cuarto trimestre</v>
      </c>
      <c r="AL62" s="54">
        <f t="shared" si="2"/>
        <v>1</v>
      </c>
      <c r="AM62" s="53" t="str">
        <f t="shared" si="3"/>
        <v>La ejecución de la meta registrada se encuentra acorde a la meta programada en la formulación del plan de acción para el cuarto trimestre.</v>
      </c>
      <c r="AN62" s="55"/>
      <c r="AO62" s="56"/>
      <c r="AP62" s="57"/>
      <c r="AQ62" s="57"/>
      <c r="AR62" s="58"/>
      <c r="AS62" s="59"/>
      <c r="AT62" s="60"/>
      <c r="AU62" s="55"/>
      <c r="AV62" s="56"/>
      <c r="AW62" s="61"/>
      <c r="AX62" s="57"/>
      <c r="AY62" s="62"/>
      <c r="AZ62" s="63"/>
      <c r="BA62" s="64"/>
      <c r="BB62" s="65"/>
      <c r="BC62" s="56"/>
      <c r="BD62" s="61"/>
      <c r="BE62" s="57"/>
      <c r="BF62" s="58"/>
      <c r="BG62" s="63"/>
      <c r="BH62" s="64"/>
      <c r="BI62" s="66"/>
      <c r="BK62" s="21" t="str">
        <f t="shared" si="23"/>
        <v>0</v>
      </c>
      <c r="BM62" s="21"/>
    </row>
    <row r="63" ht="33.75" customHeight="1">
      <c r="A63" s="37"/>
      <c r="B63" s="38">
        <f>IFERROR(__xludf.DUMMYFUNCTION("""COMPUTED_VALUE"""),69.0)</f>
        <v>69</v>
      </c>
      <c r="C63" s="39" t="str">
        <f>IFERROR(__xludf.DUMMYFUNCTION("""COMPUTED_VALUE"""),"Gestión de la información y generación del conocimiento")</f>
        <v>Gestión de la información y generación del conocimiento</v>
      </c>
      <c r="D63" s="40" t="str">
        <f>IFERROR(__xludf.DUMMYFUNCTION("""COMPUTED_VALUE"""),"Oficina de Generación del Conocimiento y la Información")</f>
        <v>Oficina de Generación del Conocimiento y la Información</v>
      </c>
      <c r="E63"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3" s="40">
        <f>IFERROR(__xludf.DUMMYFUNCTION("""COMPUTED_VALUE"""),2.019011000277E12)</f>
        <v>2019011000277</v>
      </c>
      <c r="G63" s="41" t="str">
        <f>IFERROR(__xludf.DUMMYFUNCTION("""COMPUTED_VALUE"""),"Investigación")</f>
        <v>Investigación</v>
      </c>
      <c r="H63"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63" s="40" t="str">
        <f>IFERROR(__xludf.DUMMYFUNCTION("""COMPUTED_VALUE"""),"Documentos de investigación")</f>
        <v>Documentos de investigación</v>
      </c>
      <c r="J63" s="40" t="str">
        <f>IFERROR(__xludf.DUMMYFUNCTION("""COMPUTED_VALUE"""),"Realizar cruceros de prospección, ubicación y potencialidad de recursos pesqueros marinos pelágicos y demersales en el pacífico y mar caribe")</f>
        <v>Realizar cruceros de prospección, ubicación y potencialidad de recursos pesqueros marinos pelágicos y demersales en el pacífico y mar caribe</v>
      </c>
      <c r="K63" s="42" t="str">
        <f>IFERROR(__xludf.DUMMYFUNCTION("""COMPUTED_VALUE"""),"Producto")</f>
        <v>Producto</v>
      </c>
      <c r="L63" s="42" t="str">
        <f>IFERROR(__xludf.DUMMYFUNCTION("""COMPUTED_VALUE"""),"Eficacia")</f>
        <v>Eficacia</v>
      </c>
      <c r="M63" s="42" t="str">
        <f>IFERROR(__xludf.DUMMYFUNCTION("""COMPUTED_VALUE"""),"Número")</f>
        <v>Número</v>
      </c>
      <c r="N63" s="43" t="str">
        <f>IFERROR(__xludf.DUMMYFUNCTION("""COMPUTED_VALUE"""),"Documentos de investigación elaborados")</f>
        <v>Documentos de investigación elaborados</v>
      </c>
      <c r="O63" s="44">
        <f>IFERROR(__xludf.DUMMYFUNCTION("""COMPUTED_VALUE"""),3.0)</f>
        <v>3</v>
      </c>
      <c r="P63" s="74">
        <f>IFERROR(__xludf.DUMMYFUNCTION("""COMPUTED_VALUE"""),3.0)</f>
        <v>3</v>
      </c>
      <c r="Q63" s="75" t="str">
        <f>IFERROR(__xludf.DUMMYFUNCTION("""COMPUTED_VALUE"""),"Construcción de documentos de investigacion con el fin de generar conocimiento sobre la evaluacion del recurso pesquero y de la actividad pesquera, realizadas desde la OGCI")</f>
        <v>Construcción de documentos de investigacion con el fin de generar conocimiento sobre la evaluacion del recurso pesquero y de la actividad pesquera, realizadas desde la OGCI</v>
      </c>
      <c r="R63" s="75" t="str">
        <f>IFERROR(__xludf.DUMMYFUNCTION("""COMPUTED_VALUE"""),"Anual")</f>
        <v>Anual</v>
      </c>
      <c r="S63" s="74">
        <f>IFERROR(__xludf.DUMMYFUNCTION("""COMPUTED_VALUE"""),0.0)</f>
        <v>0</v>
      </c>
      <c r="T63" s="74">
        <f>IFERROR(__xludf.DUMMYFUNCTION("""COMPUTED_VALUE"""),0.0)</f>
        <v>0</v>
      </c>
      <c r="U63" s="74">
        <f>IFERROR(__xludf.DUMMYFUNCTION("""COMPUTED_VALUE"""),0.0)</f>
        <v>0</v>
      </c>
      <c r="V63" s="74">
        <f>IFERROR(__xludf.DUMMYFUNCTION("""COMPUTED_VALUE"""),3.0)</f>
        <v>3</v>
      </c>
      <c r="W63" s="48" t="str">
        <f>IFERROR(__xludf.DUMMYFUNCTION("""COMPUTED_VALUE"""),"Oficina de Generación del Conocimiento y la Información")</f>
        <v>Oficina de Generación del Conocimiento y la Información</v>
      </c>
      <c r="X63" s="49" t="str">
        <f>IFERROR(__xludf.DUMMYFUNCTION("""COMPUTED_VALUE"""),"Maria Angarita Peñaranda")</f>
        <v>Maria Angarita Peñaranda</v>
      </c>
      <c r="Y63" s="39" t="str">
        <f>IFERROR(__xludf.DUMMYFUNCTION("""COMPUTED_VALUE"""),"Jefe Oficina")</f>
        <v>Jefe Oficina</v>
      </c>
      <c r="Z63" s="49" t="str">
        <f>IFERROR(__xludf.DUMMYFUNCTION("""COMPUTED_VALUE"""),"maria.angarita@aunap.gov.co")</f>
        <v>maria.angarita@aunap.gov.co</v>
      </c>
      <c r="AA63" s="39" t="str">
        <f>IFERROR(__xludf.DUMMYFUNCTION("""COMPUTED_VALUE"""),"Humanos, fisicos, financieros y tecnologicos")</f>
        <v>Humanos, fisicos, financieros y tecnologicos</v>
      </c>
      <c r="AB63" s="39" t="str">
        <f>IFERROR(__xludf.DUMMYFUNCTION("""COMPUTED_VALUE"""),"No asociado")</f>
        <v>No asociado</v>
      </c>
      <c r="AC6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3" s="39" t="str">
        <f>IFERROR(__xludf.DUMMYFUNCTION("""COMPUTED_VALUE"""),"Gestión del conocimiento")</f>
        <v>Gestión del conocimiento</v>
      </c>
      <c r="AE63" s="39" t="str">
        <f>IFERROR(__xludf.DUMMYFUNCTION("""COMPUTED_VALUE"""),"Gestión del Conocimiento y la Innovación")</f>
        <v>Gestión del Conocimiento y la Innovación</v>
      </c>
      <c r="AF63" s="39" t="str">
        <f>IFERROR(__xludf.DUMMYFUNCTION("""COMPUTED_VALUE"""),"12. Producción y consumo responsable")</f>
        <v>12. Producción y consumo responsable</v>
      </c>
      <c r="AG63" s="50">
        <f>IFERROR(__xludf.DUMMYFUNCTION("""COMPUTED_VALUE"""),0.0)</f>
        <v>0</v>
      </c>
      <c r="AH63" s="51" t="str">
        <f>IFERROR(__xludf.DUMMYFUNCTION("""COMPUTED_VALUE"""),"El reporte de esta actividad es anual, por ende no se reporta en este trimestre")</f>
        <v>El reporte de esta actividad es anual, por ende no se reporta en este trimestre</v>
      </c>
      <c r="AI63" s="51"/>
      <c r="AJ63" s="52">
        <f>IFERROR(__xludf.DUMMYFUNCTION("""COMPUTED_VALUE"""),44298.0)</f>
        <v>44298</v>
      </c>
      <c r="AK63" s="53" t="str">
        <f>IFERROR(IF((AL63+1)&lt;2,Alertas!$B$2&amp;TEXT(AL63,"0%")&amp;Alertas!$D$2, IF((AL63+1)=2,Alertas!$B$3,IF((AL63+1)&gt;2,Alertas!$B$4&amp;TEXT(AL63,"0%")&amp;Alertas!$D$4,AL63+1))),"Sin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63" s="54">
        <f t="shared" si="2"/>
        <v>0</v>
      </c>
      <c r="AM63"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63" s="55"/>
      <c r="AO63" s="56"/>
      <c r="AP63" s="57"/>
      <c r="AQ63" s="57"/>
      <c r="AR63" s="58"/>
      <c r="AS63" s="59"/>
      <c r="AT63" s="60"/>
      <c r="AU63" s="55"/>
      <c r="AV63" s="56"/>
      <c r="AW63" s="61"/>
      <c r="AX63" s="57"/>
      <c r="AY63" s="62"/>
      <c r="AZ63" s="63"/>
      <c r="BA63" s="64"/>
      <c r="BB63" s="65"/>
      <c r="BC63" s="56"/>
      <c r="BD63" s="61"/>
      <c r="BE63" s="57"/>
      <c r="BF63" s="58"/>
      <c r="BG63" s="63"/>
      <c r="BH63" s="64"/>
      <c r="BI63" s="66"/>
      <c r="BK63" s="21" t="str">
        <f t="shared" si="23"/>
        <v>-1</v>
      </c>
      <c r="BM63" s="21"/>
    </row>
    <row r="64" ht="33.75" customHeight="1">
      <c r="A64" s="37"/>
      <c r="B64" s="38">
        <f>IFERROR(__xludf.DUMMYFUNCTION("""COMPUTED_VALUE"""),70.0)</f>
        <v>70</v>
      </c>
      <c r="C64" s="39" t="str">
        <f>IFERROR(__xludf.DUMMYFUNCTION("""COMPUTED_VALUE"""),"Gestión de la información y generación del conocimiento")</f>
        <v>Gestión de la información y generación del conocimiento</v>
      </c>
      <c r="D64" s="40" t="str">
        <f>IFERROR(__xludf.DUMMYFUNCTION("""COMPUTED_VALUE"""),"Oficina de Generación del Conocimiento y la Información")</f>
        <v>Oficina de Generación del Conocimiento y la Información</v>
      </c>
      <c r="E64"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4" s="40">
        <f>IFERROR(__xludf.DUMMYFUNCTION("""COMPUTED_VALUE"""),2.019011000277E12)</f>
        <v>2019011000277</v>
      </c>
      <c r="G64" s="41" t="str">
        <f>IFERROR(__xludf.DUMMYFUNCTION("""COMPUTED_VALUE"""),"Investigación")</f>
        <v>Investigación</v>
      </c>
      <c r="H64"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64" s="40" t="str">
        <f>IFERROR(__xludf.DUMMYFUNCTION("""COMPUTED_VALUE"""),"Documentos de investigación")</f>
        <v>Documentos de investigación</v>
      </c>
      <c r="J64" s="40" t="str">
        <f>IFERROR(__xludf.DUMMYFUNCTION("""COMPUTED_VALUE"""),"Evaluar el estado de aprovechamiento de los recursos pesqueros marinos, continentales y ornamentales en las cuencas hidrográficas del país")</f>
        <v>Evaluar el estado de aprovechamiento de los recursos pesqueros marinos, continentales y ornamentales en las cuencas hidrográficas del país</v>
      </c>
      <c r="K64" s="42" t="str">
        <f>IFERROR(__xludf.DUMMYFUNCTION("""COMPUTED_VALUE"""),"Producto")</f>
        <v>Producto</v>
      </c>
      <c r="L64" s="42" t="str">
        <f>IFERROR(__xludf.DUMMYFUNCTION("""COMPUTED_VALUE"""),"Eficacia")</f>
        <v>Eficacia</v>
      </c>
      <c r="M64" s="42" t="str">
        <f>IFERROR(__xludf.DUMMYFUNCTION("""COMPUTED_VALUE"""),"Número")</f>
        <v>Número</v>
      </c>
      <c r="N64" s="43" t="str">
        <f>IFERROR(__xludf.DUMMYFUNCTION("""COMPUTED_VALUE"""),"Documentos de investigación elaborados")</f>
        <v>Documentos de investigación elaborados</v>
      </c>
      <c r="O64" s="44">
        <f>IFERROR(__xludf.DUMMYFUNCTION("""COMPUTED_VALUE"""),3.0)</f>
        <v>3</v>
      </c>
      <c r="P64" s="74">
        <f>IFERROR(__xludf.DUMMYFUNCTION("""COMPUTED_VALUE"""),3.0)</f>
        <v>3</v>
      </c>
      <c r="Q64" s="75" t="str">
        <f>IFERROR(__xludf.DUMMYFUNCTION("""COMPUTED_VALUE"""),"Construcción de documentos de investigacion con el fin de generar conocimiento sobre la evaluacion del recurso pesquero y de la actividad pesquera, realizadas desde la OGCI")</f>
        <v>Construcción de documentos de investigacion con el fin de generar conocimiento sobre la evaluacion del recurso pesquero y de la actividad pesquera, realizadas desde la OGCI</v>
      </c>
      <c r="R64" s="75" t="str">
        <f>IFERROR(__xludf.DUMMYFUNCTION("""COMPUTED_VALUE"""),"Anual")</f>
        <v>Anual</v>
      </c>
      <c r="S64" s="74">
        <f>IFERROR(__xludf.DUMMYFUNCTION("""COMPUTED_VALUE"""),0.0)</f>
        <v>0</v>
      </c>
      <c r="T64" s="74">
        <f>IFERROR(__xludf.DUMMYFUNCTION("""COMPUTED_VALUE"""),0.0)</f>
        <v>0</v>
      </c>
      <c r="U64" s="74">
        <f>IFERROR(__xludf.DUMMYFUNCTION("""COMPUTED_VALUE"""),0.0)</f>
        <v>0</v>
      </c>
      <c r="V64" s="74">
        <f>IFERROR(__xludf.DUMMYFUNCTION("""COMPUTED_VALUE"""),3.0)</f>
        <v>3</v>
      </c>
      <c r="W64" s="48" t="str">
        <f>IFERROR(__xludf.DUMMYFUNCTION("""COMPUTED_VALUE"""),"Oficina de Generación del Conocimiento y la Información")</f>
        <v>Oficina de Generación del Conocimiento y la Información</v>
      </c>
      <c r="X64" s="49" t="str">
        <f>IFERROR(__xludf.DUMMYFUNCTION("""COMPUTED_VALUE"""),"Maria Angarita Peñaranda")</f>
        <v>Maria Angarita Peñaranda</v>
      </c>
      <c r="Y64" s="39" t="str">
        <f>IFERROR(__xludf.DUMMYFUNCTION("""COMPUTED_VALUE"""),"Jefe Oficina")</f>
        <v>Jefe Oficina</v>
      </c>
      <c r="Z64" s="49" t="str">
        <f>IFERROR(__xludf.DUMMYFUNCTION("""COMPUTED_VALUE"""),"maria.angarita@aunap.gov.co")</f>
        <v>maria.angarita@aunap.gov.co</v>
      </c>
      <c r="AA64" s="39" t="str">
        <f>IFERROR(__xludf.DUMMYFUNCTION("""COMPUTED_VALUE"""),"Humanos, fisicos, financieros y tecnologicos")</f>
        <v>Humanos, fisicos, financieros y tecnologicos</v>
      </c>
      <c r="AB64" s="39" t="str">
        <f>IFERROR(__xludf.DUMMYFUNCTION("""COMPUTED_VALUE"""),"No asociado")</f>
        <v>No asociado</v>
      </c>
      <c r="AC6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4" s="39" t="str">
        <f>IFERROR(__xludf.DUMMYFUNCTION("""COMPUTED_VALUE"""),"Gestión del conocimiento")</f>
        <v>Gestión del conocimiento</v>
      </c>
      <c r="AE64" s="39" t="str">
        <f>IFERROR(__xludf.DUMMYFUNCTION("""COMPUTED_VALUE"""),"Gestión del Conocimiento y la Innovación")</f>
        <v>Gestión del Conocimiento y la Innovación</v>
      </c>
      <c r="AF64" s="39" t="str">
        <f>IFERROR(__xludf.DUMMYFUNCTION("""COMPUTED_VALUE"""),"12. Producción y consumo responsable")</f>
        <v>12. Producción y consumo responsable</v>
      </c>
      <c r="AG64" s="50">
        <f>IFERROR(__xludf.DUMMYFUNCTION("""COMPUTED_VALUE"""),0.0)</f>
        <v>0</v>
      </c>
      <c r="AH64" s="51" t="str">
        <f>IFERROR(__xludf.DUMMYFUNCTION("""COMPUTED_VALUE"""),"El reporte de esta actividad es anual, por ende no se reporta en este trimestre")</f>
        <v>El reporte de esta actividad es anual, por ende no se reporta en este trimestre</v>
      </c>
      <c r="AI64" s="51"/>
      <c r="AJ64" s="52">
        <f>IFERROR(__xludf.DUMMYFUNCTION("""COMPUTED_VALUE"""),44298.0)</f>
        <v>44298</v>
      </c>
      <c r="AK64" s="53" t="str">
        <f>IFERROR(IF((AL64+1)&lt;2,Alertas!$B$2&amp;TEXT(AL64,"0%")&amp;Alertas!$D$2, IF((AL64+1)=2,Alertas!$B$3,IF((AL64+1)&gt;2,Alertas!$B$4&amp;TEXT(AL64,"0%")&amp;Alertas!$D$4,AL64+1))),"Sin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64" s="54">
        <f t="shared" si="2"/>
        <v>0</v>
      </c>
      <c r="AM64"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64" s="55"/>
      <c r="AO64" s="56"/>
      <c r="AP64" s="57"/>
      <c r="AQ64" s="57"/>
      <c r="AR64" s="58"/>
      <c r="AS64" s="59"/>
      <c r="AT64" s="60"/>
      <c r="AU64" s="55"/>
      <c r="AV64" s="56"/>
      <c r="AW64" s="61"/>
      <c r="AX64" s="57"/>
      <c r="AY64" s="62"/>
      <c r="AZ64" s="63"/>
      <c r="BA64" s="64"/>
      <c r="BB64" s="65"/>
      <c r="BC64" s="56"/>
      <c r="BD64" s="61"/>
      <c r="BE64" s="57"/>
      <c r="BF64" s="58"/>
      <c r="BG64" s="63"/>
      <c r="BH64" s="64"/>
      <c r="BI64" s="66"/>
      <c r="BK64" s="21" t="str">
        <f t="shared" si="23"/>
        <v>-1</v>
      </c>
      <c r="BM64" s="21"/>
    </row>
    <row r="65" ht="33.75" customHeight="1">
      <c r="A65" s="37"/>
      <c r="B65" s="38">
        <f>IFERROR(__xludf.DUMMYFUNCTION("""COMPUTED_VALUE"""),71.0)</f>
        <v>71</v>
      </c>
      <c r="C65" s="39" t="str">
        <f>IFERROR(__xludf.DUMMYFUNCTION("""COMPUTED_VALUE"""),"Gestión de la información y generación del conocimiento")</f>
        <v>Gestión de la información y generación del conocimiento</v>
      </c>
      <c r="D65" s="40" t="str">
        <f>IFERROR(__xludf.DUMMYFUNCTION("""COMPUTED_VALUE"""),"Oficina de Generación del Conocimiento y la Información")</f>
        <v>Oficina de Generación del Conocimiento y la Información</v>
      </c>
      <c r="E65"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5" s="40">
        <f>IFERROR(__xludf.DUMMYFUNCTION("""COMPUTED_VALUE"""),2.019011000277E12)</f>
        <v>2019011000277</v>
      </c>
      <c r="G65" s="41" t="str">
        <f>IFERROR(__xludf.DUMMYFUNCTION("""COMPUTED_VALUE"""),"Investigación")</f>
        <v>Investigación</v>
      </c>
      <c r="H65"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65" s="40" t="str">
        <f>IFERROR(__xludf.DUMMYFUNCTION("""COMPUTED_VALUE"""),"Documentos de investigación")</f>
        <v>Documentos de investigación</v>
      </c>
      <c r="J65" s="40" t="str">
        <f>IFERROR(__xludf.DUMMYFUNCTION("""COMPUTED_VALUE"""),"Evaluar el estado de aprovechamiento de los recursos pesqueros marinos, continentales y ornamentales en las cuencas hidrográficas del país")</f>
        <v>Evaluar el estado de aprovechamiento de los recursos pesqueros marinos, continentales y ornamentales en las cuencas hidrográficas del país</v>
      </c>
      <c r="K65" s="42" t="str">
        <f>IFERROR(__xludf.DUMMYFUNCTION("""COMPUTED_VALUE"""),"Gestión del área")</f>
        <v>Gestión del área</v>
      </c>
      <c r="L65" s="42" t="str">
        <f>IFERROR(__xludf.DUMMYFUNCTION("""COMPUTED_VALUE"""),"Eficacia")</f>
        <v>Eficacia</v>
      </c>
      <c r="M65" s="42" t="str">
        <f>IFERROR(__xludf.DUMMYFUNCTION("""COMPUTED_VALUE"""),"Porcentaje")</f>
        <v>Porcentaje</v>
      </c>
      <c r="N65" s="43" t="str">
        <f>IFERROR(__xludf.DUMMYFUNCTION("""COMPUTED_VALUE"""),"Conceptos técnicos atendidos/Conceptos tecnicos solicitados")</f>
        <v>Conceptos técnicos atendidos/Conceptos tecnicos solicitados</v>
      </c>
      <c r="O65" s="44">
        <f>IFERROR(__xludf.DUMMYFUNCTION("""COMPUTED_VALUE"""),1.0)</f>
        <v>1</v>
      </c>
      <c r="P65" s="74">
        <f>IFERROR(__xludf.DUMMYFUNCTION("""COMPUTED_VALUE"""),1.0)</f>
        <v>1</v>
      </c>
      <c r="Q65" s="75" t="str">
        <f>IFERROR(__xludf.DUMMYFUNCTION("""COMPUTED_VALUE"""),"Emitir conceptos técnicos relacionados con la pesca, atendidos de acuerdo con las solicitudes recibidas.")</f>
        <v>Emitir conceptos técnicos relacionados con la pesca, atendidos de acuerdo con las solicitudes recibidas.</v>
      </c>
      <c r="R65" s="75" t="str">
        <f>IFERROR(__xludf.DUMMYFUNCTION("""COMPUTED_VALUE"""),"Trimestral")</f>
        <v>Trimestral</v>
      </c>
      <c r="S65" s="74">
        <f>IFERROR(__xludf.DUMMYFUNCTION("""COMPUTED_VALUE"""),1.0)</f>
        <v>1</v>
      </c>
      <c r="T65" s="74">
        <f>IFERROR(__xludf.DUMMYFUNCTION("""COMPUTED_VALUE"""),1.0)</f>
        <v>1</v>
      </c>
      <c r="U65" s="74">
        <f>IFERROR(__xludf.DUMMYFUNCTION("""COMPUTED_VALUE"""),1.0)</f>
        <v>1</v>
      </c>
      <c r="V65" s="74">
        <f>IFERROR(__xludf.DUMMYFUNCTION("""COMPUTED_VALUE"""),1.0)</f>
        <v>1</v>
      </c>
      <c r="W65" s="48" t="str">
        <f>IFERROR(__xludf.DUMMYFUNCTION("""COMPUTED_VALUE"""),"Oficina de Generación del Conocimiento y la Información")</f>
        <v>Oficina de Generación del Conocimiento y la Información</v>
      </c>
      <c r="X65" s="49" t="str">
        <f>IFERROR(__xludf.DUMMYFUNCTION("""COMPUTED_VALUE"""),"Maria Angarita Peñaranda")</f>
        <v>Maria Angarita Peñaranda</v>
      </c>
      <c r="Y65" s="39" t="str">
        <f>IFERROR(__xludf.DUMMYFUNCTION("""COMPUTED_VALUE"""),"Jefe Oficina")</f>
        <v>Jefe Oficina</v>
      </c>
      <c r="Z65" s="49" t="str">
        <f>IFERROR(__xludf.DUMMYFUNCTION("""COMPUTED_VALUE"""),"maria.angarita@aunap.gov.co")</f>
        <v>maria.angarita@aunap.gov.co</v>
      </c>
      <c r="AA65" s="39" t="str">
        <f>IFERROR(__xludf.DUMMYFUNCTION("""COMPUTED_VALUE"""),"Humanos, fisicos, financieros y tecnologicos")</f>
        <v>Humanos, fisicos, financieros y tecnologicos</v>
      </c>
      <c r="AB65" s="39" t="str">
        <f>IFERROR(__xludf.DUMMYFUNCTION("""COMPUTED_VALUE"""),"No asociado")</f>
        <v>No asociado</v>
      </c>
      <c r="AC65"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5" s="39" t="str">
        <f>IFERROR(__xludf.DUMMYFUNCTION("""COMPUTED_VALUE"""),"Gestión del conocimiento")</f>
        <v>Gestión del conocimiento</v>
      </c>
      <c r="AE65" s="39" t="str">
        <f>IFERROR(__xludf.DUMMYFUNCTION("""COMPUTED_VALUE"""),"Gestión del Conocimiento y la Innovación")</f>
        <v>Gestión del Conocimiento y la Innovación</v>
      </c>
      <c r="AF65" s="39" t="str">
        <f>IFERROR(__xludf.DUMMYFUNCTION("""COMPUTED_VALUE"""),"12. Producción y consumo responsable")</f>
        <v>12. Producción y consumo responsable</v>
      </c>
      <c r="AG65" s="50">
        <f>IFERROR(__xludf.DUMMYFUNCTION("""COMPUTED_VALUE"""),1.0)</f>
        <v>1</v>
      </c>
      <c r="AH65" s="51" t="str">
        <f>IFERROR(__xludf.DUMMYFUNCTION("""COMPUTED_VALUE"""),"Para este trimestre se solicitaron 5 conceptos tecnicos y se atendieron todos estos 5 conceptos, lo cual se puede evidenciar en el siguiente Link : ")</f>
        <v>Para este trimestre se solicitaron 5 conceptos tecnicos y se atendieron todos estos 5 conceptos, lo cual se puede evidenciar en el siguiente Link : </v>
      </c>
      <c r="AI65" s="72" t="str">
        <f>IFERROR(__xludf.DUMMYFUNCTION("""COMPUTED_VALUE"""),"https://drive.google.com/drive/folders/1ycZDWBH4ZJXCQv6xuvfJSoXZIAgR8JC1?usp=sharing")</f>
        <v>https://drive.google.com/drive/folders/1ycZDWBH4ZJXCQv6xuvfJSoXZIAgR8JC1?usp=sharing</v>
      </c>
      <c r="AJ65" s="52">
        <f>IFERROR(__xludf.DUMMYFUNCTION("""COMPUTED_VALUE"""),44298.0)</f>
        <v>44298</v>
      </c>
      <c r="AK65" s="53" t="str">
        <f>IFERROR(IF((AL65+1)&lt;2,Alertas!$B$2&amp;TEXT(AL65,"0%")&amp;Alertas!$D$2, IF((AL65+1)=2,Alertas!$B$3,IF((AL65+1)&gt;2,Alertas!$B$4&amp;TEXT(AL65,"0%")&amp;Alertas!$D$4,AL65+1))),"Sin meta para el cuarto trimestre")</f>
        <v>La ejecución de la meta registrada se encuentra acorde a la meta programada en la formulación del plan de acción para el cuarto trimestre</v>
      </c>
      <c r="AL65" s="54">
        <f t="shared" si="2"/>
        <v>1</v>
      </c>
      <c r="AM65" s="53" t="str">
        <f t="shared" si="3"/>
        <v>La ejecución de la meta registrada se encuentra acorde a la meta programada en la formulación del plan de acción para el cuarto trimestre.</v>
      </c>
      <c r="AN65" s="55"/>
      <c r="AO65" s="56"/>
      <c r="AP65" s="57"/>
      <c r="AQ65" s="57"/>
      <c r="AR65" s="58"/>
      <c r="AS65" s="59"/>
      <c r="AT65" s="60"/>
      <c r="AU65" s="55"/>
      <c r="AV65" s="56"/>
      <c r="AW65" s="61"/>
      <c r="AX65" s="57"/>
      <c r="AY65" s="62"/>
      <c r="AZ65" s="63"/>
      <c r="BA65" s="64"/>
      <c r="BB65" s="65"/>
      <c r="BC65" s="56"/>
      <c r="BD65" s="61"/>
      <c r="BE65" s="57"/>
      <c r="BF65" s="58"/>
      <c r="BG65" s="63"/>
      <c r="BH65" s="64"/>
      <c r="BI65" s="66"/>
      <c r="BK65" s="21" t="str">
        <f t="shared" si="23"/>
        <v>0</v>
      </c>
      <c r="BM65" s="21"/>
    </row>
    <row r="66" ht="33.75" customHeight="1">
      <c r="A66" s="37"/>
      <c r="B66" s="38">
        <f>IFERROR(__xludf.DUMMYFUNCTION("""COMPUTED_VALUE"""),72.0)</f>
        <v>72</v>
      </c>
      <c r="C66" s="39" t="str">
        <f>IFERROR(__xludf.DUMMYFUNCTION("""COMPUTED_VALUE"""),"Gestión de la información y generación del conocimiento")</f>
        <v>Gestión de la información y generación del conocimiento</v>
      </c>
      <c r="D66" s="40" t="str">
        <f>IFERROR(__xludf.DUMMYFUNCTION("""COMPUTED_VALUE"""),"Oficina de Generación del Conocimiento y la Información")</f>
        <v>Oficina de Generación del Conocimiento y la Información</v>
      </c>
      <c r="E66"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6" s="40">
        <f>IFERROR(__xludf.DUMMYFUNCTION("""COMPUTED_VALUE"""),2.019011000277E12)</f>
        <v>2019011000277</v>
      </c>
      <c r="G66" s="41" t="str">
        <f>IFERROR(__xludf.DUMMYFUNCTION("""COMPUTED_VALUE"""),"Investigación")</f>
        <v>Investigación</v>
      </c>
      <c r="H66" s="40" t="str">
        <f>IFERROR(__xludf.DUMMYFUNCTION("""COMPUTED_VALUE"""),"Aumentar el desarrollo de la acuicultura asociado a la optimización de los procesos productivos.")</f>
        <v>Aumentar el desarrollo de la acuicultura asociado a la optimización de los procesos productivos.</v>
      </c>
      <c r="I66" s="40" t="str">
        <f>IFERROR(__xludf.DUMMYFUNCTION("""COMPUTED_VALUE"""),"Documentos de lineamientos técnicos")</f>
        <v>Documentos de lineamientos técnicos</v>
      </c>
      <c r="J66" s="40" t="str">
        <f>IFERROR(__xludf.DUMMYFUNCTION("""COMPUTED_VALUE"""),"Determinar las condiciones de bioecología, aclimatación, nutrición y alimentación, reproducción, larvicultura, alevinaje, engorde, patología, etc. en especies nativas y domesticadas de consumo y ornamentales, marinas y continentales")</f>
        <v>Determinar las condiciones de bioecología, aclimatación, nutrición y alimentación, reproducción, larvicultura, alevinaje, engorde, patología, etc. en especies nativas y domesticadas de consumo y ornamentales, marinas y continentales</v>
      </c>
      <c r="K66" s="42" t="str">
        <f>IFERROR(__xludf.DUMMYFUNCTION("""COMPUTED_VALUE"""),"Producto")</f>
        <v>Producto</v>
      </c>
      <c r="L66" s="42" t="str">
        <f>IFERROR(__xludf.DUMMYFUNCTION("""COMPUTED_VALUE"""),"Eficacia")</f>
        <v>Eficacia</v>
      </c>
      <c r="M66" s="42" t="str">
        <f>IFERROR(__xludf.DUMMYFUNCTION("""COMPUTED_VALUE"""),"Número")</f>
        <v>Número</v>
      </c>
      <c r="N66" s="43" t="str">
        <f>IFERROR(__xludf.DUMMYFUNCTION("""COMPUTED_VALUE"""),"Documentos de lineamientos técnicos elaborados")</f>
        <v>Documentos de lineamientos técnicos elaborados</v>
      </c>
      <c r="O66" s="44">
        <f>IFERROR(__xludf.DUMMYFUNCTION("""COMPUTED_VALUE"""),4.0)</f>
        <v>4</v>
      </c>
      <c r="P66" s="74">
        <f>IFERROR(__xludf.DUMMYFUNCTION("""COMPUTED_VALUE"""),4.0)</f>
        <v>4</v>
      </c>
      <c r="Q66" s="75" t="str">
        <f>IFERROR(__xludf.DUMMYFUNCTION("""COMPUTED_VALUE"""),"Construcción de documentos de lineamientos técnicos generados de las investigaciones en acuicultura realizadas desde la OGCCI")</f>
        <v>Construcción de documentos de lineamientos técnicos generados de las investigaciones en acuicultura realizadas desde la OGCCI</v>
      </c>
      <c r="R66" s="75" t="str">
        <f>IFERROR(__xludf.DUMMYFUNCTION("""COMPUTED_VALUE"""),"Anual")</f>
        <v>Anual</v>
      </c>
      <c r="S66" s="74">
        <f>IFERROR(__xludf.DUMMYFUNCTION("""COMPUTED_VALUE"""),0.0)</f>
        <v>0</v>
      </c>
      <c r="T66" s="74">
        <f>IFERROR(__xludf.DUMMYFUNCTION("""COMPUTED_VALUE"""),0.0)</f>
        <v>0</v>
      </c>
      <c r="U66" s="74">
        <f>IFERROR(__xludf.DUMMYFUNCTION("""COMPUTED_VALUE"""),0.0)</f>
        <v>0</v>
      </c>
      <c r="V66" s="74">
        <f>IFERROR(__xludf.DUMMYFUNCTION("""COMPUTED_VALUE"""),4.0)</f>
        <v>4</v>
      </c>
      <c r="W66" s="48" t="str">
        <f>IFERROR(__xludf.DUMMYFUNCTION("""COMPUTED_VALUE"""),"Oficina de Generación del Conocimiento y la Información")</f>
        <v>Oficina de Generación del Conocimiento y la Información</v>
      </c>
      <c r="X66" s="49" t="str">
        <f>IFERROR(__xludf.DUMMYFUNCTION("""COMPUTED_VALUE"""),"Maria Angarita Peñaranda")</f>
        <v>Maria Angarita Peñaranda</v>
      </c>
      <c r="Y66" s="39" t="str">
        <f>IFERROR(__xludf.DUMMYFUNCTION("""COMPUTED_VALUE"""),"Jefe Oficina")</f>
        <v>Jefe Oficina</v>
      </c>
      <c r="Z66" s="49" t="str">
        <f>IFERROR(__xludf.DUMMYFUNCTION("""COMPUTED_VALUE"""),"maria.angarita@aunap.gov.co")</f>
        <v>maria.angarita@aunap.gov.co</v>
      </c>
      <c r="AA66" s="39" t="str">
        <f>IFERROR(__xludf.DUMMYFUNCTION("""COMPUTED_VALUE"""),"Humanos, fisicos, financieros y tecnologicos")</f>
        <v>Humanos, fisicos, financieros y tecnologicos</v>
      </c>
      <c r="AB66" s="39" t="str">
        <f>IFERROR(__xludf.DUMMYFUNCTION("""COMPUTED_VALUE"""),"No asociado")</f>
        <v>No asociado</v>
      </c>
      <c r="AC66"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6" s="39" t="str">
        <f>IFERROR(__xludf.DUMMYFUNCTION("""COMPUTED_VALUE"""),"Gestión del conocimiento")</f>
        <v>Gestión del conocimiento</v>
      </c>
      <c r="AE66" s="39" t="str">
        <f>IFERROR(__xludf.DUMMYFUNCTION("""COMPUTED_VALUE"""),"Gestión del Conocimiento y la Innovación")</f>
        <v>Gestión del Conocimiento y la Innovación</v>
      </c>
      <c r="AF66" s="39" t="str">
        <f>IFERROR(__xludf.DUMMYFUNCTION("""COMPUTED_VALUE"""),"12. Producción y consumo responsable")</f>
        <v>12. Producción y consumo responsable</v>
      </c>
      <c r="AG66" s="76">
        <f>IFERROR(__xludf.DUMMYFUNCTION("""COMPUTED_VALUE"""),0.0)</f>
        <v>0</v>
      </c>
      <c r="AH66" s="51" t="str">
        <f>IFERROR(__xludf.DUMMYFUNCTION("""COMPUTED_VALUE"""),"El reporte de esta actividad es anual, por ende no se reporta en este trimestre")</f>
        <v>El reporte de esta actividad es anual, por ende no se reporta en este trimestre</v>
      </c>
      <c r="AI66" s="51"/>
      <c r="AJ66" s="52">
        <f>IFERROR(__xludf.DUMMYFUNCTION("""COMPUTED_VALUE"""),44298.0)</f>
        <v>44298</v>
      </c>
      <c r="AK66" s="53" t="str">
        <f>IFERROR(IF((AL66+1)&lt;2,Alertas!$B$2&amp;TEXT(AL66,"0%")&amp;Alertas!$D$2, IF((AL66+1)=2,Alertas!$B$3,IF((AL66+1)&gt;2,Alertas!$B$4&amp;TEXT(AL66,"0%")&amp;Alertas!$D$4,AL66+1))),"Sin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66" s="54">
        <f t="shared" si="2"/>
        <v>0</v>
      </c>
      <c r="AM66"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66" s="55"/>
      <c r="AO66" s="56"/>
      <c r="AP66" s="57"/>
      <c r="AQ66" s="57"/>
      <c r="AR66" s="58"/>
      <c r="AS66" s="59"/>
      <c r="AT66" s="60"/>
      <c r="AU66" s="55"/>
      <c r="AV66" s="56"/>
      <c r="AW66" s="61"/>
      <c r="AX66" s="57"/>
      <c r="AY66" s="62"/>
      <c r="AZ66" s="63"/>
      <c r="BA66" s="64"/>
      <c r="BB66" s="65"/>
      <c r="BC66" s="56"/>
      <c r="BD66" s="61"/>
      <c r="BE66" s="57"/>
      <c r="BF66" s="58"/>
      <c r="BG66" s="63"/>
      <c r="BH66" s="64"/>
      <c r="BI66" s="66"/>
      <c r="BK66" s="21" t="str">
        <f t="shared" si="23"/>
        <v>-1</v>
      </c>
      <c r="BM66" s="21"/>
    </row>
    <row r="67" ht="33.75" customHeight="1">
      <c r="A67" s="37"/>
      <c r="B67" s="38">
        <f>IFERROR(__xludf.DUMMYFUNCTION("""COMPUTED_VALUE"""),73.0)</f>
        <v>73</v>
      </c>
      <c r="C67" s="39" t="str">
        <f>IFERROR(__xludf.DUMMYFUNCTION("""COMPUTED_VALUE"""),"Gestión de la información y generación del conocimiento")</f>
        <v>Gestión de la información y generación del conocimiento</v>
      </c>
      <c r="D67" s="40" t="str">
        <f>IFERROR(__xludf.DUMMYFUNCTION("""COMPUTED_VALUE"""),"Oficina de Generación del Conocimiento y la Información")</f>
        <v>Oficina de Generación del Conocimiento y la Información</v>
      </c>
      <c r="E67"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7" s="40">
        <f>IFERROR(__xludf.DUMMYFUNCTION("""COMPUTED_VALUE"""),2.019011000277E12)</f>
        <v>2019011000277</v>
      </c>
      <c r="G67" s="41" t="str">
        <f>IFERROR(__xludf.DUMMYFUNCTION("""COMPUTED_VALUE"""),"Investigación")</f>
        <v>Investigación</v>
      </c>
      <c r="H67" s="40" t="str">
        <f>IFERROR(__xludf.DUMMYFUNCTION("""COMPUTED_VALUE"""),"Aumentar el desarrollo de la acuicultura asociado a la optimización de los procesos productivos.")</f>
        <v>Aumentar el desarrollo de la acuicultura asociado a la optimización de los procesos productivos.</v>
      </c>
      <c r="I67" s="40" t="str">
        <f>IFERROR(__xludf.DUMMYFUNCTION("""COMPUTED_VALUE"""),"Documentos de lineamientos técnicos")</f>
        <v>Documentos de lineamientos técnicos</v>
      </c>
      <c r="J67" s="40" t="str">
        <f>IFERROR(__xludf.DUMMYFUNCTION("""COMPUTED_VALUE"""),"Evaluar sistemas de producción y nuevas tecnologías en la acuicultura de especies nativas de consumo y ornamentales marinas y continentales")</f>
        <v>Evaluar sistemas de producción y nuevas tecnologías en la acuicultura de especies nativas de consumo y ornamentales marinas y continentales</v>
      </c>
      <c r="K67" s="42" t="str">
        <f>IFERROR(__xludf.DUMMYFUNCTION("""COMPUTED_VALUE"""),"Producto")</f>
        <v>Producto</v>
      </c>
      <c r="L67" s="42" t="str">
        <f>IFERROR(__xludf.DUMMYFUNCTION("""COMPUTED_VALUE"""),"Eficacia")</f>
        <v>Eficacia</v>
      </c>
      <c r="M67" s="42" t="str">
        <f>IFERROR(__xludf.DUMMYFUNCTION("""COMPUTED_VALUE"""),"Número")</f>
        <v>Número</v>
      </c>
      <c r="N67" s="43" t="str">
        <f>IFERROR(__xludf.DUMMYFUNCTION("""COMPUTED_VALUE"""),"Documentos de lineamientos técnicos elaborados")</f>
        <v>Documentos de lineamientos técnicos elaborados</v>
      </c>
      <c r="O67" s="44">
        <f>IFERROR(__xludf.DUMMYFUNCTION("""COMPUTED_VALUE"""),4.0)</f>
        <v>4</v>
      </c>
      <c r="P67" s="74">
        <f>IFERROR(__xludf.DUMMYFUNCTION("""COMPUTED_VALUE"""),4.0)</f>
        <v>4</v>
      </c>
      <c r="Q67" s="75" t="str">
        <f>IFERROR(__xludf.DUMMYFUNCTION("""COMPUTED_VALUE"""),"Construcción de documentos de lineamientos técnicos generados de las investigaciones en acuicultura realizadas desde la OGCCI")</f>
        <v>Construcción de documentos de lineamientos técnicos generados de las investigaciones en acuicultura realizadas desde la OGCCI</v>
      </c>
      <c r="R67" s="75" t="str">
        <f>IFERROR(__xludf.DUMMYFUNCTION("""COMPUTED_VALUE"""),"Anual")</f>
        <v>Anual</v>
      </c>
      <c r="S67" s="74">
        <f>IFERROR(__xludf.DUMMYFUNCTION("""COMPUTED_VALUE"""),0.0)</f>
        <v>0</v>
      </c>
      <c r="T67" s="74">
        <f>IFERROR(__xludf.DUMMYFUNCTION("""COMPUTED_VALUE"""),0.0)</f>
        <v>0</v>
      </c>
      <c r="U67" s="74">
        <f>IFERROR(__xludf.DUMMYFUNCTION("""COMPUTED_VALUE"""),0.0)</f>
        <v>0</v>
      </c>
      <c r="V67" s="74">
        <f>IFERROR(__xludf.DUMMYFUNCTION("""COMPUTED_VALUE"""),4.0)</f>
        <v>4</v>
      </c>
      <c r="W67" s="48" t="str">
        <f>IFERROR(__xludf.DUMMYFUNCTION("""COMPUTED_VALUE"""),"Oficina de Generación del Conocimiento y la Información")</f>
        <v>Oficina de Generación del Conocimiento y la Información</v>
      </c>
      <c r="X67" s="49" t="str">
        <f>IFERROR(__xludf.DUMMYFUNCTION("""COMPUTED_VALUE"""),"Maria Angarita Peñaranda")</f>
        <v>Maria Angarita Peñaranda</v>
      </c>
      <c r="Y67" s="39" t="str">
        <f>IFERROR(__xludf.DUMMYFUNCTION("""COMPUTED_VALUE"""),"Jefe Oficina")</f>
        <v>Jefe Oficina</v>
      </c>
      <c r="Z67" s="49" t="str">
        <f>IFERROR(__xludf.DUMMYFUNCTION("""COMPUTED_VALUE"""),"maria.angarita@aunap.gov.co")</f>
        <v>maria.angarita@aunap.gov.co</v>
      </c>
      <c r="AA67" s="39" t="str">
        <f>IFERROR(__xludf.DUMMYFUNCTION("""COMPUTED_VALUE"""),"Humanos, fisicos, financieros y tecnologicos")</f>
        <v>Humanos, fisicos, financieros y tecnologicos</v>
      </c>
      <c r="AB67" s="39" t="str">
        <f>IFERROR(__xludf.DUMMYFUNCTION("""COMPUTED_VALUE"""),"No asociado")</f>
        <v>No asociado</v>
      </c>
      <c r="AC67"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7" s="39" t="str">
        <f>IFERROR(__xludf.DUMMYFUNCTION("""COMPUTED_VALUE"""),"Gestión del conocimiento")</f>
        <v>Gestión del conocimiento</v>
      </c>
      <c r="AE67" s="39" t="str">
        <f>IFERROR(__xludf.DUMMYFUNCTION("""COMPUTED_VALUE"""),"Gestión del Conocimiento y la Innovación")</f>
        <v>Gestión del Conocimiento y la Innovación</v>
      </c>
      <c r="AF67" s="39" t="str">
        <f>IFERROR(__xludf.DUMMYFUNCTION("""COMPUTED_VALUE"""),"12. Producción y consumo responsable")</f>
        <v>12. Producción y consumo responsable</v>
      </c>
      <c r="AG67" s="76">
        <f>IFERROR(__xludf.DUMMYFUNCTION("""COMPUTED_VALUE"""),0.0)</f>
        <v>0</v>
      </c>
      <c r="AH67" s="51" t="str">
        <f>IFERROR(__xludf.DUMMYFUNCTION("""COMPUTED_VALUE"""),"El reporte de esta actividad es anual, por ende no se reporta en este trimestre")</f>
        <v>El reporte de esta actividad es anual, por ende no se reporta en este trimestre</v>
      </c>
      <c r="AI67" s="51"/>
      <c r="AJ67" s="52">
        <f>IFERROR(__xludf.DUMMYFUNCTION("""COMPUTED_VALUE"""),44298.0)</f>
        <v>44298</v>
      </c>
      <c r="AK67" s="53" t="str">
        <f>IFERROR(IF((AL67+1)&lt;2,Alertas!$B$2&amp;TEXT(AL67,"0%")&amp;Alertas!$D$2, IF((AL67+1)=2,Alertas!$B$3,IF((AL67+1)&gt;2,Alertas!$B$4&amp;TEXT(AL67,"0%")&amp;Alertas!$D$4,AL67+1))),"Sin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67" s="54">
        <f t="shared" si="2"/>
        <v>0</v>
      </c>
      <c r="AM67"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67" s="55"/>
      <c r="AO67" s="56"/>
      <c r="AP67" s="57"/>
      <c r="AQ67" s="57"/>
      <c r="AR67" s="58"/>
      <c r="AS67" s="59"/>
      <c r="AT67" s="60"/>
      <c r="AU67" s="55"/>
      <c r="AV67" s="56"/>
      <c r="AW67" s="61"/>
      <c r="AX67" s="57"/>
      <c r="AY67" s="62"/>
      <c r="AZ67" s="63"/>
      <c r="BA67" s="64"/>
      <c r="BB67" s="65"/>
      <c r="BC67" s="56"/>
      <c r="BD67" s="61"/>
      <c r="BE67" s="57"/>
      <c r="BF67" s="58"/>
      <c r="BG67" s="63"/>
      <c r="BH67" s="64"/>
      <c r="BI67" s="66"/>
      <c r="BK67" s="21" t="str">
        <f t="shared" si="23"/>
        <v>-1</v>
      </c>
      <c r="BM67" s="21"/>
    </row>
    <row r="68" ht="33.75" customHeight="1">
      <c r="A68" s="37"/>
      <c r="B68" s="38">
        <f>IFERROR(__xludf.DUMMYFUNCTION("""COMPUTED_VALUE"""),74.0)</f>
        <v>74</v>
      </c>
      <c r="C68" s="39" t="str">
        <f>IFERROR(__xludf.DUMMYFUNCTION("""COMPUTED_VALUE"""),"Gestión de la información y generación del conocimiento")</f>
        <v>Gestión de la información y generación del conocimiento</v>
      </c>
      <c r="D68" s="40" t="str">
        <f>IFERROR(__xludf.DUMMYFUNCTION("""COMPUTED_VALUE"""),"Oficina de Generación del Conocimiento y la Información")</f>
        <v>Oficina de Generación del Conocimiento y la Información</v>
      </c>
      <c r="E68"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8" s="40">
        <f>IFERROR(__xludf.DUMMYFUNCTION("""COMPUTED_VALUE"""),2.019011000277E12)</f>
        <v>2019011000277</v>
      </c>
      <c r="G68" s="41" t="str">
        <f>IFERROR(__xludf.DUMMYFUNCTION("""COMPUTED_VALUE"""),"Investigación")</f>
        <v>Investigación</v>
      </c>
      <c r="H68" s="40" t="str">
        <f>IFERROR(__xludf.DUMMYFUNCTION("""COMPUTED_VALUE"""),"Aumentar el desarrollo de la acuicultura asociado a la optimización de los procesos productivos.")</f>
        <v>Aumentar el desarrollo de la acuicultura asociado a la optimización de los procesos productivos.</v>
      </c>
      <c r="I68" s="40" t="str">
        <f>IFERROR(__xludf.DUMMYFUNCTION("""COMPUTED_VALUE"""),"Documentos de lineamientos técnicos")</f>
        <v>Documentos de lineamientos técnicos</v>
      </c>
      <c r="J68" s="40" t="str">
        <f>IFERROR(__xludf.DUMMYFUNCTION("""COMPUTED_VALUE"""),"Determinar las condiciones de bioecología, aclimatación, nutrición y alimentación, reproducción, larvicultura, alevinaje, engorde, patología, etc. en especies nativas y domesticadas de consumo y ornamentales, marinas y continentales")</f>
        <v>Determinar las condiciones de bioecología, aclimatación, nutrición y alimentación, reproducción, larvicultura, alevinaje, engorde, patología, etc. en especies nativas y domesticadas de consumo y ornamentales, marinas y continentales</v>
      </c>
      <c r="K68" s="42" t="str">
        <f>IFERROR(__xludf.DUMMYFUNCTION("""COMPUTED_VALUE"""),"Gestión del área")</f>
        <v>Gestión del área</v>
      </c>
      <c r="L68" s="42" t="str">
        <f>IFERROR(__xludf.DUMMYFUNCTION("""COMPUTED_VALUE"""),"Eficacia")</f>
        <v>Eficacia</v>
      </c>
      <c r="M68" s="42" t="str">
        <f>IFERROR(__xludf.DUMMYFUNCTION("""COMPUTED_VALUE"""),"Porcentaje")</f>
        <v>Porcentaje</v>
      </c>
      <c r="N68" s="43" t="str">
        <f>IFERROR(__xludf.DUMMYFUNCTION("""COMPUTED_VALUE"""),"Conceptos técnicos atendidos/Conceptos tecnicos solicitados")</f>
        <v>Conceptos técnicos atendidos/Conceptos tecnicos solicitados</v>
      </c>
      <c r="O68" s="44">
        <f>IFERROR(__xludf.DUMMYFUNCTION("""COMPUTED_VALUE"""),1.0)</f>
        <v>1</v>
      </c>
      <c r="P68" s="45">
        <f>IFERROR(__xludf.DUMMYFUNCTION("""COMPUTED_VALUE"""),1.0)</f>
        <v>1</v>
      </c>
      <c r="Q68" s="46" t="str">
        <f>IFERROR(__xludf.DUMMYFUNCTION("""COMPUTED_VALUE"""),"Emitir conceptos técnicos relacionados con la acuicultura, atendidos de acuerdo con las solicitudes recibidas.")</f>
        <v>Emitir conceptos técnicos relacionados con la acuicultura, atendidos de acuerdo con las solicitudes recibidas.</v>
      </c>
      <c r="R68" s="47" t="str">
        <f>IFERROR(__xludf.DUMMYFUNCTION("""COMPUTED_VALUE"""),"Trimestral")</f>
        <v>Trimestral</v>
      </c>
      <c r="S68" s="45">
        <f>IFERROR(__xludf.DUMMYFUNCTION("""COMPUTED_VALUE"""),1.0)</f>
        <v>1</v>
      </c>
      <c r="T68" s="45">
        <f>IFERROR(__xludf.DUMMYFUNCTION("""COMPUTED_VALUE"""),1.0)</f>
        <v>1</v>
      </c>
      <c r="U68" s="45">
        <f>IFERROR(__xludf.DUMMYFUNCTION("""COMPUTED_VALUE"""),1.0)</f>
        <v>1</v>
      </c>
      <c r="V68" s="45">
        <f>IFERROR(__xludf.DUMMYFUNCTION("""COMPUTED_VALUE"""),1.0)</f>
        <v>1</v>
      </c>
      <c r="W68" s="48" t="str">
        <f>IFERROR(__xludf.DUMMYFUNCTION("""COMPUTED_VALUE"""),"Oficina de Generación del Conocimiento y la Información")</f>
        <v>Oficina de Generación del Conocimiento y la Información</v>
      </c>
      <c r="X68" s="49" t="str">
        <f>IFERROR(__xludf.DUMMYFUNCTION("""COMPUTED_VALUE"""),"Maria Angarita Peñaranda")</f>
        <v>Maria Angarita Peñaranda</v>
      </c>
      <c r="Y68" s="39" t="str">
        <f>IFERROR(__xludf.DUMMYFUNCTION("""COMPUTED_VALUE"""),"Jefe Oficina")</f>
        <v>Jefe Oficina</v>
      </c>
      <c r="Z68" s="49" t="str">
        <f>IFERROR(__xludf.DUMMYFUNCTION("""COMPUTED_VALUE"""),"maria.angarita@aunap.gov.co")</f>
        <v>maria.angarita@aunap.gov.co</v>
      </c>
      <c r="AA68" s="39" t="str">
        <f>IFERROR(__xludf.DUMMYFUNCTION("""COMPUTED_VALUE"""),"Humanos, fisicos, financieros y tecnologicos")</f>
        <v>Humanos, fisicos, financieros y tecnologicos</v>
      </c>
      <c r="AB68" s="39" t="str">
        <f>IFERROR(__xludf.DUMMYFUNCTION("""COMPUTED_VALUE"""),"No asociado")</f>
        <v>No asociado</v>
      </c>
      <c r="AC68"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8" s="39" t="str">
        <f>IFERROR(__xludf.DUMMYFUNCTION("""COMPUTED_VALUE"""),"Gestión del conocimiento")</f>
        <v>Gestión del conocimiento</v>
      </c>
      <c r="AE68" s="39" t="str">
        <f>IFERROR(__xludf.DUMMYFUNCTION("""COMPUTED_VALUE"""),"Gestión del Conocimiento y la Innovación")</f>
        <v>Gestión del Conocimiento y la Innovación</v>
      </c>
      <c r="AF68" s="39" t="str">
        <f>IFERROR(__xludf.DUMMYFUNCTION("""COMPUTED_VALUE"""),"12. Producción y consumo responsable")</f>
        <v>12. Producción y consumo responsable</v>
      </c>
      <c r="AG68" s="50">
        <f>IFERROR(__xludf.DUMMYFUNCTION("""COMPUTED_VALUE"""),1.0)</f>
        <v>1</v>
      </c>
      <c r="AH68" s="51" t="str">
        <f>IFERROR(__xludf.DUMMYFUNCTION("""COMPUTED_VALUE"""),"Para este trimestre se solicitaron 7 conceptos tecnicos y se atendieron todos estos 7 conceptos, lo cual se puede evidenciar en el siguiente Link : ")</f>
        <v>Para este trimestre se solicitaron 7 conceptos tecnicos y se atendieron todos estos 7 conceptos, lo cual se puede evidenciar en el siguiente Link : </v>
      </c>
      <c r="AI68" s="72" t="str">
        <f>IFERROR(__xludf.DUMMYFUNCTION("""COMPUTED_VALUE"""),"https://drive.google.com/drive/folders/1Vw6safvew57rjBFKddk1coyr4RPtPGM8?usp=sharing")</f>
        <v>https://drive.google.com/drive/folders/1Vw6safvew57rjBFKddk1coyr4RPtPGM8?usp=sharing</v>
      </c>
      <c r="AJ68" s="52">
        <f>IFERROR(__xludf.DUMMYFUNCTION("""COMPUTED_VALUE"""),44298.0)</f>
        <v>44298</v>
      </c>
      <c r="AK68" s="53" t="str">
        <f>IFERROR(IF((AL68+1)&lt;2,Alertas!$B$2&amp;TEXT(AL68,"0%")&amp;Alertas!$D$2, IF((AL68+1)=2,Alertas!$B$3,IF((AL68+1)&gt;2,Alertas!$B$4&amp;TEXT(AL68,"0%")&amp;Alertas!$D$4,AL68+1))),"Sin meta para el cuarto trimestre")</f>
        <v>La ejecución de la meta registrada se encuentra acorde a la meta programada en la formulación del plan de acción para el cuarto trimestre</v>
      </c>
      <c r="AL68" s="54">
        <f t="shared" si="2"/>
        <v>1</v>
      </c>
      <c r="AM68" s="53" t="str">
        <f t="shared" si="3"/>
        <v>La ejecución de la meta registrada se encuentra acorde a la meta programada en la formulación del plan de acción para el cuarto trimestre.</v>
      </c>
      <c r="AN68" s="55"/>
      <c r="AO68" s="56"/>
      <c r="AP68" s="57"/>
      <c r="AQ68" s="57"/>
      <c r="AR68" s="58"/>
      <c r="AS68" s="59"/>
      <c r="AT68" s="60"/>
      <c r="AU68" s="55"/>
      <c r="AV68" s="56"/>
      <c r="AW68" s="61"/>
      <c r="AX68" s="57"/>
      <c r="AY68" s="62"/>
      <c r="AZ68" s="63"/>
      <c r="BA68" s="64"/>
      <c r="BB68" s="65"/>
      <c r="BC68" s="56"/>
      <c r="BD68" s="61"/>
      <c r="BE68" s="57"/>
      <c r="BF68" s="58"/>
      <c r="BG68" s="63"/>
      <c r="BH68" s="64"/>
      <c r="BI68" s="66"/>
      <c r="BK68" s="21" t="str">
        <f t="shared" si="23"/>
        <v>0</v>
      </c>
      <c r="BM68" s="21"/>
    </row>
    <row r="69" ht="33.75" customHeight="1">
      <c r="A69" s="37"/>
      <c r="B69" s="38">
        <f>IFERROR(__xludf.DUMMYFUNCTION("""COMPUTED_VALUE"""),75.0)</f>
        <v>75</v>
      </c>
      <c r="C69" s="39" t="str">
        <f>IFERROR(__xludf.DUMMYFUNCTION("""COMPUTED_VALUE"""),"Gestión de la información y generación del conocimiento")</f>
        <v>Gestión de la información y generación del conocimiento</v>
      </c>
      <c r="D69" s="40" t="str">
        <f>IFERROR(__xludf.DUMMYFUNCTION("""COMPUTED_VALUE"""),"Oficina de Generación del Conocimiento y la Información")</f>
        <v>Oficina de Generación del Conocimiento y la Información</v>
      </c>
      <c r="E69"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69" s="40">
        <f>IFERROR(__xludf.DUMMYFUNCTION("""COMPUTED_VALUE"""),2.019011000277E12)</f>
        <v>2019011000277</v>
      </c>
      <c r="G69" s="41" t="str">
        <f>IFERROR(__xludf.DUMMYFUNCTION("""COMPUTED_VALUE"""),"Investigación")</f>
        <v>Investigación</v>
      </c>
      <c r="H69" s="40" t="str">
        <f>IFERROR(__xludf.DUMMYFUNCTION("""COMPUTED_VALUE"""),"Aumentar el desarrollo de la acuicultura asociado a la optimización de los procesos productivos.")</f>
        <v>Aumentar el desarrollo de la acuicultura asociado a la optimización de los procesos productivos.</v>
      </c>
      <c r="I69" s="40" t="str">
        <f>IFERROR(__xludf.DUMMYFUNCTION("""COMPUTED_VALUE"""),"Especies animales y vegetales mejoradas")</f>
        <v>Especies animales y vegetales mejoradas</v>
      </c>
      <c r="J69" s="40" t="str">
        <f>IFERROR(__xludf.DUMMYFUNCTION("""COMPUTED_VALUE"""),"Obtener información para el mejoramiento genético de especies nativas con fines de cultivo y repoblamiento y especies exóticas domesticadas con fines de cultivo")</f>
        <v>Obtener información para el mejoramiento genético de especies nativas con fines de cultivo y repoblamiento y especies exóticas domesticadas con fines de cultivo</v>
      </c>
      <c r="K69" s="42" t="str">
        <f>IFERROR(__xludf.DUMMYFUNCTION("""COMPUTED_VALUE"""),"Producto")</f>
        <v>Producto</v>
      </c>
      <c r="L69" s="42" t="str">
        <f>IFERROR(__xludf.DUMMYFUNCTION("""COMPUTED_VALUE"""),"Eficacia")</f>
        <v>Eficacia</v>
      </c>
      <c r="M69" s="42" t="str">
        <f>IFERROR(__xludf.DUMMYFUNCTION("""COMPUTED_VALUE"""),"Número")</f>
        <v>Número</v>
      </c>
      <c r="N69" s="43" t="str">
        <f>IFERROR(__xludf.DUMMYFUNCTION("""COMPUTED_VALUE"""),"Especies trabajadas a nivel genético")</f>
        <v>Especies trabajadas a nivel genético</v>
      </c>
      <c r="O69" s="44">
        <f>IFERROR(__xludf.DUMMYFUNCTION("""COMPUTED_VALUE"""),1.0)</f>
        <v>1</v>
      </c>
      <c r="P69" s="45">
        <f>IFERROR(__xludf.DUMMYFUNCTION("""COMPUTED_VALUE"""),1.0)</f>
        <v>1</v>
      </c>
      <c r="Q69" s="46" t="str">
        <f>IFERROR(__xludf.DUMMYFUNCTION("""COMPUTED_VALUE"""),"Ejecutar investigaciones en especies acuícolas para trabajos a nivel genético desarrollados desde la OGCI")</f>
        <v>Ejecutar investigaciones en especies acuícolas para trabajos a nivel genético desarrollados desde la OGCI</v>
      </c>
      <c r="R69" s="47" t="str">
        <f>IFERROR(__xludf.DUMMYFUNCTION("""COMPUTED_VALUE"""),"Anual")</f>
        <v>Anual</v>
      </c>
      <c r="S69" s="45">
        <f>IFERROR(__xludf.DUMMYFUNCTION("""COMPUTED_VALUE"""),0.0)</f>
        <v>0</v>
      </c>
      <c r="T69" s="45">
        <f>IFERROR(__xludf.DUMMYFUNCTION("""COMPUTED_VALUE"""),0.0)</f>
        <v>0</v>
      </c>
      <c r="U69" s="45">
        <f>IFERROR(__xludf.DUMMYFUNCTION("""COMPUTED_VALUE"""),0.0)</f>
        <v>0</v>
      </c>
      <c r="V69" s="45">
        <f>IFERROR(__xludf.DUMMYFUNCTION("""COMPUTED_VALUE"""),1.0)</f>
        <v>1</v>
      </c>
      <c r="W69" s="48" t="str">
        <f>IFERROR(__xludf.DUMMYFUNCTION("""COMPUTED_VALUE"""),"Oficina de Generación del Conocimiento y la Información")</f>
        <v>Oficina de Generación del Conocimiento y la Información</v>
      </c>
      <c r="X69" s="49" t="str">
        <f>IFERROR(__xludf.DUMMYFUNCTION("""COMPUTED_VALUE"""),"Maria Angarita Peñaranda")</f>
        <v>Maria Angarita Peñaranda</v>
      </c>
      <c r="Y69" s="39" t="str">
        <f>IFERROR(__xludf.DUMMYFUNCTION("""COMPUTED_VALUE"""),"Jefe Oficina")</f>
        <v>Jefe Oficina</v>
      </c>
      <c r="Z69" s="49" t="str">
        <f>IFERROR(__xludf.DUMMYFUNCTION("""COMPUTED_VALUE"""),"maria.angarita@aunap.gov.co")</f>
        <v>maria.angarita@aunap.gov.co</v>
      </c>
      <c r="AA69" s="39" t="str">
        <f>IFERROR(__xludf.DUMMYFUNCTION("""COMPUTED_VALUE"""),"Humanos, fisicos, financieros y tecnologicos")</f>
        <v>Humanos, fisicos, financieros y tecnologicos</v>
      </c>
      <c r="AB69" s="39" t="str">
        <f>IFERROR(__xludf.DUMMYFUNCTION("""COMPUTED_VALUE"""),"No asociado")</f>
        <v>No asociado</v>
      </c>
      <c r="AC69"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69" s="39" t="str">
        <f>IFERROR(__xludf.DUMMYFUNCTION("""COMPUTED_VALUE"""),"Gestión del conocimiento")</f>
        <v>Gestión del conocimiento</v>
      </c>
      <c r="AE69" s="39" t="str">
        <f>IFERROR(__xludf.DUMMYFUNCTION("""COMPUTED_VALUE"""),"Gestión del Conocimiento y la Innovación")</f>
        <v>Gestión del Conocimiento y la Innovación</v>
      </c>
      <c r="AF69" s="39" t="str">
        <f>IFERROR(__xludf.DUMMYFUNCTION("""COMPUTED_VALUE"""),"12. Producción y consumo responsable")</f>
        <v>12. Producción y consumo responsable</v>
      </c>
      <c r="AG69" s="76">
        <f>IFERROR(__xludf.DUMMYFUNCTION("""COMPUTED_VALUE"""),0.0)</f>
        <v>0</v>
      </c>
      <c r="AH69" s="51" t="str">
        <f>IFERROR(__xludf.DUMMYFUNCTION("""COMPUTED_VALUE"""),"El reporte de esta actividad es anual, por ende no se reporta en este trimestre")</f>
        <v>El reporte de esta actividad es anual, por ende no se reporta en este trimestre</v>
      </c>
      <c r="AI69" s="51"/>
      <c r="AJ69" s="52">
        <f>IFERROR(__xludf.DUMMYFUNCTION("""COMPUTED_VALUE"""),44298.0)</f>
        <v>44298</v>
      </c>
      <c r="AK69" s="53" t="str">
        <f>IFERROR(IF((AL69+1)&lt;2,Alertas!$B$2&amp;TEXT(AL69,"0%")&amp;Alertas!$D$2, IF((AL69+1)=2,Alertas!$B$3,IF((AL69+1)&gt;2,Alertas!$B$4&amp;TEXT(AL69,"0%")&amp;Alertas!$D$4,AL69+1))),"Sin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69" s="54">
        <f t="shared" si="2"/>
        <v>0</v>
      </c>
      <c r="AM69"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69" s="55"/>
      <c r="AO69" s="56"/>
      <c r="AP69" s="57"/>
      <c r="AQ69" s="57"/>
      <c r="AR69" s="58"/>
      <c r="AS69" s="59"/>
      <c r="AT69" s="60"/>
      <c r="AU69" s="55"/>
      <c r="AV69" s="56"/>
      <c r="AW69" s="61"/>
      <c r="AX69" s="57"/>
      <c r="AY69" s="62"/>
      <c r="AZ69" s="63"/>
      <c r="BA69" s="64"/>
      <c r="BB69" s="65"/>
      <c r="BC69" s="56"/>
      <c r="BD69" s="61"/>
      <c r="BE69" s="57"/>
      <c r="BF69" s="58"/>
      <c r="BG69" s="63"/>
      <c r="BH69" s="64"/>
      <c r="BI69" s="66"/>
      <c r="BK69" s="21" t="str">
        <f t="shared" si="23"/>
        <v>-1</v>
      </c>
      <c r="BM69" s="21"/>
    </row>
    <row r="70" ht="33.75" customHeight="1">
      <c r="A70" s="37"/>
      <c r="B70" s="38">
        <f>IFERROR(__xludf.DUMMYFUNCTION("""COMPUTED_VALUE"""),76.0)</f>
        <v>76</v>
      </c>
      <c r="C70" s="39" t="str">
        <f>IFERROR(__xludf.DUMMYFUNCTION("""COMPUTED_VALUE"""),"Gestión de la información y generación del conocimiento")</f>
        <v>Gestión de la información y generación del conocimiento</v>
      </c>
      <c r="D70" s="40" t="str">
        <f>IFERROR(__xludf.DUMMYFUNCTION("""COMPUTED_VALUE"""),"Oficina de Generación del Conocimiento y la Información")</f>
        <v>Oficina de Generación del Conocimiento y la Información</v>
      </c>
      <c r="E70"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70" s="40">
        <f>IFERROR(__xludf.DUMMYFUNCTION("""COMPUTED_VALUE"""),2.019011000277E12)</f>
        <v>2019011000277</v>
      </c>
      <c r="G70" s="41" t="str">
        <f>IFERROR(__xludf.DUMMYFUNCTION("""COMPUTED_VALUE"""),"Investigación")</f>
        <v>Investigación</v>
      </c>
      <c r="H70" s="40" t="str">
        <f>IFERROR(__xludf.DUMMYFUNCTION("""COMPUTED_VALUE"""),"Fortalecer la generación de insumos de planificación pesquera y de la acuicultura")</f>
        <v>Fortalecer la generación de insumos de planificación pesquera y de la acuicultura</v>
      </c>
      <c r="I70" s="40" t="str">
        <f>IFERROR(__xludf.DUMMYFUNCTION("""COMPUTED_VALUE"""),"Servicio de análisis de Información para la planificación pesquera y de la acuicultura")</f>
        <v>Servicio de análisis de Información para la planificación pesquera y de la acuicultura</v>
      </c>
      <c r="J70" s="40" t="str">
        <f>IFERROR(__xludf.DUMMYFUNCTION("""COMPUTED_VALUE"""),"Realizar la caracterización socioeconómica de pescadores artesanales, acuicultores continentales y marinos y otros eslabones de la cadena productiva con inclusión de género")</f>
        <v>Realizar la caracterización socioeconómica de pescadores artesanales, acuicultores continentales y marinos y otros eslabones de la cadena productiva con inclusión de género</v>
      </c>
      <c r="K70" s="42" t="str">
        <f>IFERROR(__xludf.DUMMYFUNCTION("""COMPUTED_VALUE"""),"Producto")</f>
        <v>Producto</v>
      </c>
      <c r="L70" s="42" t="str">
        <f>IFERROR(__xludf.DUMMYFUNCTION("""COMPUTED_VALUE"""),"Eficacia")</f>
        <v>Eficacia</v>
      </c>
      <c r="M70" s="42" t="str">
        <f>IFERROR(__xludf.DUMMYFUNCTION("""COMPUTED_VALUE"""),"Número")</f>
        <v>Número</v>
      </c>
      <c r="N70" s="43" t="str">
        <f>IFERROR(__xludf.DUMMYFUNCTION("""COMPUTED_VALUE"""),"Análisis generados")</f>
        <v>Análisis generados</v>
      </c>
      <c r="O70" s="44">
        <f>IFERROR(__xludf.DUMMYFUNCTION("""COMPUTED_VALUE"""),2.0)</f>
        <v>2</v>
      </c>
      <c r="P70" s="45">
        <f>IFERROR(__xludf.DUMMYFUNCTION("""COMPUTED_VALUE"""),2.0)</f>
        <v>2</v>
      </c>
      <c r="Q70" s="46" t="str">
        <f>IFERROR(__xludf.DUMMYFUNCTION("""COMPUTED_VALUE"""),"Elaborar análisis con el uso de herramienta tecnológica ó cartografia, para la recolección, caracterización, almacenamiento, o interpretación de datos e información de recursos pesqueros y  acuicolas, que contribuya a procesos de planificación de estas ac"&amp;"tividades.")</f>
        <v>Elaborar análisis con el uso de herramienta tecnológica ó cartografia, para la recolección, caracterización, almacenamiento, o interpretación de datos e información de recursos pesqueros y  acuicolas, que contribuya a procesos de planificación de estas actividades.</v>
      </c>
      <c r="R70" s="47" t="str">
        <f>IFERROR(__xludf.DUMMYFUNCTION("""COMPUTED_VALUE"""),"Anual")</f>
        <v>Anual</v>
      </c>
      <c r="S70" s="45">
        <f>IFERROR(__xludf.DUMMYFUNCTION("""COMPUTED_VALUE"""),0.0)</f>
        <v>0</v>
      </c>
      <c r="T70" s="45">
        <f>IFERROR(__xludf.DUMMYFUNCTION("""COMPUTED_VALUE"""),0.0)</f>
        <v>0</v>
      </c>
      <c r="U70" s="45">
        <f>IFERROR(__xludf.DUMMYFUNCTION("""COMPUTED_VALUE"""),0.0)</f>
        <v>0</v>
      </c>
      <c r="V70" s="45">
        <f>IFERROR(__xludf.DUMMYFUNCTION("""COMPUTED_VALUE"""),2.0)</f>
        <v>2</v>
      </c>
      <c r="W70" s="48" t="str">
        <f>IFERROR(__xludf.DUMMYFUNCTION("""COMPUTED_VALUE"""),"Oficina de Generación del Conocimiento y la Información")</f>
        <v>Oficina de Generación del Conocimiento y la Información</v>
      </c>
      <c r="X70" s="49" t="str">
        <f>IFERROR(__xludf.DUMMYFUNCTION("""COMPUTED_VALUE"""),"Maria Angarita Peñaranda")</f>
        <v>Maria Angarita Peñaranda</v>
      </c>
      <c r="Y70" s="39" t="str">
        <f>IFERROR(__xludf.DUMMYFUNCTION("""COMPUTED_VALUE"""),"Jefe Oficina")</f>
        <v>Jefe Oficina</v>
      </c>
      <c r="Z70" s="49" t="str">
        <f>IFERROR(__xludf.DUMMYFUNCTION("""COMPUTED_VALUE"""),"maria.angarita@aunap.gov.co")</f>
        <v>maria.angarita@aunap.gov.co</v>
      </c>
      <c r="AA70" s="39" t="str">
        <f>IFERROR(__xludf.DUMMYFUNCTION("""COMPUTED_VALUE"""),"Humanos, fisicos, financieros y tecnologicos")</f>
        <v>Humanos, fisicos, financieros y tecnologicos</v>
      </c>
      <c r="AB70" s="39" t="str">
        <f>IFERROR(__xludf.DUMMYFUNCTION("""COMPUTED_VALUE"""),"No asociado")</f>
        <v>No asociado</v>
      </c>
      <c r="AC70"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70" s="39" t="str">
        <f>IFERROR(__xludf.DUMMYFUNCTION("""COMPUTED_VALUE"""),"Gestión del conocimiento")</f>
        <v>Gestión del conocimiento</v>
      </c>
      <c r="AE70" s="39" t="str">
        <f>IFERROR(__xludf.DUMMYFUNCTION("""COMPUTED_VALUE"""),"Gestión del Conocimiento y la Innovación")</f>
        <v>Gestión del Conocimiento y la Innovación</v>
      </c>
      <c r="AF70" s="39" t="str">
        <f>IFERROR(__xludf.DUMMYFUNCTION("""COMPUTED_VALUE"""),"12. Producción y consumo responsable")</f>
        <v>12. Producción y consumo responsable</v>
      </c>
      <c r="AG70" s="50">
        <f>IFERROR(__xludf.DUMMYFUNCTION("""COMPUTED_VALUE"""),0.0)</f>
        <v>0</v>
      </c>
      <c r="AH70" s="51" t="str">
        <f>IFERROR(__xludf.DUMMYFUNCTION("""COMPUTED_VALUE"""),"El reporte de esta actividad es anual, por ende no se reporta en este trimestre")</f>
        <v>El reporte de esta actividad es anual, por ende no se reporta en este trimestre</v>
      </c>
      <c r="AI70" s="51"/>
      <c r="AJ70" s="52">
        <f>IFERROR(__xludf.DUMMYFUNCTION("""COMPUTED_VALUE"""),44298.0)</f>
        <v>44298</v>
      </c>
      <c r="AK70" s="53" t="str">
        <f>IFERROR(IF((AL70+1)&lt;2,Alertas!$B$2&amp;TEXT(AL70,"0%")&amp;Alertas!$D$2, IF((AL70+1)=2,Alertas!$B$3,IF((AL70+1)&gt;2,Alertas!$B$4&amp;TEXT(AL70,"0%")&amp;Alertas!$D$4,AL70+1))),"Sin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0" s="54">
        <f t="shared" si="2"/>
        <v>0</v>
      </c>
      <c r="AM70"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0" s="55"/>
      <c r="AO70" s="56"/>
      <c r="AP70" s="57"/>
      <c r="AQ70" s="57"/>
      <c r="AR70" s="58"/>
      <c r="AS70" s="59"/>
      <c r="AT70" s="60"/>
      <c r="AU70" s="55"/>
      <c r="AV70" s="56"/>
      <c r="AW70" s="61"/>
      <c r="AX70" s="57"/>
      <c r="AY70" s="62"/>
      <c r="AZ70" s="63"/>
      <c r="BA70" s="64"/>
      <c r="BB70" s="65"/>
      <c r="BC70" s="56"/>
      <c r="BD70" s="61"/>
      <c r="BE70" s="57"/>
      <c r="BF70" s="58"/>
      <c r="BG70" s="63"/>
      <c r="BH70" s="64"/>
      <c r="BI70" s="66"/>
      <c r="BK70" s="21" t="str">
        <f t="shared" si="23"/>
        <v>-1</v>
      </c>
      <c r="BM70" s="21"/>
    </row>
    <row r="71" ht="33.75" customHeight="1">
      <c r="A71" s="37"/>
      <c r="B71" s="38">
        <f>IFERROR(__xludf.DUMMYFUNCTION("""COMPUTED_VALUE"""),77.0)</f>
        <v>77</v>
      </c>
      <c r="C71" s="39" t="str">
        <f>IFERROR(__xludf.DUMMYFUNCTION("""COMPUTED_VALUE"""),"Gestión de la información y generación del conocimiento")</f>
        <v>Gestión de la información y generación del conocimiento</v>
      </c>
      <c r="D71" s="40" t="str">
        <f>IFERROR(__xludf.DUMMYFUNCTION("""COMPUTED_VALUE"""),"Oficina de Generación del Conocimiento y la Información")</f>
        <v>Oficina de Generación del Conocimiento y la Información</v>
      </c>
      <c r="E71"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71" s="40">
        <f>IFERROR(__xludf.DUMMYFUNCTION("""COMPUTED_VALUE"""),2.019011000277E12)</f>
        <v>2019011000277</v>
      </c>
      <c r="G71" s="41" t="str">
        <f>IFERROR(__xludf.DUMMYFUNCTION("""COMPUTED_VALUE"""),"Investigación")</f>
        <v>Investigación</v>
      </c>
      <c r="H71" s="40" t="str">
        <f>IFERROR(__xludf.DUMMYFUNCTION("""COMPUTED_VALUE"""),"Fortalecer la generación de insumos de planificación pesquera y de la acuicultura")</f>
        <v>Fortalecer la generación de insumos de planificación pesquera y de la acuicultura</v>
      </c>
      <c r="I71" s="40" t="str">
        <f>IFERROR(__xludf.DUMMYFUNCTION("""COMPUTED_VALUE"""),"Servicio de análisis de Información para la planificación pesquera y de la acuicultura")</f>
        <v>Servicio de análisis de Información para la planificación pesquera y de la acuicultura</v>
      </c>
      <c r="J71" s="40" t="str">
        <f>IFERROR(__xludf.DUMMYFUNCTION("""COMPUTED_VALUE"""),"Recolectar información de la cadena productiva, relacionada con los procesos de comercialización y mercadeo")</f>
        <v>Recolectar información de la cadena productiva, relacionada con los procesos de comercialización y mercadeo</v>
      </c>
      <c r="K71" s="42" t="str">
        <f>IFERROR(__xludf.DUMMYFUNCTION("""COMPUTED_VALUE"""),"Producto")</f>
        <v>Producto</v>
      </c>
      <c r="L71" s="42" t="str">
        <f>IFERROR(__xludf.DUMMYFUNCTION("""COMPUTED_VALUE"""),"Eficacia")</f>
        <v>Eficacia</v>
      </c>
      <c r="M71" s="42" t="str">
        <f>IFERROR(__xludf.DUMMYFUNCTION("""COMPUTED_VALUE"""),"Número")</f>
        <v>Número</v>
      </c>
      <c r="N71" s="43" t="str">
        <f>IFERROR(__xludf.DUMMYFUNCTION("""COMPUTED_VALUE"""),"Análisis generados")</f>
        <v>Análisis generados</v>
      </c>
      <c r="O71" s="44">
        <f>IFERROR(__xludf.DUMMYFUNCTION("""COMPUTED_VALUE"""),2.0)</f>
        <v>2</v>
      </c>
      <c r="P71" s="45">
        <f>IFERROR(__xludf.DUMMYFUNCTION("""COMPUTED_VALUE"""),2.0)</f>
        <v>2</v>
      </c>
      <c r="Q71" s="46" t="str">
        <f>IFERROR(__xludf.DUMMYFUNCTION("""COMPUTED_VALUE"""),"Elaborar análisis con el uso de herramienta tecnológica ó cartografia, para la recolección, caracterización, almacenamiento, o interpretación de datos e información de recursos pesqueros y  acuicolas, que contribuya a procesos de planificación de estas ac"&amp;"tividades.")</f>
        <v>Elaborar análisis con el uso de herramienta tecnológica ó cartografia, para la recolección, caracterización, almacenamiento, o interpretación de datos e información de recursos pesqueros y  acuicolas, que contribuya a procesos de planificación de estas actividades.</v>
      </c>
      <c r="R71" s="47" t="str">
        <f>IFERROR(__xludf.DUMMYFUNCTION("""COMPUTED_VALUE"""),"Anual")</f>
        <v>Anual</v>
      </c>
      <c r="S71" s="45">
        <f>IFERROR(__xludf.DUMMYFUNCTION("""COMPUTED_VALUE"""),0.0)</f>
        <v>0</v>
      </c>
      <c r="T71" s="45">
        <f>IFERROR(__xludf.DUMMYFUNCTION("""COMPUTED_VALUE"""),0.0)</f>
        <v>0</v>
      </c>
      <c r="U71" s="45">
        <f>IFERROR(__xludf.DUMMYFUNCTION("""COMPUTED_VALUE"""),0.0)</f>
        <v>0</v>
      </c>
      <c r="V71" s="45">
        <f>IFERROR(__xludf.DUMMYFUNCTION("""COMPUTED_VALUE"""),2.0)</f>
        <v>2</v>
      </c>
      <c r="W71" s="48" t="str">
        <f>IFERROR(__xludf.DUMMYFUNCTION("""COMPUTED_VALUE"""),"Oficina de Generación del Conocimiento y la Información")</f>
        <v>Oficina de Generación del Conocimiento y la Información</v>
      </c>
      <c r="X71" s="49" t="str">
        <f>IFERROR(__xludf.DUMMYFUNCTION("""COMPUTED_VALUE"""),"Maria Angarita Peñaranda")</f>
        <v>Maria Angarita Peñaranda</v>
      </c>
      <c r="Y71" s="39" t="str">
        <f>IFERROR(__xludf.DUMMYFUNCTION("""COMPUTED_VALUE"""),"Jefe Oficina")</f>
        <v>Jefe Oficina</v>
      </c>
      <c r="Z71" s="49" t="str">
        <f>IFERROR(__xludf.DUMMYFUNCTION("""COMPUTED_VALUE"""),"maria.angarita@aunap.gov.co")</f>
        <v>maria.angarita@aunap.gov.co</v>
      </c>
      <c r="AA71" s="39" t="str">
        <f>IFERROR(__xludf.DUMMYFUNCTION("""COMPUTED_VALUE"""),"Humanos, fisicos, financieros y tecnologicos")</f>
        <v>Humanos, fisicos, financieros y tecnologicos</v>
      </c>
      <c r="AB71" s="39" t="str">
        <f>IFERROR(__xludf.DUMMYFUNCTION("""COMPUTED_VALUE"""),"No asociado")</f>
        <v>No asociado</v>
      </c>
      <c r="AC71"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71" s="39" t="str">
        <f>IFERROR(__xludf.DUMMYFUNCTION("""COMPUTED_VALUE"""),"Gestión del conocimiento")</f>
        <v>Gestión del conocimiento</v>
      </c>
      <c r="AE71" s="39" t="str">
        <f>IFERROR(__xludf.DUMMYFUNCTION("""COMPUTED_VALUE"""),"Gestión del Conocimiento y la Innovación")</f>
        <v>Gestión del Conocimiento y la Innovación</v>
      </c>
      <c r="AF71" s="39" t="str">
        <f>IFERROR(__xludf.DUMMYFUNCTION("""COMPUTED_VALUE"""),"12. Producción y consumo responsable")</f>
        <v>12. Producción y consumo responsable</v>
      </c>
      <c r="AG71" s="76">
        <f>IFERROR(__xludf.DUMMYFUNCTION("""COMPUTED_VALUE"""),0.0)</f>
        <v>0</v>
      </c>
      <c r="AH71" s="51" t="str">
        <f>IFERROR(__xludf.DUMMYFUNCTION("""COMPUTED_VALUE"""),"El reporte de esta actividad es anual, por ende no se reporta en este trimestre")</f>
        <v>El reporte de esta actividad es anual, por ende no se reporta en este trimestre</v>
      </c>
      <c r="AI71" s="51"/>
      <c r="AJ71" s="52">
        <f>IFERROR(__xludf.DUMMYFUNCTION("""COMPUTED_VALUE"""),44298.0)</f>
        <v>44298</v>
      </c>
      <c r="AK71" s="53" t="str">
        <f>IFERROR(IF((AL71+1)&lt;2,Alertas!$B$2&amp;TEXT(AL71,"0%")&amp;Alertas!$D$2, IF((AL71+1)=2,Alertas!$B$3,IF((AL71+1)&gt;2,Alertas!$B$4&amp;TEXT(AL71,"0%")&amp;Alertas!$D$4,AL71+1))),"Sin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1" s="54">
        <f t="shared" si="2"/>
        <v>0</v>
      </c>
      <c r="AM71"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1" s="55"/>
      <c r="AO71" s="56"/>
      <c r="AP71" s="57"/>
      <c r="AQ71" s="57"/>
      <c r="AR71" s="58"/>
      <c r="AS71" s="59"/>
      <c r="AT71" s="60"/>
      <c r="AU71" s="55"/>
      <c r="AV71" s="56"/>
      <c r="AW71" s="61"/>
      <c r="AX71" s="57"/>
      <c r="AY71" s="62"/>
      <c r="AZ71" s="63"/>
      <c r="BA71" s="64"/>
      <c r="BB71" s="65"/>
      <c r="BC71" s="56"/>
      <c r="BD71" s="61"/>
      <c r="BE71" s="57"/>
      <c r="BF71" s="58"/>
      <c r="BG71" s="63"/>
      <c r="BH71" s="64"/>
      <c r="BI71" s="66"/>
      <c r="BK71" s="21" t="str">
        <f t="shared" si="23"/>
        <v>-1</v>
      </c>
      <c r="BM71" s="21"/>
    </row>
    <row r="72" ht="33.75" customHeight="1">
      <c r="A72" s="37"/>
      <c r="B72" s="38">
        <f>IFERROR(__xludf.DUMMYFUNCTION("""COMPUTED_VALUE"""),78.0)</f>
        <v>78</v>
      </c>
      <c r="C72" s="39" t="str">
        <f>IFERROR(__xludf.DUMMYFUNCTION("""COMPUTED_VALUE"""),"Gestión de la información y generación del conocimiento")</f>
        <v>Gestión de la información y generación del conocimiento</v>
      </c>
      <c r="D72" s="40" t="str">
        <f>IFERROR(__xludf.DUMMYFUNCTION("""COMPUTED_VALUE"""),"Oficina de Generación del Conocimiento y la Información")</f>
        <v>Oficina de Generación del Conocimiento y la Información</v>
      </c>
      <c r="E72"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72" s="40">
        <f>IFERROR(__xludf.DUMMYFUNCTION("""COMPUTED_VALUE"""),2.019011000277E12)</f>
        <v>2019011000277</v>
      </c>
      <c r="G72" s="41" t="str">
        <f>IFERROR(__xludf.DUMMYFUNCTION("""COMPUTED_VALUE"""),"Investigación")</f>
        <v>Investigación</v>
      </c>
      <c r="H72" s="40" t="str">
        <f>IFERROR(__xludf.DUMMYFUNCTION("""COMPUTED_VALUE"""),"Fortalecer la generación de insumos de planificación pesquera y de la acuicultura")</f>
        <v>Fortalecer la generación de insumos de planificación pesquera y de la acuicultura</v>
      </c>
      <c r="I72" s="40" t="str">
        <f>IFERROR(__xludf.DUMMYFUNCTION("""COMPUTED_VALUE"""),"Servicio de análisis de Información para la planificación pesquera y de la acuicultura")</f>
        <v>Servicio de análisis de Información para la planificación pesquera y de la acuicultura</v>
      </c>
      <c r="J72" s="40" t="str">
        <f>IFERROR(__xludf.DUMMYFUNCTION("""COMPUTED_VALUE"""),"Analizar y procesar la información geográfica de la pesca y de la acuicultura")</f>
        <v>Analizar y procesar la información geográfica de la pesca y de la acuicultura</v>
      </c>
      <c r="K72" s="42" t="str">
        <f>IFERROR(__xludf.DUMMYFUNCTION("""COMPUTED_VALUE"""),"Producto")</f>
        <v>Producto</v>
      </c>
      <c r="L72" s="42" t="str">
        <f>IFERROR(__xludf.DUMMYFUNCTION("""COMPUTED_VALUE"""),"Eficacia")</f>
        <v>Eficacia</v>
      </c>
      <c r="M72" s="42" t="str">
        <f>IFERROR(__xludf.DUMMYFUNCTION("""COMPUTED_VALUE"""),"Número")</f>
        <v>Número</v>
      </c>
      <c r="N72" s="43" t="str">
        <f>IFERROR(__xludf.DUMMYFUNCTION("""COMPUTED_VALUE"""),"Análisis generados")</f>
        <v>Análisis generados</v>
      </c>
      <c r="O72" s="44">
        <f>IFERROR(__xludf.DUMMYFUNCTION("""COMPUTED_VALUE"""),2.0)</f>
        <v>2</v>
      </c>
      <c r="P72" s="74">
        <f>IFERROR(__xludf.DUMMYFUNCTION("""COMPUTED_VALUE"""),2.0)</f>
        <v>2</v>
      </c>
      <c r="Q72" s="75" t="str">
        <f>IFERROR(__xludf.DUMMYFUNCTION("""COMPUTED_VALUE"""),"Elaborar análisis con el uso de herramienta tecnológica ó cartografia, para la recolección, caracterización, almacenamiento, o interpretación de datos e información de recursos pesqueros y  acuicolas, que contribuya a procesos de planificación de estas ac"&amp;"tividades.")</f>
        <v>Elaborar análisis con el uso de herramienta tecnológica ó cartografia, para la recolección, caracterización, almacenamiento, o interpretación de datos e información de recursos pesqueros y  acuicolas, que contribuya a procesos de planificación de estas actividades.</v>
      </c>
      <c r="R72" s="75" t="str">
        <f>IFERROR(__xludf.DUMMYFUNCTION("""COMPUTED_VALUE"""),"Anual")</f>
        <v>Anual</v>
      </c>
      <c r="S72" s="74">
        <f>IFERROR(__xludf.DUMMYFUNCTION("""COMPUTED_VALUE"""),0.0)</f>
        <v>0</v>
      </c>
      <c r="T72" s="74">
        <f>IFERROR(__xludf.DUMMYFUNCTION("""COMPUTED_VALUE"""),0.0)</f>
        <v>0</v>
      </c>
      <c r="U72" s="74">
        <f>IFERROR(__xludf.DUMMYFUNCTION("""COMPUTED_VALUE"""),0.0)</f>
        <v>0</v>
      </c>
      <c r="V72" s="74">
        <f>IFERROR(__xludf.DUMMYFUNCTION("""COMPUTED_VALUE"""),2.0)</f>
        <v>2</v>
      </c>
      <c r="W72" s="48" t="str">
        <f>IFERROR(__xludf.DUMMYFUNCTION("""COMPUTED_VALUE"""),"Oficina de Generación del Conocimiento y la Información")</f>
        <v>Oficina de Generación del Conocimiento y la Información</v>
      </c>
      <c r="X72" s="49" t="str">
        <f>IFERROR(__xludf.DUMMYFUNCTION("""COMPUTED_VALUE"""),"Maria Angarita Peñaranda")</f>
        <v>Maria Angarita Peñaranda</v>
      </c>
      <c r="Y72" s="39" t="str">
        <f>IFERROR(__xludf.DUMMYFUNCTION("""COMPUTED_VALUE"""),"Jefe Oficina")</f>
        <v>Jefe Oficina</v>
      </c>
      <c r="Z72" s="49" t="str">
        <f>IFERROR(__xludf.DUMMYFUNCTION("""COMPUTED_VALUE"""),"maria.angarita@aunap.gov.co")</f>
        <v>maria.angarita@aunap.gov.co</v>
      </c>
      <c r="AA72" s="39" t="str">
        <f>IFERROR(__xludf.DUMMYFUNCTION("""COMPUTED_VALUE"""),"Humanos, fisicos, financieros y tecnologicos")</f>
        <v>Humanos, fisicos, financieros y tecnologicos</v>
      </c>
      <c r="AB72" s="39" t="str">
        <f>IFERROR(__xludf.DUMMYFUNCTION("""COMPUTED_VALUE"""),"No asociado")</f>
        <v>No asociado</v>
      </c>
      <c r="AC72"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72" s="39" t="str">
        <f>IFERROR(__xludf.DUMMYFUNCTION("""COMPUTED_VALUE"""),"Gestión del conocimiento")</f>
        <v>Gestión del conocimiento</v>
      </c>
      <c r="AE72" s="39" t="str">
        <f>IFERROR(__xludf.DUMMYFUNCTION("""COMPUTED_VALUE"""),"Gestión del Conocimiento y la Innovación")</f>
        <v>Gestión del Conocimiento y la Innovación</v>
      </c>
      <c r="AF72" s="39" t="str">
        <f>IFERROR(__xludf.DUMMYFUNCTION("""COMPUTED_VALUE"""),"12. Producción y consumo responsable")</f>
        <v>12. Producción y consumo responsable</v>
      </c>
      <c r="AG72" s="50">
        <f>IFERROR(__xludf.DUMMYFUNCTION("""COMPUTED_VALUE"""),0.0)</f>
        <v>0</v>
      </c>
      <c r="AH72" s="51" t="str">
        <f>IFERROR(__xludf.DUMMYFUNCTION("""COMPUTED_VALUE"""),"El reporte de esta actividad es anual, por ende no se reporta en este trimestre")</f>
        <v>El reporte de esta actividad es anual, por ende no se reporta en este trimestre</v>
      </c>
      <c r="AI72" s="51"/>
      <c r="AJ72" s="52">
        <f>IFERROR(__xludf.DUMMYFUNCTION("""COMPUTED_VALUE"""),44298.0)</f>
        <v>44298</v>
      </c>
      <c r="AK72" s="53" t="str">
        <f>IFERROR(IF((AL72+1)&lt;2,Alertas!$B$2&amp;TEXT(AL72,"0%")&amp;Alertas!$D$2, IF((AL72+1)=2,Alertas!$B$3,IF((AL72+1)&gt;2,Alertas!$B$4&amp;TEXT(AL72,"0%")&amp;Alertas!$D$4,AL72+1))),"Sin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2" s="54">
        <f t="shared" si="2"/>
        <v>0</v>
      </c>
      <c r="AM72"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2" s="55"/>
      <c r="AO72" s="56"/>
      <c r="AP72" s="57"/>
      <c r="AQ72" s="57"/>
      <c r="AR72" s="58"/>
      <c r="AS72" s="59"/>
      <c r="AT72" s="60"/>
      <c r="AU72" s="55"/>
      <c r="AV72" s="56"/>
      <c r="AW72" s="61"/>
      <c r="AX72" s="57"/>
      <c r="AY72" s="62"/>
      <c r="AZ72" s="63"/>
      <c r="BA72" s="64"/>
      <c r="BB72" s="65"/>
      <c r="BC72" s="56"/>
      <c r="BD72" s="61"/>
      <c r="BE72" s="57"/>
      <c r="BF72" s="58"/>
      <c r="BG72" s="63"/>
      <c r="BH72" s="64"/>
      <c r="BI72" s="66"/>
      <c r="BK72" s="21" t="str">
        <f t="shared" si="23"/>
        <v>-1</v>
      </c>
      <c r="BM72" s="21"/>
    </row>
    <row r="73" ht="33.75" customHeight="1">
      <c r="A73" s="37"/>
      <c r="B73" s="38">
        <f>IFERROR(__xludf.DUMMYFUNCTION("""COMPUTED_VALUE"""),79.0)</f>
        <v>79</v>
      </c>
      <c r="C73" s="39" t="str">
        <f>IFERROR(__xludf.DUMMYFUNCTION("""COMPUTED_VALUE"""),"Gestión de la información y generación del conocimiento")</f>
        <v>Gestión de la información y generación del conocimiento</v>
      </c>
      <c r="D73" s="40" t="str">
        <f>IFERROR(__xludf.DUMMYFUNCTION("""COMPUTED_VALUE"""),"Oficina de Generación del Conocimiento y la Información")</f>
        <v>Oficina de Generación del Conocimiento y la Información</v>
      </c>
      <c r="E73"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73" s="40">
        <f>IFERROR(__xludf.DUMMYFUNCTION("""COMPUTED_VALUE"""),2.019011000277E12)</f>
        <v>2019011000277</v>
      </c>
      <c r="G73" s="41" t="str">
        <f>IFERROR(__xludf.DUMMYFUNCTION("""COMPUTED_VALUE"""),"Investigación")</f>
        <v>Investigación</v>
      </c>
      <c r="H73"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73" s="40" t="str">
        <f>IFERROR(__xludf.DUMMYFUNCTION("""COMPUTED_VALUE"""),"Documentos de investigación")</f>
        <v>Documentos de investigación</v>
      </c>
      <c r="J73" s="40" t="str">
        <f>IFERROR(__xludf.DUMMYFUNCTION("""COMPUTED_VALUE"""),"Evaluar el estado de aprovechamiento de los recursos pesqueros marinos, continentales y ornamentales en las cuencas hidrográficas del país")</f>
        <v>Evaluar el estado de aprovechamiento de los recursos pesqueros marinos, continentales y ornamentales en las cuencas hidrográficas del país</v>
      </c>
      <c r="K73" s="42" t="str">
        <f>IFERROR(__xludf.DUMMYFUNCTION("""COMPUTED_VALUE"""),"Gestión del área")</f>
        <v>Gestión del área</v>
      </c>
      <c r="L73" s="42" t="str">
        <f>IFERROR(__xludf.DUMMYFUNCTION("""COMPUTED_VALUE"""),"Eficacia")</f>
        <v>Eficacia</v>
      </c>
      <c r="M73" s="42" t="str">
        <f>IFERROR(__xludf.DUMMYFUNCTION("""COMPUTED_VALUE"""),"Numero")</f>
        <v>Numero</v>
      </c>
      <c r="N73" s="43" t="str">
        <f>IFERROR(__xludf.DUMMYFUNCTION("""COMPUTED_VALUE"""),"Eventos de divulgación de resultados")</f>
        <v>Eventos de divulgación de resultados</v>
      </c>
      <c r="O73" s="44">
        <f>IFERROR(__xludf.DUMMYFUNCTION("""COMPUTED_VALUE"""),4.0)</f>
        <v>4</v>
      </c>
      <c r="P73" s="45">
        <f>IFERROR(__xludf.DUMMYFUNCTION("""COMPUTED_VALUE"""),4.0)</f>
        <v>4</v>
      </c>
      <c r="Q73" s="46" t="str">
        <f>IFERROR(__xludf.DUMMYFUNCTION("""COMPUTED_VALUE"""),"Realización de conferencias o conversatorios para la divulgacion de resultados de investigaciones en pesca,  para personal interno de la AUNAP ó para publico externo de la AUNAP")</f>
        <v>Realización de conferencias o conversatorios para la divulgacion de resultados de investigaciones en pesca,  para personal interno de la AUNAP ó para publico externo de la AUNAP</v>
      </c>
      <c r="R73" s="47" t="str">
        <f>IFERROR(__xludf.DUMMYFUNCTION("""COMPUTED_VALUE"""),"Trimestral")</f>
        <v>Trimestral</v>
      </c>
      <c r="S73" s="45">
        <f>IFERROR(__xludf.DUMMYFUNCTION("""COMPUTED_VALUE"""),0.0)</f>
        <v>0</v>
      </c>
      <c r="T73" s="45">
        <f>IFERROR(__xludf.DUMMYFUNCTION("""COMPUTED_VALUE"""),1.0)</f>
        <v>1</v>
      </c>
      <c r="U73" s="45">
        <f>IFERROR(__xludf.DUMMYFUNCTION("""COMPUTED_VALUE"""),2.0)</f>
        <v>2</v>
      </c>
      <c r="V73" s="45">
        <f>IFERROR(__xludf.DUMMYFUNCTION("""COMPUTED_VALUE"""),1.0)</f>
        <v>1</v>
      </c>
      <c r="W73" s="48" t="str">
        <f>IFERROR(__xludf.DUMMYFUNCTION("""COMPUTED_VALUE"""),"Oficina de Generación del Conocimiento y la Información")</f>
        <v>Oficina de Generación del Conocimiento y la Información</v>
      </c>
      <c r="X73" s="49" t="str">
        <f>IFERROR(__xludf.DUMMYFUNCTION("""COMPUTED_VALUE"""),"Maria Angarita Peñaranda")</f>
        <v>Maria Angarita Peñaranda</v>
      </c>
      <c r="Y73" s="39" t="str">
        <f>IFERROR(__xludf.DUMMYFUNCTION("""COMPUTED_VALUE"""),"Jefe Oficina")</f>
        <v>Jefe Oficina</v>
      </c>
      <c r="Z73" s="49" t="str">
        <f>IFERROR(__xludf.DUMMYFUNCTION("""COMPUTED_VALUE"""),"maria.angarita@aunap.gov.co")</f>
        <v>maria.angarita@aunap.gov.co</v>
      </c>
      <c r="AA73" s="39" t="str">
        <f>IFERROR(__xludf.DUMMYFUNCTION("""COMPUTED_VALUE"""),"Humanos, fisicos, financieros y tecnologicos")</f>
        <v>Humanos, fisicos, financieros y tecnologicos</v>
      </c>
      <c r="AB73" s="39" t="str">
        <f>IFERROR(__xludf.DUMMYFUNCTION("""COMPUTED_VALUE"""),"No asociado")</f>
        <v>No asociado</v>
      </c>
      <c r="AC7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73" s="39" t="str">
        <f>IFERROR(__xludf.DUMMYFUNCTION("""COMPUTED_VALUE"""),"Gestión del conocimiento")</f>
        <v>Gestión del conocimiento</v>
      </c>
      <c r="AE73" s="39" t="str">
        <f>IFERROR(__xludf.DUMMYFUNCTION("""COMPUTED_VALUE"""),"Gestión del Conocimiento y la Innovación")</f>
        <v>Gestión del Conocimiento y la Innovación</v>
      </c>
      <c r="AF73" s="39" t="str">
        <f>IFERROR(__xludf.DUMMYFUNCTION("""COMPUTED_VALUE"""),"12. Producción y consumo responsable")</f>
        <v>12. Producción y consumo responsable</v>
      </c>
      <c r="AG73" s="76">
        <f>IFERROR(__xludf.DUMMYFUNCTION("""COMPUTED_VALUE"""),0.0)</f>
        <v>0</v>
      </c>
      <c r="AH73" s="51" t="str">
        <f>IFERROR(__xludf.DUMMYFUNCTION("""COMPUTED_VALUE"""),"Para este trimestre no se reporta ninguna meta")</f>
        <v>Para este trimestre no se reporta ninguna meta</v>
      </c>
      <c r="AI73" s="51"/>
      <c r="AJ73" s="52">
        <f>IFERROR(__xludf.DUMMYFUNCTION("""COMPUTED_VALUE"""),44298.0)</f>
        <v>44298</v>
      </c>
      <c r="AK73" s="53" t="str">
        <f>IFERROR(IF((AL73+1)&lt;2,Alertas!$B$2&amp;TEXT(AL73,"0%")&amp;Alertas!$D$2, IF((AL73+1)=2,Alertas!$B$3,IF((AL73+1)&gt;2,Alertas!$B$4&amp;TEXT(AL73,"0%")&amp;Alertas!$D$4,AL73+1))),"Sin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3" s="54">
        <f t="shared" si="2"/>
        <v>0</v>
      </c>
      <c r="AM73"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3" s="55"/>
      <c r="AO73" s="56"/>
      <c r="AP73" s="57"/>
      <c r="AQ73" s="57"/>
      <c r="AR73" s="58"/>
      <c r="AS73" s="59"/>
      <c r="AT73" s="60"/>
      <c r="AU73" s="55"/>
      <c r="AV73" s="56"/>
      <c r="AW73" s="61"/>
      <c r="AX73" s="57"/>
      <c r="AY73" s="62"/>
      <c r="AZ73" s="63"/>
      <c r="BA73" s="64"/>
      <c r="BB73" s="65"/>
      <c r="BC73" s="56"/>
      <c r="BD73" s="61"/>
      <c r="BE73" s="57"/>
      <c r="BF73" s="58"/>
      <c r="BG73" s="63"/>
      <c r="BH73" s="64"/>
      <c r="BI73" s="66"/>
      <c r="BK73" s="21" t="str">
        <f t="shared" si="23"/>
        <v>-1</v>
      </c>
      <c r="BM73" s="21"/>
    </row>
    <row r="74" ht="33.75" customHeight="1">
      <c r="A74" s="37"/>
      <c r="B74" s="38">
        <f>IFERROR(__xludf.DUMMYFUNCTION("""COMPUTED_VALUE"""),80.0)</f>
        <v>80</v>
      </c>
      <c r="C74" s="39" t="str">
        <f>IFERROR(__xludf.DUMMYFUNCTION("""COMPUTED_VALUE"""),"Gestión de la información y generación del conocimiento")</f>
        <v>Gestión de la información y generación del conocimiento</v>
      </c>
      <c r="D74" s="40" t="str">
        <f>IFERROR(__xludf.DUMMYFUNCTION("""COMPUTED_VALUE"""),"Oficina de Generación del Conocimiento y la Información")</f>
        <v>Oficina de Generación del Conocimiento y la Información</v>
      </c>
      <c r="E74"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74" s="40">
        <f>IFERROR(__xludf.DUMMYFUNCTION("""COMPUTED_VALUE"""),2.019011000277E12)</f>
        <v>2019011000277</v>
      </c>
      <c r="G74" s="41" t="str">
        <f>IFERROR(__xludf.DUMMYFUNCTION("""COMPUTED_VALUE"""),"Investigación")</f>
        <v>Investigación</v>
      </c>
      <c r="H74" s="40" t="str">
        <f>IFERROR(__xludf.DUMMYFUNCTION("""COMPUTED_VALUE"""),"Aumentar el desarrollo de la acuicultura asociado a la optimización de los procesos productivos.")</f>
        <v>Aumentar el desarrollo de la acuicultura asociado a la optimización de los procesos productivos.</v>
      </c>
      <c r="I74" s="40" t="str">
        <f>IFERROR(__xludf.DUMMYFUNCTION("""COMPUTED_VALUE"""),"Documentos de lineamientos técnicos")</f>
        <v>Documentos de lineamientos técnicos</v>
      </c>
      <c r="J74" s="40" t="str">
        <f>IFERROR(__xludf.DUMMYFUNCTION("""COMPUTED_VALUE"""),"Determinar las condiciones de bioecología, aclimatación, nutrición y alimentación, reproducción, larvicultura, alevinaje, engorde, patología, etc. en especies nativas y domesticadas de consumo y ornamentales, marinas y continentales")</f>
        <v>Determinar las condiciones de bioecología, aclimatación, nutrición y alimentación, reproducción, larvicultura, alevinaje, engorde, patología, etc. en especies nativas y domesticadas de consumo y ornamentales, marinas y continentales</v>
      </c>
      <c r="K74" s="42" t="str">
        <f>IFERROR(__xludf.DUMMYFUNCTION("""COMPUTED_VALUE"""),"Gestión del área")</f>
        <v>Gestión del área</v>
      </c>
      <c r="L74" s="42" t="str">
        <f>IFERROR(__xludf.DUMMYFUNCTION("""COMPUTED_VALUE"""),"Eficacia")</f>
        <v>Eficacia</v>
      </c>
      <c r="M74" s="42" t="str">
        <f>IFERROR(__xludf.DUMMYFUNCTION("""COMPUTED_VALUE"""),"Numero")</f>
        <v>Numero</v>
      </c>
      <c r="N74" s="43" t="str">
        <f>IFERROR(__xludf.DUMMYFUNCTION("""COMPUTED_VALUE"""),"Eventos de divulgación de resultados")</f>
        <v>Eventos de divulgación de resultados</v>
      </c>
      <c r="O74" s="44">
        <f>IFERROR(__xludf.DUMMYFUNCTION("""COMPUTED_VALUE"""),4.0)</f>
        <v>4</v>
      </c>
      <c r="P74" s="74">
        <f>IFERROR(__xludf.DUMMYFUNCTION("""COMPUTED_VALUE"""),4.0)</f>
        <v>4</v>
      </c>
      <c r="Q74" s="75" t="str">
        <f>IFERROR(__xludf.DUMMYFUNCTION("""COMPUTED_VALUE"""),"Realización de conferencias o conversatorios para la divulgacion de resultados de investigaciones en acuicultura,  para personal interno de la AUNAP ó para publico externo de la AUNAP")</f>
        <v>Realización de conferencias o conversatorios para la divulgacion de resultados de investigaciones en acuicultura,  para personal interno de la AUNAP ó para publico externo de la AUNAP</v>
      </c>
      <c r="R74" s="75" t="str">
        <f>IFERROR(__xludf.DUMMYFUNCTION("""COMPUTED_VALUE"""),"Trimestral")</f>
        <v>Trimestral</v>
      </c>
      <c r="S74" s="74">
        <f>IFERROR(__xludf.DUMMYFUNCTION("""COMPUTED_VALUE"""),0.0)</f>
        <v>0</v>
      </c>
      <c r="T74" s="74">
        <f>IFERROR(__xludf.DUMMYFUNCTION("""COMPUTED_VALUE"""),1.0)</f>
        <v>1</v>
      </c>
      <c r="U74" s="74">
        <f>IFERROR(__xludf.DUMMYFUNCTION("""COMPUTED_VALUE"""),2.0)</f>
        <v>2</v>
      </c>
      <c r="V74" s="74">
        <f>IFERROR(__xludf.DUMMYFUNCTION("""COMPUTED_VALUE"""),1.0)</f>
        <v>1</v>
      </c>
      <c r="W74" s="48" t="str">
        <f>IFERROR(__xludf.DUMMYFUNCTION("""COMPUTED_VALUE"""),"Oficina de Generación del Conocimiento y la Información")</f>
        <v>Oficina de Generación del Conocimiento y la Información</v>
      </c>
      <c r="X74" s="49" t="str">
        <f>IFERROR(__xludf.DUMMYFUNCTION("""COMPUTED_VALUE"""),"Maria Angarita Peñaranda")</f>
        <v>Maria Angarita Peñaranda</v>
      </c>
      <c r="Y74" s="39" t="str">
        <f>IFERROR(__xludf.DUMMYFUNCTION("""COMPUTED_VALUE"""),"Jefe Oficina")</f>
        <v>Jefe Oficina</v>
      </c>
      <c r="Z74" s="49" t="str">
        <f>IFERROR(__xludf.DUMMYFUNCTION("""COMPUTED_VALUE"""),"maria.angarita@aunap.gov.co")</f>
        <v>maria.angarita@aunap.gov.co</v>
      </c>
      <c r="AA74" s="39" t="str">
        <f>IFERROR(__xludf.DUMMYFUNCTION("""COMPUTED_VALUE"""),"Humanos, fisicos, financieros y tecnologicos")</f>
        <v>Humanos, fisicos, financieros y tecnologicos</v>
      </c>
      <c r="AB74" s="39" t="str">
        <f>IFERROR(__xludf.DUMMYFUNCTION("""COMPUTED_VALUE"""),"No asociado")</f>
        <v>No asociado</v>
      </c>
      <c r="AC7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74" s="39" t="str">
        <f>IFERROR(__xludf.DUMMYFUNCTION("""COMPUTED_VALUE"""),"Gestión del conocimiento")</f>
        <v>Gestión del conocimiento</v>
      </c>
      <c r="AE74" s="39" t="str">
        <f>IFERROR(__xludf.DUMMYFUNCTION("""COMPUTED_VALUE"""),"Gestión del Conocimiento y la Innovación")</f>
        <v>Gestión del Conocimiento y la Innovación</v>
      </c>
      <c r="AF74" s="39" t="str">
        <f>IFERROR(__xludf.DUMMYFUNCTION("""COMPUTED_VALUE"""),"12. Producción y consumo responsable")</f>
        <v>12. Producción y consumo responsable</v>
      </c>
      <c r="AG74" s="76">
        <f>IFERROR(__xludf.DUMMYFUNCTION("""COMPUTED_VALUE"""),0.0)</f>
        <v>0</v>
      </c>
      <c r="AH74" s="51" t="str">
        <f>IFERROR(__xludf.DUMMYFUNCTION("""COMPUTED_VALUE"""),"Para este trimestre no se reporta ninguna meta")</f>
        <v>Para este trimestre no se reporta ninguna meta</v>
      </c>
      <c r="AI74" s="51"/>
      <c r="AJ74" s="52">
        <f>IFERROR(__xludf.DUMMYFUNCTION("""COMPUTED_VALUE"""),44298.0)</f>
        <v>44298</v>
      </c>
      <c r="AK74" s="53" t="str">
        <f>IFERROR(IF((AL74+1)&lt;2,Alertas!$B$2&amp;TEXT(AL74,"0%")&amp;Alertas!$D$2, IF((AL74+1)=2,Alertas!$B$3,IF((AL74+1)&gt;2,Alertas!$B$4&amp;TEXT(AL74,"0%")&amp;Alertas!$D$4,AL74+1))),"Sin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4" s="54">
        <f t="shared" si="2"/>
        <v>0</v>
      </c>
      <c r="AM74"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4" s="55"/>
      <c r="AO74" s="56"/>
      <c r="AP74" s="57"/>
      <c r="AQ74" s="57"/>
      <c r="AR74" s="58"/>
      <c r="AS74" s="59"/>
      <c r="AT74" s="60"/>
      <c r="AU74" s="55"/>
      <c r="AV74" s="56"/>
      <c r="AW74" s="61"/>
      <c r="AX74" s="57"/>
      <c r="AY74" s="62"/>
      <c r="AZ74" s="63"/>
      <c r="BA74" s="64"/>
      <c r="BB74" s="65"/>
      <c r="BC74" s="56"/>
      <c r="BD74" s="61"/>
      <c r="BE74" s="57"/>
      <c r="BF74" s="58"/>
      <c r="BG74" s="63"/>
      <c r="BH74" s="64"/>
      <c r="BI74" s="66"/>
      <c r="BK74" s="21" t="str">
        <f t="shared" si="23"/>
        <v>-1</v>
      </c>
      <c r="BM74" s="21"/>
    </row>
    <row r="75" ht="33.75" customHeight="1">
      <c r="A75" s="37"/>
      <c r="B75" s="38">
        <f>IFERROR(__xludf.DUMMYFUNCTION("""COMPUTED_VALUE"""),25.0)</f>
        <v>25</v>
      </c>
      <c r="C75" s="39" t="str">
        <f>IFERROR(__xludf.DUMMYFUNCTION("""COMPUTED_VALUE"""),"Direccionamiento estratégico")</f>
        <v>Direccionamiento estratégico</v>
      </c>
      <c r="D75" s="40" t="str">
        <f>IFERROR(__xludf.DUMMYFUNCTION("""COMPUTED_VALUE"""),"Planeación")</f>
        <v>Planeación</v>
      </c>
      <c r="E75" s="40" t="str">
        <f>IFERROR(__xludf.DUMMYFUNCTION("""COMPUTED_VALUE"""),"Fortalecimiento de la capacidad de gestión de la autoridad nacional de acuicultura y pesca - aunap nacional")</f>
        <v>Fortalecimiento de la capacidad de gestión de la autoridad nacional de acuicultura y pesca - aunap nacional</v>
      </c>
      <c r="F75" s="40">
        <f>IFERROR(__xludf.DUMMYFUNCTION("""COMPUTED_VALUE"""),2.018011000241E12)</f>
        <v>2018011000241</v>
      </c>
      <c r="G75" s="41" t="str">
        <f>IFERROR(__xludf.DUMMYFUNCTION("""COMPUTED_VALUE"""),"Fortalecimiento")</f>
        <v>Fortalecimiento</v>
      </c>
      <c r="H75" s="40" t="str">
        <f>IFERROR(__xludf.DUMMYFUNCTION("""COMPUTED_VALUE"""),"Fortalecer los sistemas de gestión de la Entidad")</f>
        <v>Fortalecer los sistemas de gestión de la Entidad</v>
      </c>
      <c r="I75" s="40" t="str">
        <f>IFERROR(__xludf.DUMMYFUNCTION("""COMPUTED_VALUE"""),"Servicio de Implementación Sistemas de Gestión")</f>
        <v>Servicio de Implementación Sistemas de Gestión</v>
      </c>
      <c r="J75"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75" s="42" t="str">
        <f>IFERROR(__xludf.DUMMYFUNCTION("""COMPUTED_VALUE"""),"Gestión del área")</f>
        <v>Gestión del área</v>
      </c>
      <c r="L75" s="42" t="str">
        <f>IFERROR(__xludf.DUMMYFUNCTION("""COMPUTED_VALUE"""),"Eficiencia")</f>
        <v>Eficiencia</v>
      </c>
      <c r="M75" s="42" t="str">
        <f>IFERROR(__xludf.DUMMYFUNCTION("""COMPUTED_VALUE"""),"Número")</f>
        <v>Número</v>
      </c>
      <c r="N75" s="43" t="str">
        <f>IFERROR(__xludf.DUMMYFUNCTION("""COMPUTED_VALUE"""),"Número de planes de acción elaborado y publicado/Número de planes de acción programados para elaboración y publicación.")</f>
        <v>Número de planes de acción elaborado y publicado/Número de planes de acción programados para elaboración y publicación.</v>
      </c>
      <c r="O75" s="79"/>
      <c r="P75" s="45">
        <f>IFERROR(__xludf.DUMMYFUNCTION("""COMPUTED_VALUE"""),1.0)</f>
        <v>1</v>
      </c>
      <c r="Q75" s="46" t="str">
        <f>IFERROR(__xludf.DUMMYFUNCTION("""COMPUTED_VALUE"""),"Elaborar conjuntamente con la áreas y publicar el Plan de Acción de la AUNAP")</f>
        <v>Elaborar conjuntamente con la áreas y publicar el Plan de Acción de la AUNAP</v>
      </c>
      <c r="R75" s="47" t="str">
        <f>IFERROR(__xludf.DUMMYFUNCTION("""COMPUTED_VALUE"""),"Anual")</f>
        <v>Anual</v>
      </c>
      <c r="S75" s="45">
        <f>IFERROR(__xludf.DUMMYFUNCTION("""COMPUTED_VALUE"""),1.0)</f>
        <v>1</v>
      </c>
      <c r="T75" s="45">
        <f>IFERROR(__xludf.DUMMYFUNCTION("""COMPUTED_VALUE"""),0.0)</f>
        <v>0</v>
      </c>
      <c r="U75" s="45">
        <f>IFERROR(__xludf.DUMMYFUNCTION("""COMPUTED_VALUE"""),0.0)</f>
        <v>0</v>
      </c>
      <c r="V75" s="45">
        <f>IFERROR(__xludf.DUMMYFUNCTION("""COMPUTED_VALUE"""),0.0)</f>
        <v>0</v>
      </c>
      <c r="W75" s="48" t="str">
        <f>IFERROR(__xludf.DUMMYFUNCTION("""COMPUTED_VALUE"""),"Planeación")</f>
        <v>Planeación</v>
      </c>
      <c r="X75" s="49" t="str">
        <f>IFERROR(__xludf.DUMMYFUNCTION("""COMPUTED_VALUE"""),"Ulver Triviño Hermida")</f>
        <v>Ulver Triviño Hermida</v>
      </c>
      <c r="Y75" s="39" t="str">
        <f>IFERROR(__xludf.DUMMYFUNCTION("""COMPUTED_VALUE"""),"Profesional Especializado con Funciones de Planeación")</f>
        <v>Profesional Especializado con Funciones de Planeación</v>
      </c>
      <c r="Z75" s="49" t="str">
        <f>IFERROR(__xludf.DUMMYFUNCTION("""COMPUTED_VALUE"""),"ulver.trivino@aunap.gov.co")</f>
        <v>ulver.trivino@aunap.gov.co</v>
      </c>
      <c r="AA75" s="39" t="str">
        <f>IFERROR(__xludf.DUMMYFUNCTION("""COMPUTED_VALUE"""),"Talento Humano")</f>
        <v>Talento Humano</v>
      </c>
      <c r="AB75" s="39" t="str">
        <f>IFERROR(__xludf.DUMMYFUNCTION("""COMPUTED_VALUE"""),"No asociado")</f>
        <v>No asociado</v>
      </c>
      <c r="AC75" s="39" t="str">
        <f>IFERROR(__xludf.DUMMYFUNCTION("""COMPUTED_VALUE"""),"Propiciar la formalización de la pesca y la acuicultura")</f>
        <v>Propiciar la formalización de la pesca y la acuicultura</v>
      </c>
      <c r="AD75" s="39" t="str">
        <f>IFERROR(__xludf.DUMMYFUNCTION("""COMPUTED_VALUE"""),"Direccionamiento Estratégico")</f>
        <v>Direccionamiento Estratégico</v>
      </c>
      <c r="AE75" s="39" t="str">
        <f>IFERROR(__xludf.DUMMYFUNCTION("""COMPUTED_VALUE"""),"Planeación Institucional")</f>
        <v>Planeación Institucional</v>
      </c>
      <c r="AF75" s="39" t="str">
        <f>IFERROR(__xludf.DUMMYFUNCTION("""COMPUTED_VALUE"""),"16. Paz, justicia e instituciones sólidas")</f>
        <v>16. Paz, justicia e instituciones sólidas</v>
      </c>
      <c r="AG75" s="76">
        <f>IFERROR(__xludf.DUMMYFUNCTION("""COMPUTED_VALUE"""),1.0)</f>
        <v>1</v>
      </c>
      <c r="AH75" s="51" t="str">
        <f>IFERROR(__xludf.DUMMYFUNCTION("""COMPUTED_VALUE"""),"Se realizo la elaboración y publicación del Plan de Acción de la AUNAP")</f>
        <v>Se realizo la elaboración y publicación del Plan de Acción de la AUNAP</v>
      </c>
      <c r="AI75" s="72" t="str">
        <f>IFERROR(__xludf.DUMMYFUNCTION("""COMPUTED_VALUE"""),"https://www.aunap.gov.co/index.php/direccion-general/planeacion")</f>
        <v>https://www.aunap.gov.co/index.php/direccion-general/planeacion</v>
      </c>
      <c r="AJ75" s="52">
        <f>IFERROR(__xludf.DUMMYFUNCTION("""COMPUTED_VALUE"""),44298.0)</f>
        <v>44298</v>
      </c>
      <c r="AK75" s="53" t="str">
        <f>IFERROR(IF((AL75+1)&lt;2,Alertas!$B$2&amp;TEXT(AL75,"0%")&amp;Alertas!$D$2, IF((AL75+1)=2,Alertas!$B$3,IF((AL75+1)&gt;2,Alertas!$B$4&amp;TEXT(AL75,"0%")&amp;Alertas!$D$4,AL75+1))),"Sin meta para el cuarto trimestre")</f>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L75" s="54">
        <f t="shared" si="2"/>
        <v>2</v>
      </c>
      <c r="AM75" s="53" t="str">
        <f t="shared" si="3"/>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N75" s="55"/>
      <c r="AO75" s="56"/>
      <c r="AP75" s="57"/>
      <c r="AQ75" s="57"/>
      <c r="AR75" s="58"/>
      <c r="AS75" s="59"/>
      <c r="AT75" s="60"/>
      <c r="AU75" s="55"/>
      <c r="AV75" s="56"/>
      <c r="AW75" s="61"/>
      <c r="AX75" s="57"/>
      <c r="AY75" s="62"/>
      <c r="AZ75" s="63"/>
      <c r="BA75" s="64"/>
      <c r="BB75" s="65"/>
      <c r="BC75" s="56"/>
      <c r="BD75" s="61"/>
      <c r="BE75" s="57"/>
      <c r="BF75" s="58"/>
      <c r="BG75" s="63"/>
      <c r="BH75" s="64"/>
      <c r="BI75" s="66"/>
      <c r="BK75" s="21" t="str">
        <f t="shared" si="23"/>
        <v>1</v>
      </c>
      <c r="BM75" s="21"/>
    </row>
    <row r="76" ht="33.75" customHeight="1">
      <c r="A76" s="37"/>
      <c r="B76" s="38">
        <f>IFERROR(__xludf.DUMMYFUNCTION("""COMPUTED_VALUE"""),26.0)</f>
        <v>26</v>
      </c>
      <c r="C76" s="39" t="str">
        <f>IFERROR(__xludf.DUMMYFUNCTION("""COMPUTED_VALUE"""),"Direccionamiento estratégico")</f>
        <v>Direccionamiento estratégico</v>
      </c>
      <c r="D76" s="40" t="str">
        <f>IFERROR(__xludf.DUMMYFUNCTION("""COMPUTED_VALUE"""),"Planeación")</f>
        <v>Planeación</v>
      </c>
      <c r="E76" s="40" t="str">
        <f>IFERROR(__xludf.DUMMYFUNCTION("""COMPUTED_VALUE"""),"Fortalecimiento de la capacidad de gestión de la autoridad nacional de acuicultura y pesca - aunap nacional")</f>
        <v>Fortalecimiento de la capacidad de gestión de la autoridad nacional de acuicultura y pesca - aunap nacional</v>
      </c>
      <c r="F76" s="40">
        <f>IFERROR(__xludf.DUMMYFUNCTION("""COMPUTED_VALUE"""),2.018011000241E12)</f>
        <v>2018011000241</v>
      </c>
      <c r="G76" s="41" t="str">
        <f>IFERROR(__xludf.DUMMYFUNCTION("""COMPUTED_VALUE"""),"Fortalecimiento")</f>
        <v>Fortalecimiento</v>
      </c>
      <c r="H76" s="40" t="str">
        <f>IFERROR(__xludf.DUMMYFUNCTION("""COMPUTED_VALUE"""),"Fortalecer los sistemas de gestión de la Entidad")</f>
        <v>Fortalecer los sistemas de gestión de la Entidad</v>
      </c>
      <c r="I76" s="40" t="str">
        <f>IFERROR(__xludf.DUMMYFUNCTION("""COMPUTED_VALUE"""),"Servicio de Implementación Sistemas de Gestión")</f>
        <v>Servicio de Implementación Sistemas de Gestión</v>
      </c>
      <c r="J76"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76" s="42" t="str">
        <f>IFERROR(__xludf.DUMMYFUNCTION("""COMPUTED_VALUE"""),"Gestión del área")</f>
        <v>Gestión del área</v>
      </c>
      <c r="L76" s="42" t="str">
        <f>IFERROR(__xludf.DUMMYFUNCTION("""COMPUTED_VALUE"""),"Eficiencia")</f>
        <v>Eficiencia</v>
      </c>
      <c r="M76" s="42" t="str">
        <f>IFERROR(__xludf.DUMMYFUNCTION("""COMPUTED_VALUE"""),"Número")</f>
        <v>Número</v>
      </c>
      <c r="N76" s="43" t="str">
        <f>IFERROR(__xludf.DUMMYFUNCTION("""COMPUTED_VALUE"""),"Número de Plan de Acción del Plan Anticorrupción y Atención a la Ciudadanía - PAAC  elaborados y publicados/Número de planes de Plan de Acción del Plan Anticorrupción y Atención a la Ciudadanía - PAAC programados para elaboración y publicación.")</f>
        <v>Número de Plan de Acción del Plan Anticorrupción y Atención a la Ciudadanía - PAAC  elaborados y publicados/Número de planes de Plan de Acción del Plan Anticorrupción y Atención a la Ciudadanía - PAAC programados para elaboración y publicación.</v>
      </c>
      <c r="O76" s="44"/>
      <c r="P76" s="45">
        <f>IFERROR(__xludf.DUMMYFUNCTION("""COMPUTED_VALUE"""),1.0)</f>
        <v>1</v>
      </c>
      <c r="Q76" s="46" t="str">
        <f>IFERROR(__xludf.DUMMYFUNCTION("""COMPUTED_VALUE"""),"Elaborar conjuntamente con las áreas y publicar el Plan de Acción del Plan Anticorrupción y Atención a la Ciudadanía - PAAC")</f>
        <v>Elaborar conjuntamente con las áreas y publicar el Plan de Acción del Plan Anticorrupción y Atención a la Ciudadanía - PAAC</v>
      </c>
      <c r="R76" s="47" t="str">
        <f>IFERROR(__xludf.DUMMYFUNCTION("""COMPUTED_VALUE"""),"Anual")</f>
        <v>Anual</v>
      </c>
      <c r="S76" s="45">
        <f>IFERROR(__xludf.DUMMYFUNCTION("""COMPUTED_VALUE"""),1.0)</f>
        <v>1</v>
      </c>
      <c r="T76" s="45">
        <f>IFERROR(__xludf.DUMMYFUNCTION("""COMPUTED_VALUE"""),0.0)</f>
        <v>0</v>
      </c>
      <c r="U76" s="45">
        <f>IFERROR(__xludf.DUMMYFUNCTION("""COMPUTED_VALUE"""),0.0)</f>
        <v>0</v>
      </c>
      <c r="V76" s="45">
        <f>IFERROR(__xludf.DUMMYFUNCTION("""COMPUTED_VALUE"""),0.0)</f>
        <v>0</v>
      </c>
      <c r="W76" s="48" t="str">
        <f>IFERROR(__xludf.DUMMYFUNCTION("""COMPUTED_VALUE"""),"Planeación")</f>
        <v>Planeación</v>
      </c>
      <c r="X76" s="49" t="str">
        <f>IFERROR(__xludf.DUMMYFUNCTION("""COMPUTED_VALUE"""),"Ulver Triviño Hermida")</f>
        <v>Ulver Triviño Hermida</v>
      </c>
      <c r="Y76" s="39" t="str">
        <f>IFERROR(__xludf.DUMMYFUNCTION("""COMPUTED_VALUE"""),"Profesional Especializado con Funciones de Planeación")</f>
        <v>Profesional Especializado con Funciones de Planeación</v>
      </c>
      <c r="Z76" s="49" t="str">
        <f>IFERROR(__xludf.DUMMYFUNCTION("""COMPUTED_VALUE"""),"ulver.trivino@aunap.gov.co")</f>
        <v>ulver.trivino@aunap.gov.co</v>
      </c>
      <c r="AA76" s="39" t="str">
        <f>IFERROR(__xludf.DUMMYFUNCTION("""COMPUTED_VALUE"""),"Talento Humano")</f>
        <v>Talento Humano</v>
      </c>
      <c r="AB76" s="39" t="str">
        <f>IFERROR(__xludf.DUMMYFUNCTION("""COMPUTED_VALUE"""),"Plan Anticorrupción y de Atención al Ciudadano - PAAC")</f>
        <v>Plan Anticorrupción y de Atención al Ciudadano - PAAC</v>
      </c>
      <c r="AC76" s="39" t="str">
        <f>IFERROR(__xludf.DUMMYFUNCTION("""COMPUTED_VALUE"""),"Propiciar la formalización de la pesca y la acuicultura")</f>
        <v>Propiciar la formalización de la pesca y la acuicultura</v>
      </c>
      <c r="AD76" s="39" t="str">
        <f>IFERROR(__xludf.DUMMYFUNCTION("""COMPUTED_VALUE"""),"Direccionamiento Estratégico")</f>
        <v>Direccionamiento Estratégico</v>
      </c>
      <c r="AE76" s="39" t="str">
        <f>IFERROR(__xludf.DUMMYFUNCTION("""COMPUTED_VALUE"""),"Planeación Institucional")</f>
        <v>Planeación Institucional</v>
      </c>
      <c r="AF76" s="39" t="str">
        <f>IFERROR(__xludf.DUMMYFUNCTION("""COMPUTED_VALUE"""),"16. Paz, justicia e instituciones sólidas")</f>
        <v>16. Paz, justicia e instituciones sólidas</v>
      </c>
      <c r="AG76" s="76">
        <f>IFERROR(__xludf.DUMMYFUNCTION("""COMPUTED_VALUE"""),1.0)</f>
        <v>1</v>
      </c>
      <c r="AH76" s="51" t="str">
        <f>IFERROR(__xludf.DUMMYFUNCTION("""COMPUTED_VALUE"""),"Se realizo la elaboración y publicación del Plan Anticorrupción y Atención a la Ciudadanía - PAAC")</f>
        <v>Se realizo la elaboración y publicación del Plan Anticorrupción y Atención a la Ciudadanía - PAAC</v>
      </c>
      <c r="AI76" s="77" t="str">
        <f>IFERROR(__xludf.DUMMYFUNCTION("""COMPUTED_VALUE"""),"https://www.aunap.gov.co/index.php/direccion-general/planeacion")</f>
        <v>https://www.aunap.gov.co/index.php/direccion-general/planeacion</v>
      </c>
      <c r="AJ76" s="52">
        <f>IFERROR(__xludf.DUMMYFUNCTION("""COMPUTED_VALUE"""),44298.0)</f>
        <v>44298</v>
      </c>
      <c r="AK76" s="53" t="str">
        <f>IFERROR(IF((AL76+1)&lt;2,Alertas!$B$2&amp;TEXT(AL76,"0%")&amp;Alertas!$D$2, IF((AL76+1)=2,Alertas!$B$3,IF((AL76+1)&gt;2,Alertas!$B$4&amp;TEXT(AL76,"0%")&amp;Alertas!$D$4,AL76+1))),"Sin meta para el cuarto trimestre")</f>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L76" s="54">
        <f t="shared" si="2"/>
        <v>2</v>
      </c>
      <c r="AM76" s="53" t="str">
        <f t="shared" si="3"/>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N76" s="55"/>
      <c r="AO76" s="56"/>
      <c r="AP76" s="57"/>
      <c r="AQ76" s="57"/>
      <c r="AR76" s="58"/>
      <c r="AS76" s="59"/>
      <c r="AT76" s="60"/>
      <c r="AU76" s="55"/>
      <c r="AV76" s="56"/>
      <c r="AW76" s="61"/>
      <c r="AX76" s="57"/>
      <c r="AY76" s="62"/>
      <c r="AZ76" s="63"/>
      <c r="BA76" s="64"/>
      <c r="BB76" s="65"/>
      <c r="BC76" s="56"/>
      <c r="BD76" s="61"/>
      <c r="BE76" s="57"/>
      <c r="BF76" s="58"/>
      <c r="BG76" s="63"/>
      <c r="BH76" s="64"/>
      <c r="BI76" s="66"/>
      <c r="BK76" s="21" t="str">
        <f t="shared" si="23"/>
        <v>1</v>
      </c>
      <c r="BM76" s="21"/>
    </row>
    <row r="77" ht="33.75" customHeight="1">
      <c r="A77" s="37"/>
      <c r="B77" s="38">
        <f>IFERROR(__xludf.DUMMYFUNCTION("""COMPUTED_VALUE"""),27.0)</f>
        <v>27</v>
      </c>
      <c r="C77" s="39" t="str">
        <f>IFERROR(__xludf.DUMMYFUNCTION("""COMPUTED_VALUE"""),"Direccionamiento estratégico")</f>
        <v>Direccionamiento estratégico</v>
      </c>
      <c r="D77" s="40" t="str">
        <f>IFERROR(__xludf.DUMMYFUNCTION("""COMPUTED_VALUE"""),"Planeación")</f>
        <v>Planeación</v>
      </c>
      <c r="E77" s="40" t="str">
        <f>IFERROR(__xludf.DUMMYFUNCTION("""COMPUTED_VALUE"""),"Fortalecimiento de la capacidad de gestión de la autoridad nacional de acuicultura y pesca - aunap nacional")</f>
        <v>Fortalecimiento de la capacidad de gestión de la autoridad nacional de acuicultura y pesca - aunap nacional</v>
      </c>
      <c r="F77" s="40">
        <f>IFERROR(__xludf.DUMMYFUNCTION("""COMPUTED_VALUE"""),2.018011000241E12)</f>
        <v>2018011000241</v>
      </c>
      <c r="G77" s="41" t="str">
        <f>IFERROR(__xludf.DUMMYFUNCTION("""COMPUTED_VALUE"""),"Fortalecimiento")</f>
        <v>Fortalecimiento</v>
      </c>
      <c r="H77" s="40" t="str">
        <f>IFERROR(__xludf.DUMMYFUNCTION("""COMPUTED_VALUE"""),"Fortalecer los sistemas de gestión de la Entidad")</f>
        <v>Fortalecer los sistemas de gestión de la Entidad</v>
      </c>
      <c r="I77" s="40" t="str">
        <f>IFERROR(__xludf.DUMMYFUNCTION("""COMPUTED_VALUE"""),"Servicio de Implementación Sistemas de Gestión")</f>
        <v>Servicio de Implementación Sistemas de Gestión</v>
      </c>
      <c r="J77"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77" s="42" t="str">
        <f>IFERROR(__xludf.DUMMYFUNCTION("""COMPUTED_VALUE"""),"Gestión del área")</f>
        <v>Gestión del área</v>
      </c>
      <c r="L77" s="42" t="str">
        <f>IFERROR(__xludf.DUMMYFUNCTION("""COMPUTED_VALUE"""),"Eficiencia")</f>
        <v>Eficiencia</v>
      </c>
      <c r="M77" s="42" t="str">
        <f>IFERROR(__xludf.DUMMYFUNCTION("""COMPUTED_VALUE"""),"Número")</f>
        <v>Número</v>
      </c>
      <c r="N77" s="43" t="str">
        <f>IFERROR(__xludf.DUMMYFUNCTION("""COMPUTED_VALUE"""),"Número de informes realizados y publicados/Número de informes programados.")</f>
        <v>Número de informes realizados y publicados/Número de informes programados.</v>
      </c>
      <c r="O77" s="44"/>
      <c r="P77" s="45">
        <f>IFERROR(__xludf.DUMMYFUNCTION("""COMPUTED_VALUE"""),4.0)</f>
        <v>4</v>
      </c>
      <c r="Q77" s="46" t="str">
        <f>IFERROR(__xludf.DUMMYFUNCTION("""COMPUTED_VALUE"""),"Realizar  y publicar cuatro (4) análisis de la gestión de: Plan de Acción, Plan Anticorrupción y Atención a la Ciudadanía - PAAC y Gestión de riesgos dirigido a los líderes de procesos.")</f>
        <v>Realizar  y publicar cuatro (4) análisis de la gestión de: Plan de Acción, Plan Anticorrupción y Atención a la Ciudadanía - PAAC y Gestión de riesgos dirigido a los líderes de procesos.</v>
      </c>
      <c r="R77" s="47" t="str">
        <f>IFERROR(__xludf.DUMMYFUNCTION("""COMPUTED_VALUE"""),"Trimestral")</f>
        <v>Trimestral</v>
      </c>
      <c r="S77" s="45">
        <f>IFERROR(__xludf.DUMMYFUNCTION("""COMPUTED_VALUE"""),1.0)</f>
        <v>1</v>
      </c>
      <c r="T77" s="45">
        <f>IFERROR(__xludf.DUMMYFUNCTION("""COMPUTED_VALUE"""),1.0)</f>
        <v>1</v>
      </c>
      <c r="U77" s="45">
        <f>IFERROR(__xludf.DUMMYFUNCTION("""COMPUTED_VALUE"""),1.0)</f>
        <v>1</v>
      </c>
      <c r="V77" s="45">
        <f>IFERROR(__xludf.DUMMYFUNCTION("""COMPUTED_VALUE"""),1.0)</f>
        <v>1</v>
      </c>
      <c r="W77" s="48" t="str">
        <f>IFERROR(__xludf.DUMMYFUNCTION("""COMPUTED_VALUE"""),"Planeación")</f>
        <v>Planeación</v>
      </c>
      <c r="X77" s="49" t="str">
        <f>IFERROR(__xludf.DUMMYFUNCTION("""COMPUTED_VALUE"""),"Ulver Triviño Hermida")</f>
        <v>Ulver Triviño Hermida</v>
      </c>
      <c r="Y77" s="39" t="str">
        <f>IFERROR(__xludf.DUMMYFUNCTION("""COMPUTED_VALUE"""),"Profesional Especializado con Funciones de Planeación")</f>
        <v>Profesional Especializado con Funciones de Planeación</v>
      </c>
      <c r="Z77" s="49" t="str">
        <f>IFERROR(__xludf.DUMMYFUNCTION("""COMPUTED_VALUE"""),"ulver.trivino@aunap.gov.co")</f>
        <v>ulver.trivino@aunap.gov.co</v>
      </c>
      <c r="AA77" s="39" t="str">
        <f>IFERROR(__xludf.DUMMYFUNCTION("""COMPUTED_VALUE"""),"Talento Humano")</f>
        <v>Talento Humano</v>
      </c>
      <c r="AB77" s="39" t="str">
        <f>IFERROR(__xludf.DUMMYFUNCTION("""COMPUTED_VALUE"""),"No asociado")</f>
        <v>No asociado</v>
      </c>
      <c r="AC77" s="39" t="str">
        <f>IFERROR(__xludf.DUMMYFUNCTION("""COMPUTED_VALUE"""),"Propiciar la formalización de la pesca y la acuicultura")</f>
        <v>Propiciar la formalización de la pesca y la acuicultura</v>
      </c>
      <c r="AD77" s="39" t="str">
        <f>IFERROR(__xludf.DUMMYFUNCTION("""COMPUTED_VALUE"""),"Evaluación de Resultados")</f>
        <v>Evaluación de Resultados</v>
      </c>
      <c r="AE77" s="39" t="str">
        <f>IFERROR(__xludf.DUMMYFUNCTION("""COMPUTED_VALUE"""),"Seguimiento y evaluación del desempeño institucional")</f>
        <v>Seguimiento y evaluación del desempeño institucional</v>
      </c>
      <c r="AF77" s="39" t="str">
        <f>IFERROR(__xludf.DUMMYFUNCTION("""COMPUTED_VALUE"""),"16. Paz, justicia e instituciones sólidas")</f>
        <v>16. Paz, justicia e instituciones sólidas</v>
      </c>
      <c r="AG77" s="76">
        <f>IFERROR(__xludf.DUMMYFUNCTION("""COMPUTED_VALUE"""),1.0)</f>
        <v>1</v>
      </c>
      <c r="AH77" s="51" t="str">
        <f>IFERROR(__xludf.DUMMYFUNCTION("""COMPUTED_VALUE"""),"Se realizo y Publico el análisis de la gestión de: Plan de Acción y Gestión de riesgos dirigido a los líderes de procesos.")</f>
        <v>Se realizo y Publico el análisis de la gestión de: Plan de Acción y Gestión de riesgos dirigido a los líderes de procesos.</v>
      </c>
      <c r="AI77" s="77" t="str">
        <f>IFERROR(__xludf.DUMMYFUNCTION("""COMPUTED_VALUE"""),"https://docs.google.com/spreadsheets/d/1-XzNK4aE4gTcVJgK8Z33yOMgMTv12bp9OzNnvYJj_D0/edit#gid=1942166271")</f>
        <v>https://docs.google.com/spreadsheets/d/1-XzNK4aE4gTcVJgK8Z33yOMgMTv12bp9OzNnvYJj_D0/edit#gid=1942166271</v>
      </c>
      <c r="AJ77" s="52">
        <f>IFERROR(__xludf.DUMMYFUNCTION("""COMPUTED_VALUE"""),44298.0)</f>
        <v>44298</v>
      </c>
      <c r="AK77" s="53" t="str">
        <f>IFERROR(IF((AL77+1)&lt;2,Alertas!$B$2&amp;TEXT(AL77,"0%")&amp;Alertas!$D$2, IF((AL77+1)=2,Alertas!$B$3,IF((AL77+1)&gt;2,Alertas!$B$4&amp;TEXT(AL77,"0%")&amp;Alertas!$D$4,AL77+1))),"Sin meta para el cuarto trimestre")</f>
        <v>La ejecución de la meta registrada se encuentra acorde a la meta programada en la formulación del plan de acción para el cuarto trimestre</v>
      </c>
      <c r="AL77" s="54">
        <f t="shared" si="2"/>
        <v>1</v>
      </c>
      <c r="AM77" s="53" t="str">
        <f t="shared" si="3"/>
        <v>La ejecución de la meta registrada se encuentra acorde a la meta programada en la formulación del plan de acción para el cuarto trimestre.</v>
      </c>
      <c r="AN77" s="55"/>
      <c r="AO77" s="56"/>
      <c r="AP77" s="57"/>
      <c r="AQ77" s="57"/>
      <c r="AR77" s="58"/>
      <c r="AS77" s="59"/>
      <c r="AT77" s="60"/>
      <c r="AU77" s="55"/>
      <c r="AV77" s="56"/>
      <c r="AW77" s="61"/>
      <c r="AX77" s="57"/>
      <c r="AY77" s="62"/>
      <c r="AZ77" s="63"/>
      <c r="BA77" s="64"/>
      <c r="BB77" s="65"/>
      <c r="BC77" s="56"/>
      <c r="BD77" s="61"/>
      <c r="BE77" s="57"/>
      <c r="BF77" s="58"/>
      <c r="BG77" s="63"/>
      <c r="BH77" s="64"/>
      <c r="BI77" s="66"/>
      <c r="BK77" s="21" t="str">
        <f t="shared" si="23"/>
        <v>0</v>
      </c>
      <c r="BM77" s="21"/>
    </row>
    <row r="78" ht="33.75" customHeight="1">
      <c r="A78" s="37"/>
      <c r="B78" s="38">
        <f>IFERROR(__xludf.DUMMYFUNCTION("""COMPUTED_VALUE"""),28.0)</f>
        <v>28</v>
      </c>
      <c r="C78" s="39" t="str">
        <f>IFERROR(__xludf.DUMMYFUNCTION("""COMPUTED_VALUE"""),"Direccionamiento estratégico")</f>
        <v>Direccionamiento estratégico</v>
      </c>
      <c r="D78" s="40" t="str">
        <f>IFERROR(__xludf.DUMMYFUNCTION("""COMPUTED_VALUE"""),"Planeación")</f>
        <v>Planeación</v>
      </c>
      <c r="E78" s="40" t="str">
        <f>IFERROR(__xludf.DUMMYFUNCTION("""COMPUTED_VALUE"""),"Fortalecimiento de la capacidad de gestión de la autoridad nacional de acuicultura y pesca - aunap nacional")</f>
        <v>Fortalecimiento de la capacidad de gestión de la autoridad nacional de acuicultura y pesca - aunap nacional</v>
      </c>
      <c r="F78" s="40">
        <f>IFERROR(__xludf.DUMMYFUNCTION("""COMPUTED_VALUE"""),2.018011000241E12)</f>
        <v>2018011000241</v>
      </c>
      <c r="G78" s="41" t="str">
        <f>IFERROR(__xludf.DUMMYFUNCTION("""COMPUTED_VALUE"""),"Fortalecimiento")</f>
        <v>Fortalecimiento</v>
      </c>
      <c r="H78" s="40" t="str">
        <f>IFERROR(__xludf.DUMMYFUNCTION("""COMPUTED_VALUE"""),"Fortalecer los sistemas de gestión de la Entidad")</f>
        <v>Fortalecer los sistemas de gestión de la Entidad</v>
      </c>
      <c r="I78" s="40" t="str">
        <f>IFERROR(__xludf.DUMMYFUNCTION("""COMPUTED_VALUE"""),"Servicio de Implementación Sistemas de Gestión")</f>
        <v>Servicio de Implementación Sistemas de Gestión</v>
      </c>
      <c r="J78"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78" s="42" t="str">
        <f>IFERROR(__xludf.DUMMYFUNCTION("""COMPUTED_VALUE"""),"Gestión del área")</f>
        <v>Gestión del área</v>
      </c>
      <c r="L78" s="42" t="str">
        <f>IFERROR(__xludf.DUMMYFUNCTION("""COMPUTED_VALUE"""),"Eficiencia")</f>
        <v>Eficiencia</v>
      </c>
      <c r="M78" s="42" t="str">
        <f>IFERROR(__xludf.DUMMYFUNCTION("""COMPUTED_VALUE"""),"Porcentaje")</f>
        <v>Porcentaje</v>
      </c>
      <c r="N78" s="43" t="str">
        <f>IFERROR(__xludf.DUMMYFUNCTION("""COMPUTED_VALUE"""),"Número de solicitudes atendidas/número de solicitudes recibidas.")</f>
        <v>Número de solicitudes atendidas/número de solicitudes recibidas.</v>
      </c>
      <c r="O78" s="44"/>
      <c r="P78" s="45">
        <f>IFERROR(__xludf.DUMMYFUNCTION("""COMPUTED_VALUE"""),1.0)</f>
        <v>1</v>
      </c>
      <c r="Q78" s="46" t="str">
        <f>IFERROR(__xludf.DUMMYFUNCTION("""COMPUTED_VALUE"""),"Dar respuesta al 100% de las solicitudes de creación, modificación o eliminacion de documentos SIG que llegan al Profesional Especializado con Funciones de planeación en horario y dias laborales.")</f>
        <v>Dar respuesta al 100% de las solicitudes de creación, modificación o eliminacion de documentos SIG que llegan al Profesional Especializado con Funciones de planeación en horario y dias laborales.</v>
      </c>
      <c r="R78" s="47" t="str">
        <f>IFERROR(__xludf.DUMMYFUNCTION("""COMPUTED_VALUE"""),"Anual")</f>
        <v>Anual</v>
      </c>
      <c r="S78" s="45">
        <f>IFERROR(__xludf.DUMMYFUNCTION("""COMPUTED_VALUE"""),0.0)</f>
        <v>0</v>
      </c>
      <c r="T78" s="45">
        <f>IFERROR(__xludf.DUMMYFUNCTION("""COMPUTED_VALUE"""),0.0)</f>
        <v>0</v>
      </c>
      <c r="U78" s="45">
        <f>IFERROR(__xludf.DUMMYFUNCTION("""COMPUTED_VALUE"""),0.0)</f>
        <v>0</v>
      </c>
      <c r="V78" s="45">
        <f>IFERROR(__xludf.DUMMYFUNCTION("""COMPUTED_VALUE"""),1.0)</f>
        <v>1</v>
      </c>
      <c r="W78" s="48" t="str">
        <f>IFERROR(__xludf.DUMMYFUNCTION("""COMPUTED_VALUE"""),"Planeación")</f>
        <v>Planeación</v>
      </c>
      <c r="X78" s="49" t="str">
        <f>IFERROR(__xludf.DUMMYFUNCTION("""COMPUTED_VALUE"""),"Ulver Triviño Hermida")</f>
        <v>Ulver Triviño Hermida</v>
      </c>
      <c r="Y78" s="39" t="str">
        <f>IFERROR(__xludf.DUMMYFUNCTION("""COMPUTED_VALUE"""),"Profesional Especializado con Funciones de Planeación")</f>
        <v>Profesional Especializado con Funciones de Planeación</v>
      </c>
      <c r="Z78" s="49" t="str">
        <f>IFERROR(__xludf.DUMMYFUNCTION("""COMPUTED_VALUE"""),"ulver.trivino@aunap.gov.co")</f>
        <v>ulver.trivino@aunap.gov.co</v>
      </c>
      <c r="AA78" s="39" t="str">
        <f>IFERROR(__xludf.DUMMYFUNCTION("""COMPUTED_VALUE"""),"Talento Humano")</f>
        <v>Talento Humano</v>
      </c>
      <c r="AB78" s="39" t="str">
        <f>IFERROR(__xludf.DUMMYFUNCTION("""COMPUTED_VALUE"""),"No asociado")</f>
        <v>No asociado</v>
      </c>
      <c r="AC78" s="39" t="str">
        <f>IFERROR(__xludf.DUMMYFUNCTION("""COMPUTED_VALUE"""),"Propiciar la formalización de la pesca y la acuicultura")</f>
        <v>Propiciar la formalización de la pesca y la acuicultura</v>
      </c>
      <c r="AD78" s="39" t="str">
        <f>IFERROR(__xludf.DUMMYFUNCTION("""COMPUTED_VALUE"""),"Direccionamiento Estratégico")</f>
        <v>Direccionamiento Estratégico</v>
      </c>
      <c r="AE78" s="39" t="str">
        <f>IFERROR(__xludf.DUMMYFUNCTION("""COMPUTED_VALUE"""),"Planeación Institucional")</f>
        <v>Planeación Institucional</v>
      </c>
      <c r="AF78" s="39" t="str">
        <f>IFERROR(__xludf.DUMMYFUNCTION("""COMPUTED_VALUE"""),"16. Paz, justicia e instituciones sólidas")</f>
        <v>16. Paz, justicia e instituciones sólidas</v>
      </c>
      <c r="AG78" s="50">
        <f>IFERROR(__xludf.DUMMYFUNCTION("""COMPUTED_VALUE"""),0.0)</f>
        <v>0</v>
      </c>
      <c r="AH78" s="51" t="str">
        <f>IFERROR(__xludf.DUMMYFUNCTION("""COMPUTED_VALUE"""),"Se han atendido las solicitudes de creación, modificación o eliminacion de documentos SIG, sin embargo, la medición de esta acción se realiza de manera Anual.")</f>
        <v>Se han atendido las solicitudes de creación, modificación o eliminacion de documentos SIG, sin embargo, la medición de esta acción se realiza de manera Anual.</v>
      </c>
      <c r="AI78" s="51" t="str">
        <f>IFERROR(__xludf.DUMMYFUNCTION("""COMPUTED_VALUE"""),"N/A")</f>
        <v>N/A</v>
      </c>
      <c r="AJ78" s="52">
        <f>IFERROR(__xludf.DUMMYFUNCTION("""COMPUTED_VALUE"""),44298.0)</f>
        <v>44298</v>
      </c>
      <c r="AK78" s="53" t="str">
        <f>IFERROR(IF((AL78+1)&lt;2,Alertas!$B$2&amp;TEXT(AL78,"0%")&amp;Alertas!$D$2, IF((AL78+1)=2,Alertas!$B$3,IF((AL78+1)&gt;2,Alertas!$B$4&amp;TEXT(AL78,"0%")&amp;Alertas!$D$4,AL78+1))),"Sin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8" s="54">
        <f t="shared" si="2"/>
        <v>0</v>
      </c>
      <c r="AM78"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8" s="55"/>
      <c r="AO78" s="56"/>
      <c r="AP78" s="57"/>
      <c r="AQ78" s="57"/>
      <c r="AR78" s="58"/>
      <c r="AS78" s="59"/>
      <c r="AT78" s="60"/>
      <c r="AU78" s="55"/>
      <c r="AV78" s="56"/>
      <c r="AW78" s="61"/>
      <c r="AX78" s="57"/>
      <c r="AY78" s="62"/>
      <c r="AZ78" s="63"/>
      <c r="BA78" s="64"/>
      <c r="BB78" s="65"/>
      <c r="BC78" s="56"/>
      <c r="BD78" s="61"/>
      <c r="BE78" s="57"/>
      <c r="BF78" s="58"/>
      <c r="BG78" s="63"/>
      <c r="BH78" s="64"/>
      <c r="BI78" s="66"/>
      <c r="BK78" s="21" t="str">
        <f t="shared" si="23"/>
        <v>-1</v>
      </c>
      <c r="BM78" s="21"/>
    </row>
    <row r="79" ht="33.75" customHeight="1">
      <c r="A79" s="37"/>
      <c r="B79" s="38">
        <f>IFERROR(__xludf.DUMMYFUNCTION("""COMPUTED_VALUE"""),29.0)</f>
        <v>29</v>
      </c>
      <c r="C79" s="39" t="str">
        <f>IFERROR(__xludf.DUMMYFUNCTION("""COMPUTED_VALUE"""),"Direccionamiento estratégico")</f>
        <v>Direccionamiento estratégico</v>
      </c>
      <c r="D79" s="40" t="str">
        <f>IFERROR(__xludf.DUMMYFUNCTION("""COMPUTED_VALUE"""),"Planeación")</f>
        <v>Planeación</v>
      </c>
      <c r="E79" s="40" t="str">
        <f>IFERROR(__xludf.DUMMYFUNCTION("""COMPUTED_VALUE"""),"Fortalecimiento de la capacidad de gestión de la autoridad nacional de acuicultura y pesca - aunap nacional")</f>
        <v>Fortalecimiento de la capacidad de gestión de la autoridad nacional de acuicultura y pesca - aunap nacional</v>
      </c>
      <c r="F79" s="40">
        <f>IFERROR(__xludf.DUMMYFUNCTION("""COMPUTED_VALUE"""),2.018011000241E12)</f>
        <v>2018011000241</v>
      </c>
      <c r="G79" s="41" t="str">
        <f>IFERROR(__xludf.DUMMYFUNCTION("""COMPUTED_VALUE"""),"Fortalecimiento")</f>
        <v>Fortalecimiento</v>
      </c>
      <c r="H79" s="40" t="str">
        <f>IFERROR(__xludf.DUMMYFUNCTION("""COMPUTED_VALUE"""),"Fortalecer los sistemas de gestión de la Entidad")</f>
        <v>Fortalecer los sistemas de gestión de la Entidad</v>
      </c>
      <c r="I79" s="40" t="str">
        <f>IFERROR(__xludf.DUMMYFUNCTION("""COMPUTED_VALUE"""),"Servicio de Implementación Sistemas de Gestión")</f>
        <v>Servicio de Implementación Sistemas de Gestión</v>
      </c>
      <c r="J79"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79" s="42" t="str">
        <f>IFERROR(__xludf.DUMMYFUNCTION("""COMPUTED_VALUE"""),"Gestión del área")</f>
        <v>Gestión del área</v>
      </c>
      <c r="L79" s="42" t="str">
        <f>IFERROR(__xludf.DUMMYFUNCTION("""COMPUTED_VALUE"""),"Eficiencia")</f>
        <v>Eficiencia</v>
      </c>
      <c r="M79" s="42" t="str">
        <f>IFERROR(__xludf.DUMMYFUNCTION("""COMPUTED_VALUE"""),"Número")</f>
        <v>Número</v>
      </c>
      <c r="N79" s="43" t="str">
        <f>IFERROR(__xludf.DUMMYFUNCTION("""COMPUTED_VALUE"""),"Número de talleres realizados en regionales/Número de talleres programados en regionales")</f>
        <v>Número de talleres realizados en regionales/Número de talleres programados en regionales</v>
      </c>
      <c r="O79" s="44"/>
      <c r="P79" s="45">
        <f>IFERROR(__xludf.DUMMYFUNCTION("""COMPUTED_VALUE"""),5.0)</f>
        <v>5</v>
      </c>
      <c r="Q79" s="46" t="str">
        <f>IFERROR(__xludf.DUMMYFUNCTION("""COMPUTED_VALUE"""),"Realizar cinco (5) talleres de manera presencial o virtual en temas de Planeación dirigido a las Direcciones Regionales.")</f>
        <v>Realizar cinco (5) talleres de manera presencial o virtual en temas de Planeación dirigido a las Direcciones Regionales.</v>
      </c>
      <c r="R79" s="47" t="str">
        <f>IFERROR(__xludf.DUMMYFUNCTION("""COMPUTED_VALUE"""),"Trimestral")</f>
        <v>Trimestral</v>
      </c>
      <c r="S79" s="45">
        <f>IFERROR(__xludf.DUMMYFUNCTION("""COMPUTED_VALUE"""),1.0)</f>
        <v>1</v>
      </c>
      <c r="T79" s="45">
        <f>IFERROR(__xludf.DUMMYFUNCTION("""COMPUTED_VALUE"""),1.0)</f>
        <v>1</v>
      </c>
      <c r="U79" s="45">
        <f>IFERROR(__xludf.DUMMYFUNCTION("""COMPUTED_VALUE"""),2.0)</f>
        <v>2</v>
      </c>
      <c r="V79" s="45">
        <f>IFERROR(__xludf.DUMMYFUNCTION("""COMPUTED_VALUE"""),1.0)</f>
        <v>1</v>
      </c>
      <c r="W79" s="48" t="str">
        <f>IFERROR(__xludf.DUMMYFUNCTION("""COMPUTED_VALUE"""),"Planeación")</f>
        <v>Planeación</v>
      </c>
      <c r="X79" s="49" t="str">
        <f>IFERROR(__xludf.DUMMYFUNCTION("""COMPUTED_VALUE"""),"Ulver Triviño Hermida")</f>
        <v>Ulver Triviño Hermida</v>
      </c>
      <c r="Y79" s="39" t="str">
        <f>IFERROR(__xludf.DUMMYFUNCTION("""COMPUTED_VALUE"""),"Profesional Especializado con Funciones de Planeación")</f>
        <v>Profesional Especializado con Funciones de Planeación</v>
      </c>
      <c r="Z79" s="49" t="str">
        <f>IFERROR(__xludf.DUMMYFUNCTION("""COMPUTED_VALUE"""),"ulver.trivino@aunap.gov.co")</f>
        <v>ulver.trivino@aunap.gov.co</v>
      </c>
      <c r="AA79" s="39" t="str">
        <f>IFERROR(__xludf.DUMMYFUNCTION("""COMPUTED_VALUE"""),"Talento Humano")</f>
        <v>Talento Humano</v>
      </c>
      <c r="AB79" s="39" t="str">
        <f>IFERROR(__xludf.DUMMYFUNCTION("""COMPUTED_VALUE"""),"No asociado")</f>
        <v>No asociado</v>
      </c>
      <c r="AC79" s="39" t="str">
        <f>IFERROR(__xludf.DUMMYFUNCTION("""COMPUTED_VALUE"""),"Propiciar la formalización de la pesca y la acuicultura")</f>
        <v>Propiciar la formalización de la pesca y la acuicultura</v>
      </c>
      <c r="AD79" s="39" t="str">
        <f>IFERROR(__xludf.DUMMYFUNCTION("""COMPUTED_VALUE"""),"Direccionamiento Estratégico")</f>
        <v>Direccionamiento Estratégico</v>
      </c>
      <c r="AE79" s="39" t="str">
        <f>IFERROR(__xludf.DUMMYFUNCTION("""COMPUTED_VALUE"""),"Planeación Institucional")</f>
        <v>Planeación Institucional</v>
      </c>
      <c r="AF79" s="39" t="str">
        <f>IFERROR(__xludf.DUMMYFUNCTION("""COMPUTED_VALUE"""),"16. Paz, justicia e instituciones sólidas")</f>
        <v>16. Paz, justicia e instituciones sólidas</v>
      </c>
      <c r="AG79" s="76">
        <f>IFERROR(__xludf.DUMMYFUNCTION("""COMPUTED_VALUE"""),0.0)</f>
        <v>0</v>
      </c>
      <c r="AH79" s="51" t="str">
        <f>IFERROR(__xludf.DUMMYFUNCTION("""COMPUTED_VALUE"""),"Durante el periodo de seguimiento no se realizo ninguna capacitación en temas de Planeación dirigida a las Direcciones Regionales, teniendo en cuenta los cambios de funcionario que se han realizado en el área de planeación.")</f>
        <v>Durante el periodo de seguimiento no se realizo ninguna capacitación en temas de Planeación dirigida a las Direcciones Regionales, teniendo en cuenta los cambios de funcionario que se han realizado en el área de planeación.</v>
      </c>
      <c r="AI79" s="51" t="str">
        <f>IFERROR(__xludf.DUMMYFUNCTION("""COMPUTED_VALUE"""),"N/A")</f>
        <v>N/A</v>
      </c>
      <c r="AJ79" s="52">
        <f>IFERROR(__xludf.DUMMYFUNCTION("""COMPUTED_VALUE"""),44298.0)</f>
        <v>44298</v>
      </c>
      <c r="AK79" s="53" t="str">
        <f>IFERROR(IF((AL79+1)&lt;2,Alertas!$B$2&amp;TEXT(AL79,"0%")&amp;Alertas!$D$2, IF((AL79+1)=2,Alertas!$B$3,IF((AL79+1)&gt;2,Alertas!$B$4&amp;TEXT(AL79,"0%")&amp;Alertas!$D$4,AL79+1))),"Sin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79" s="54">
        <f t="shared" si="2"/>
        <v>0</v>
      </c>
      <c r="AM79"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79" s="55"/>
      <c r="AO79" s="56"/>
      <c r="AP79" s="57"/>
      <c r="AQ79" s="57"/>
      <c r="AR79" s="58"/>
      <c r="AS79" s="59"/>
      <c r="AT79" s="60"/>
      <c r="AU79" s="55"/>
      <c r="AV79" s="56"/>
      <c r="AW79" s="61"/>
      <c r="AX79" s="57"/>
      <c r="AY79" s="62"/>
      <c r="AZ79" s="63"/>
      <c r="BA79" s="64"/>
      <c r="BB79" s="65"/>
      <c r="BC79" s="56"/>
      <c r="BD79" s="61"/>
      <c r="BE79" s="57"/>
      <c r="BF79" s="58"/>
      <c r="BG79" s="63"/>
      <c r="BH79" s="64"/>
      <c r="BI79" s="66"/>
      <c r="BK79" s="21" t="str">
        <f t="shared" si="23"/>
        <v>-1</v>
      </c>
      <c r="BM79" s="21"/>
    </row>
    <row r="80" ht="33.75" customHeight="1">
      <c r="A80" s="37"/>
      <c r="B80" s="38">
        <f>IFERROR(__xludf.DUMMYFUNCTION("""COMPUTED_VALUE"""),30.0)</f>
        <v>30</v>
      </c>
      <c r="C80" s="39" t="str">
        <f>IFERROR(__xludf.DUMMYFUNCTION("""COMPUTED_VALUE"""),"Direccionamiento estratégico")</f>
        <v>Direccionamiento estratégico</v>
      </c>
      <c r="D80" s="40" t="str">
        <f>IFERROR(__xludf.DUMMYFUNCTION("""COMPUTED_VALUE"""),"Planeación")</f>
        <v>Planeación</v>
      </c>
      <c r="E80" s="40" t="str">
        <f>IFERROR(__xludf.DUMMYFUNCTION("""COMPUTED_VALUE"""),"Fortalecimiento de la capacidad de gestión de la autoridad nacional de acuicultura y pesca - aunap nacional")</f>
        <v>Fortalecimiento de la capacidad de gestión de la autoridad nacional de acuicultura y pesca - aunap nacional</v>
      </c>
      <c r="F80" s="40">
        <f>IFERROR(__xludf.DUMMYFUNCTION("""COMPUTED_VALUE"""),2.018011000241E12)</f>
        <v>2018011000241</v>
      </c>
      <c r="G80" s="41" t="str">
        <f>IFERROR(__xludf.DUMMYFUNCTION("""COMPUTED_VALUE"""),"Fortalecimiento")</f>
        <v>Fortalecimiento</v>
      </c>
      <c r="H80" s="40" t="str">
        <f>IFERROR(__xludf.DUMMYFUNCTION("""COMPUTED_VALUE"""),"Fortalecer los sistemas de gestión de la Entidad")</f>
        <v>Fortalecer los sistemas de gestión de la Entidad</v>
      </c>
      <c r="I80" s="40" t="str">
        <f>IFERROR(__xludf.DUMMYFUNCTION("""COMPUTED_VALUE"""),"Servicio de Implementación Sistemas de Gestión")</f>
        <v>Servicio de Implementación Sistemas de Gestión</v>
      </c>
      <c r="J80"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80" s="42" t="str">
        <f>IFERROR(__xludf.DUMMYFUNCTION("""COMPUTED_VALUE"""),"Gestión del área")</f>
        <v>Gestión del área</v>
      </c>
      <c r="L80" s="42" t="str">
        <f>IFERROR(__xludf.DUMMYFUNCTION("""COMPUTED_VALUE"""),"Eficiencia")</f>
        <v>Eficiencia</v>
      </c>
      <c r="M80" s="42" t="str">
        <f>IFERROR(__xludf.DUMMYFUNCTION("""COMPUTED_VALUE"""),"Número")</f>
        <v>Número</v>
      </c>
      <c r="N80" s="43" t="str">
        <f>IFERROR(__xludf.DUMMYFUNCTION("""COMPUTED_VALUE"""),"Número de talleres realizados en nivel central/Número de talleres programados en nivel central")</f>
        <v>Número de talleres realizados en nivel central/Número de talleres programados en nivel central</v>
      </c>
      <c r="O80" s="44"/>
      <c r="P80" s="45">
        <f>IFERROR(__xludf.DUMMYFUNCTION("""COMPUTED_VALUE"""),5.0)</f>
        <v>5</v>
      </c>
      <c r="Q80" s="46" t="str">
        <f>IFERROR(__xludf.DUMMYFUNCTION("""COMPUTED_VALUE"""),"Realizar cinco (5) talleres de manera presencial o virtual, dirigidos a funcionarios y contratistas en temas de Planeación de Nivel Central")</f>
        <v>Realizar cinco (5) talleres de manera presencial o virtual, dirigidos a funcionarios y contratistas en temas de Planeación de Nivel Central</v>
      </c>
      <c r="R80" s="47" t="str">
        <f>IFERROR(__xludf.DUMMYFUNCTION("""COMPUTED_VALUE"""),"Trimestral")</f>
        <v>Trimestral</v>
      </c>
      <c r="S80" s="45">
        <f>IFERROR(__xludf.DUMMYFUNCTION("""COMPUTED_VALUE"""),0.0)</f>
        <v>0</v>
      </c>
      <c r="T80" s="45">
        <f>IFERROR(__xludf.DUMMYFUNCTION("""COMPUTED_VALUE"""),1.0)</f>
        <v>1</v>
      </c>
      <c r="U80" s="45">
        <f>IFERROR(__xludf.DUMMYFUNCTION("""COMPUTED_VALUE"""),2.0)</f>
        <v>2</v>
      </c>
      <c r="V80" s="45">
        <f>IFERROR(__xludf.DUMMYFUNCTION("""COMPUTED_VALUE"""),2.0)</f>
        <v>2</v>
      </c>
      <c r="W80" s="48" t="str">
        <f>IFERROR(__xludf.DUMMYFUNCTION("""COMPUTED_VALUE"""),"Planeación")</f>
        <v>Planeación</v>
      </c>
      <c r="X80" s="49" t="str">
        <f>IFERROR(__xludf.DUMMYFUNCTION("""COMPUTED_VALUE"""),"Ulver Triviño Hermida")</f>
        <v>Ulver Triviño Hermida</v>
      </c>
      <c r="Y80" s="39" t="str">
        <f>IFERROR(__xludf.DUMMYFUNCTION("""COMPUTED_VALUE"""),"Profesional Especializado con Funciones de Planeación")</f>
        <v>Profesional Especializado con Funciones de Planeación</v>
      </c>
      <c r="Z80" s="49" t="str">
        <f>IFERROR(__xludf.DUMMYFUNCTION("""COMPUTED_VALUE"""),"ulver.trivino@aunap.gov.co")</f>
        <v>ulver.trivino@aunap.gov.co</v>
      </c>
      <c r="AA80" s="39" t="str">
        <f>IFERROR(__xludf.DUMMYFUNCTION("""COMPUTED_VALUE"""),"Talento Humano")</f>
        <v>Talento Humano</v>
      </c>
      <c r="AB80" s="39" t="str">
        <f>IFERROR(__xludf.DUMMYFUNCTION("""COMPUTED_VALUE"""),"No asociado")</f>
        <v>No asociado</v>
      </c>
      <c r="AC80" s="39" t="str">
        <f>IFERROR(__xludf.DUMMYFUNCTION("""COMPUTED_VALUE"""),"Propiciar la formalización de la pesca y la acuicultura")</f>
        <v>Propiciar la formalización de la pesca y la acuicultura</v>
      </c>
      <c r="AD80" s="39" t="str">
        <f>IFERROR(__xludf.DUMMYFUNCTION("""COMPUTED_VALUE"""),"Direccionamiento Estratégico")</f>
        <v>Direccionamiento Estratégico</v>
      </c>
      <c r="AE80" s="39" t="str">
        <f>IFERROR(__xludf.DUMMYFUNCTION("""COMPUTED_VALUE"""),"Planeación Institucional")</f>
        <v>Planeación Institucional</v>
      </c>
      <c r="AF80" s="39" t="str">
        <f>IFERROR(__xludf.DUMMYFUNCTION("""COMPUTED_VALUE"""),"16. Paz, justicia e instituciones sólidas")</f>
        <v>16. Paz, justicia e instituciones sólidas</v>
      </c>
      <c r="AG80" s="76">
        <f>IFERROR(__xludf.DUMMYFUNCTION("""COMPUTED_VALUE"""),0.0)</f>
        <v>0</v>
      </c>
      <c r="AH80" s="51" t="str">
        <f>IFERROR(__xludf.DUMMYFUNCTION("""COMPUTED_VALUE"""),"Durante el periodo de seguimiento no se realizo ninguna capacitación en temas de Planeación dirigida a funcionarios y contratistas de Nivel Central, sin embargo, no se tiene contemplado avance de meta para este trimestre.")</f>
        <v>Durante el periodo de seguimiento no se realizo ninguna capacitación en temas de Planeación dirigida a funcionarios y contratistas de Nivel Central, sin embargo, no se tiene contemplado avance de meta para este trimestre.</v>
      </c>
      <c r="AI80" s="51" t="str">
        <f>IFERROR(__xludf.DUMMYFUNCTION("""COMPUTED_VALUE"""),"N/A")</f>
        <v>N/A</v>
      </c>
      <c r="AJ80" s="52">
        <f>IFERROR(__xludf.DUMMYFUNCTION("""COMPUTED_VALUE"""),44298.0)</f>
        <v>44298</v>
      </c>
      <c r="AK80" s="53" t="str">
        <f>IFERROR(IF((AL80+1)&lt;2,Alertas!$B$2&amp;TEXT(AL80,"0%")&amp;Alertas!$D$2, IF((AL80+1)=2,Alertas!$B$3,IF((AL80+1)&gt;2,Alertas!$B$4&amp;TEXT(AL80,"0%")&amp;Alertas!$D$4,AL80+1))),"Sin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0" s="54">
        <f t="shared" si="2"/>
        <v>0</v>
      </c>
      <c r="AM80"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0" s="55"/>
      <c r="AO80" s="56"/>
      <c r="AP80" s="57"/>
      <c r="AQ80" s="57"/>
      <c r="AR80" s="58"/>
      <c r="AS80" s="59"/>
      <c r="AT80" s="60"/>
      <c r="AU80" s="55"/>
      <c r="AV80" s="56"/>
      <c r="AW80" s="61"/>
      <c r="AX80" s="57"/>
      <c r="AY80" s="62"/>
      <c r="AZ80" s="63"/>
      <c r="BA80" s="64"/>
      <c r="BB80" s="65"/>
      <c r="BC80" s="56"/>
      <c r="BD80" s="61"/>
      <c r="BE80" s="57"/>
      <c r="BF80" s="58"/>
      <c r="BG80" s="63"/>
      <c r="BH80" s="64"/>
      <c r="BI80" s="66"/>
      <c r="BK80" s="21" t="str">
        <f t="shared" si="23"/>
        <v>-1</v>
      </c>
      <c r="BM80" s="21"/>
    </row>
    <row r="81" ht="33.75" customHeight="1">
      <c r="A81" s="37"/>
      <c r="B81" s="38">
        <f>IFERROR(__xludf.DUMMYFUNCTION("""COMPUTED_VALUE"""),31.0)</f>
        <v>31</v>
      </c>
      <c r="C81" s="39" t="str">
        <f>IFERROR(__xludf.DUMMYFUNCTION("""COMPUTED_VALUE"""),"Direccionamiento estratégico")</f>
        <v>Direccionamiento estratégico</v>
      </c>
      <c r="D81" s="40" t="str">
        <f>IFERROR(__xludf.DUMMYFUNCTION("""COMPUTED_VALUE"""),"Planeación")</f>
        <v>Planeación</v>
      </c>
      <c r="E81" s="40" t="str">
        <f>IFERROR(__xludf.DUMMYFUNCTION("""COMPUTED_VALUE"""),"Fortalecimiento de la capacidad de gestión de la autoridad nacional de acuicultura y pesca - aunap nacional")</f>
        <v>Fortalecimiento de la capacidad de gestión de la autoridad nacional de acuicultura y pesca - aunap nacional</v>
      </c>
      <c r="F81" s="40">
        <f>IFERROR(__xludf.DUMMYFUNCTION("""COMPUTED_VALUE"""),2.018011000241E12)</f>
        <v>2018011000241</v>
      </c>
      <c r="G81" s="41" t="str">
        <f>IFERROR(__xludf.DUMMYFUNCTION("""COMPUTED_VALUE"""),"Fortalecimiento")</f>
        <v>Fortalecimiento</v>
      </c>
      <c r="H81" s="40" t="str">
        <f>IFERROR(__xludf.DUMMYFUNCTION("""COMPUTED_VALUE"""),"Fortalecer los sistemas de gestión de la Entidad")</f>
        <v>Fortalecer los sistemas de gestión de la Entidad</v>
      </c>
      <c r="I81" s="40" t="str">
        <f>IFERROR(__xludf.DUMMYFUNCTION("""COMPUTED_VALUE"""),"Servicio de Implementación Sistemas de Gestión")</f>
        <v>Servicio de Implementación Sistemas de Gestión</v>
      </c>
      <c r="J81" s="40" t="str">
        <f>IFERROR(__xludf.DUMMYFUNCTION("""COMPUTED_VALUE"""),"Implementar y mantener el Sistema de Gestión Ambiental de la Entidad, acorde a la normatividad vigente")</f>
        <v>Implementar y mantener el Sistema de Gestión Ambiental de la Entidad, acorde a la normatividad vigente</v>
      </c>
      <c r="K81" s="42" t="str">
        <f>IFERROR(__xludf.DUMMYFUNCTION("""COMPUTED_VALUE"""),"Gestión del área")</f>
        <v>Gestión del área</v>
      </c>
      <c r="L81" s="42" t="str">
        <f>IFERROR(__xludf.DUMMYFUNCTION("""COMPUTED_VALUE"""),"Eficiencia")</f>
        <v>Eficiencia</v>
      </c>
      <c r="M81" s="42" t="str">
        <f>IFERROR(__xludf.DUMMYFUNCTION("""COMPUTED_VALUE"""),"Número")</f>
        <v>Número</v>
      </c>
      <c r="N81" s="43" t="str">
        <f>IFERROR(__xludf.DUMMYFUNCTION("""COMPUTED_VALUE"""),"Número de Diagnósticos ambientales realizados/Número de diagnósticos programados")</f>
        <v>Número de Diagnósticos ambientales realizados/Número de diagnósticos programados</v>
      </c>
      <c r="O81" s="44"/>
      <c r="P81" s="45">
        <f>IFERROR(__xludf.DUMMYFUNCTION("""COMPUTED_VALUE"""),3.0)</f>
        <v>3</v>
      </c>
      <c r="Q81" s="46" t="str">
        <f>IFERROR(__xludf.DUMMYFUNCTION("""COMPUTED_VALUE"""),"Realizar el Diagnóstico Ambiental de las tres (3) estaciones pesqueras de la AUNAP.")</f>
        <v>Realizar el Diagnóstico Ambiental de las tres (3) estaciones pesqueras de la AUNAP.</v>
      </c>
      <c r="R81" s="47" t="str">
        <f>IFERROR(__xludf.DUMMYFUNCTION("""COMPUTED_VALUE"""),"Trimestral")</f>
        <v>Trimestral</v>
      </c>
      <c r="S81" s="45">
        <f>IFERROR(__xludf.DUMMYFUNCTION("""COMPUTED_VALUE"""),0.0)</f>
        <v>0</v>
      </c>
      <c r="T81" s="45">
        <f>IFERROR(__xludf.DUMMYFUNCTION("""COMPUTED_VALUE"""),0.0)</f>
        <v>0</v>
      </c>
      <c r="U81" s="45">
        <f>IFERROR(__xludf.DUMMYFUNCTION("""COMPUTED_VALUE"""),2.0)</f>
        <v>2</v>
      </c>
      <c r="V81" s="45">
        <f>IFERROR(__xludf.DUMMYFUNCTION("""COMPUTED_VALUE"""),1.0)</f>
        <v>1</v>
      </c>
      <c r="W81" s="48" t="str">
        <f>IFERROR(__xludf.DUMMYFUNCTION("""COMPUTED_VALUE"""),"Planeación")</f>
        <v>Planeación</v>
      </c>
      <c r="X81" s="49" t="str">
        <f>IFERROR(__xludf.DUMMYFUNCTION("""COMPUTED_VALUE"""),"Ulver Triviño Hermida")</f>
        <v>Ulver Triviño Hermida</v>
      </c>
      <c r="Y81" s="39" t="str">
        <f>IFERROR(__xludf.DUMMYFUNCTION("""COMPUTED_VALUE"""),"Profesional Especializado con Funciones de Planeación")</f>
        <v>Profesional Especializado con Funciones de Planeación</v>
      </c>
      <c r="Z81" s="49" t="str">
        <f>IFERROR(__xludf.DUMMYFUNCTION("""COMPUTED_VALUE"""),"ulver.trivino@aunap.gov.co")</f>
        <v>ulver.trivino@aunap.gov.co</v>
      </c>
      <c r="AA81" s="39" t="str">
        <f>IFERROR(__xludf.DUMMYFUNCTION("""COMPUTED_VALUE"""),"Talento Humano")</f>
        <v>Talento Humano</v>
      </c>
      <c r="AB81" s="39" t="str">
        <f>IFERROR(__xludf.DUMMYFUNCTION("""COMPUTED_VALUE"""),"No asociado")</f>
        <v>No asociado</v>
      </c>
      <c r="AC81" s="39" t="str">
        <f>IFERROR(__xludf.DUMMYFUNCTION("""COMPUTED_VALUE"""),"Propiciar la formalización de la pesca y la acuicultura")</f>
        <v>Propiciar la formalización de la pesca y la acuicultura</v>
      </c>
      <c r="AD81" s="39" t="str">
        <f>IFERROR(__xludf.DUMMYFUNCTION("""COMPUTED_VALUE"""),"Direccionamiento Estratégico")</f>
        <v>Direccionamiento Estratégico</v>
      </c>
      <c r="AE81" s="39" t="str">
        <f>IFERROR(__xludf.DUMMYFUNCTION("""COMPUTED_VALUE"""),"Planeación Institucional")</f>
        <v>Planeación Institucional</v>
      </c>
      <c r="AF81" s="39" t="str">
        <f>IFERROR(__xludf.DUMMYFUNCTION("""COMPUTED_VALUE"""),"16. Paz, justicia e instituciones sólidas")</f>
        <v>16. Paz, justicia e instituciones sólidas</v>
      </c>
      <c r="AG81" s="78">
        <f>IFERROR(__xludf.DUMMYFUNCTION("""COMPUTED_VALUE"""),0.0)</f>
        <v>0</v>
      </c>
      <c r="AH81" s="51" t="str">
        <f>IFERROR(__xludf.DUMMYFUNCTION("""COMPUTED_VALUE"""),"Se están adelantando acciones para garantizar el realizar el Diagnóstico Ambiental de las tres (3) estaciones pesqueras de la AUNAP, sin embargo, no se tiene contemplado avance de meta para este trimestre.")</f>
        <v>Se están adelantando acciones para garantizar el realizar el Diagnóstico Ambiental de las tres (3) estaciones pesqueras de la AUNAP, sin embargo, no se tiene contemplado avance de meta para este trimestre.</v>
      </c>
      <c r="AI81" s="51" t="str">
        <f>IFERROR(__xludf.DUMMYFUNCTION("""COMPUTED_VALUE"""),"N/A")</f>
        <v>N/A</v>
      </c>
      <c r="AJ81" s="52">
        <f>IFERROR(__xludf.DUMMYFUNCTION("""COMPUTED_VALUE"""),44298.0)</f>
        <v>44298</v>
      </c>
      <c r="AK81" s="53" t="str">
        <f>IFERROR(IF((AL81+1)&lt;2,Alertas!$B$2&amp;TEXT(AL81,"0%")&amp;Alertas!$D$2, IF((AL81+1)=2,Alertas!$B$3,IF((AL81+1)&gt;2,Alertas!$B$4&amp;TEXT(AL81,"0%")&amp;Alertas!$D$4,AL81+1))),"Sin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1" s="54">
        <f t="shared" si="2"/>
        <v>0</v>
      </c>
      <c r="AM81"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1" s="55"/>
      <c r="AO81" s="56"/>
      <c r="AP81" s="57"/>
      <c r="AQ81" s="57"/>
      <c r="AR81" s="58"/>
      <c r="AS81" s="59"/>
      <c r="AT81" s="60"/>
      <c r="AU81" s="55"/>
      <c r="AV81" s="56"/>
      <c r="AW81" s="61"/>
      <c r="AX81" s="57"/>
      <c r="AY81" s="62"/>
      <c r="AZ81" s="63"/>
      <c r="BA81" s="64"/>
      <c r="BB81" s="65"/>
      <c r="BC81" s="56"/>
      <c r="BD81" s="61"/>
      <c r="BE81" s="57"/>
      <c r="BF81" s="58"/>
      <c r="BG81" s="63"/>
      <c r="BH81" s="64"/>
      <c r="BI81" s="66"/>
      <c r="BK81" s="21" t="str">
        <f t="shared" si="23"/>
        <v>-1</v>
      </c>
      <c r="BM81" s="21"/>
    </row>
    <row r="82" ht="33.75" customHeight="1">
      <c r="A82" s="37"/>
      <c r="B82" s="38">
        <f>IFERROR(__xludf.DUMMYFUNCTION("""COMPUTED_VALUE"""),32.0)</f>
        <v>32</v>
      </c>
      <c r="C82" s="39" t="str">
        <f>IFERROR(__xludf.DUMMYFUNCTION("""COMPUTED_VALUE"""),"Direccionamiento estratégico")</f>
        <v>Direccionamiento estratégico</v>
      </c>
      <c r="D82" s="40" t="str">
        <f>IFERROR(__xludf.DUMMYFUNCTION("""COMPUTED_VALUE"""),"Planeación")</f>
        <v>Planeación</v>
      </c>
      <c r="E82" s="40" t="str">
        <f>IFERROR(__xludf.DUMMYFUNCTION("""COMPUTED_VALUE"""),"Fortalecimiento de la capacidad de gestión de la autoridad nacional de acuicultura y pesca - aunap nacional")</f>
        <v>Fortalecimiento de la capacidad de gestión de la autoridad nacional de acuicultura y pesca - aunap nacional</v>
      </c>
      <c r="F82" s="40">
        <f>IFERROR(__xludf.DUMMYFUNCTION("""COMPUTED_VALUE"""),2.018011000241E12)</f>
        <v>2018011000241</v>
      </c>
      <c r="G82" s="41" t="str">
        <f>IFERROR(__xludf.DUMMYFUNCTION("""COMPUTED_VALUE"""),"Fortalecimiento")</f>
        <v>Fortalecimiento</v>
      </c>
      <c r="H82" s="40" t="str">
        <f>IFERROR(__xludf.DUMMYFUNCTION("""COMPUTED_VALUE"""),"Fortalecer los sistemas de gestión de la Entidad")</f>
        <v>Fortalecer los sistemas de gestión de la Entidad</v>
      </c>
      <c r="I82" s="40" t="str">
        <f>IFERROR(__xludf.DUMMYFUNCTION("""COMPUTED_VALUE"""),"Servicio de Implementación Sistemas de Gestión")</f>
        <v>Servicio de Implementación Sistemas de Gestión</v>
      </c>
      <c r="J82"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82" s="42" t="str">
        <f>IFERROR(__xludf.DUMMYFUNCTION("""COMPUTED_VALUE"""),"Gestión del área")</f>
        <v>Gestión del área</v>
      </c>
      <c r="L82" s="42" t="str">
        <f>IFERROR(__xludf.DUMMYFUNCTION("""COMPUTED_VALUE"""),"Eficiencia")</f>
        <v>Eficiencia</v>
      </c>
      <c r="M82" s="42" t="str">
        <f>IFERROR(__xludf.DUMMYFUNCTION("""COMPUTED_VALUE"""),"Número")</f>
        <v>Número</v>
      </c>
      <c r="N82" s="43" t="str">
        <f>IFERROR(__xludf.DUMMYFUNCTION("""COMPUTED_VALUE"""),"Número de informes de gestión realizados/Número de informes de gestión programados")</f>
        <v>Número de informes de gestión realizados/Número de informes de gestión programados</v>
      </c>
      <c r="O82" s="44"/>
      <c r="P82" s="45">
        <f>IFERROR(__xludf.DUMMYFUNCTION("""COMPUTED_VALUE"""),1.0)</f>
        <v>1</v>
      </c>
      <c r="Q82" s="46" t="str">
        <f>IFERROR(__xludf.DUMMYFUNCTION("""COMPUTED_VALUE"""),"Elaborar un informe de gestion de la entidad.")</f>
        <v>Elaborar un informe de gestion de la entidad.</v>
      </c>
      <c r="R82" s="47" t="str">
        <f>IFERROR(__xludf.DUMMYFUNCTION("""COMPUTED_VALUE"""),"Anual")</f>
        <v>Anual</v>
      </c>
      <c r="S82" s="45">
        <f>IFERROR(__xludf.DUMMYFUNCTION("""COMPUTED_VALUE"""),0.0)</f>
        <v>0</v>
      </c>
      <c r="T82" s="45">
        <f>IFERROR(__xludf.DUMMYFUNCTION("""COMPUTED_VALUE"""),0.0)</f>
        <v>0</v>
      </c>
      <c r="U82" s="45">
        <f>IFERROR(__xludf.DUMMYFUNCTION("""COMPUTED_VALUE"""),0.0)</f>
        <v>0</v>
      </c>
      <c r="V82" s="45">
        <f>IFERROR(__xludf.DUMMYFUNCTION("""COMPUTED_VALUE"""),1.0)</f>
        <v>1</v>
      </c>
      <c r="W82" s="48" t="str">
        <f>IFERROR(__xludf.DUMMYFUNCTION("""COMPUTED_VALUE"""),"Planeación")</f>
        <v>Planeación</v>
      </c>
      <c r="X82" s="49" t="str">
        <f>IFERROR(__xludf.DUMMYFUNCTION("""COMPUTED_VALUE"""),"Ulver Triviño Hermida")</f>
        <v>Ulver Triviño Hermida</v>
      </c>
      <c r="Y82" s="39" t="str">
        <f>IFERROR(__xludf.DUMMYFUNCTION("""COMPUTED_VALUE"""),"Profesional Especializado con Funciones de Planeación")</f>
        <v>Profesional Especializado con Funciones de Planeación</v>
      </c>
      <c r="Z82" s="49" t="str">
        <f>IFERROR(__xludf.DUMMYFUNCTION("""COMPUTED_VALUE"""),"ulver.trivino@aunap.gov.co")</f>
        <v>ulver.trivino@aunap.gov.co</v>
      </c>
      <c r="AA82" s="39" t="str">
        <f>IFERROR(__xludf.DUMMYFUNCTION("""COMPUTED_VALUE"""),"Talento Humano")</f>
        <v>Talento Humano</v>
      </c>
      <c r="AB82" s="39" t="str">
        <f>IFERROR(__xludf.DUMMYFUNCTION("""COMPUTED_VALUE"""),"No asociado")</f>
        <v>No asociado</v>
      </c>
      <c r="AC82" s="39" t="str">
        <f>IFERROR(__xludf.DUMMYFUNCTION("""COMPUTED_VALUE"""),"Propiciar la formalización de la pesca y la acuicultura")</f>
        <v>Propiciar la formalización de la pesca y la acuicultura</v>
      </c>
      <c r="AD82" s="39" t="str">
        <f>IFERROR(__xludf.DUMMYFUNCTION("""COMPUTED_VALUE"""),"Evaluación de Resultados")</f>
        <v>Evaluación de Resultados</v>
      </c>
      <c r="AE82" s="39" t="str">
        <f>IFERROR(__xludf.DUMMYFUNCTION("""COMPUTED_VALUE"""),"Seguimiento y evaluación del desempeño institucional")</f>
        <v>Seguimiento y evaluación del desempeño institucional</v>
      </c>
      <c r="AF82" s="39" t="str">
        <f>IFERROR(__xludf.DUMMYFUNCTION("""COMPUTED_VALUE"""),"16. Paz, justicia e instituciones sólidas")</f>
        <v>16. Paz, justicia e instituciones sólidas</v>
      </c>
      <c r="AG82" s="76">
        <f>IFERROR(__xludf.DUMMYFUNCTION("""COMPUTED_VALUE"""),0.0)</f>
        <v>0</v>
      </c>
      <c r="AH82" s="51" t="str">
        <f>IFERROR(__xludf.DUMMYFUNCTION("""COMPUTED_VALUE"""),"No se ha Elaborado el informe de gestion de la entidad, sin embargo, no se tiene contemplado avance de meta para este trimestre.")</f>
        <v>No se ha Elaborado el informe de gestion de la entidad, sin embargo, no se tiene contemplado avance de meta para este trimestre.</v>
      </c>
      <c r="AI82" s="51" t="str">
        <f>IFERROR(__xludf.DUMMYFUNCTION("""COMPUTED_VALUE"""),"N/A")</f>
        <v>N/A</v>
      </c>
      <c r="AJ82" s="52">
        <f>IFERROR(__xludf.DUMMYFUNCTION("""COMPUTED_VALUE"""),44298.0)</f>
        <v>44298</v>
      </c>
      <c r="AK82" s="53" t="str">
        <f>IFERROR(IF((AL82+1)&lt;2,Alertas!$B$2&amp;TEXT(AL82,"0%")&amp;Alertas!$D$2, IF((AL82+1)=2,Alertas!$B$3,IF((AL82+1)&gt;2,Alertas!$B$4&amp;TEXT(AL82,"0%")&amp;Alertas!$D$4,AL82+1))),"Sin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2" s="54">
        <f t="shared" si="2"/>
        <v>0</v>
      </c>
      <c r="AM82"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2" s="55"/>
      <c r="AO82" s="56"/>
      <c r="AP82" s="57"/>
      <c r="AQ82" s="57"/>
      <c r="AR82" s="58"/>
      <c r="AS82" s="59"/>
      <c r="AT82" s="60"/>
      <c r="AU82" s="55"/>
      <c r="AV82" s="56"/>
      <c r="AW82" s="61"/>
      <c r="AX82" s="57"/>
      <c r="AY82" s="62"/>
      <c r="AZ82" s="63"/>
      <c r="BA82" s="64"/>
      <c r="BB82" s="65"/>
      <c r="BC82" s="56"/>
      <c r="BD82" s="61"/>
      <c r="BE82" s="57"/>
      <c r="BF82" s="58"/>
      <c r="BG82" s="63"/>
      <c r="BH82" s="64"/>
      <c r="BI82" s="66"/>
      <c r="BK82" s="21" t="str">
        <f t="shared" si="23"/>
        <v>-1</v>
      </c>
      <c r="BM82" s="21"/>
    </row>
    <row r="83" ht="33.75" customHeight="1">
      <c r="A83" s="37"/>
      <c r="B83" s="38">
        <f>IFERROR(__xludf.DUMMYFUNCTION("""COMPUTED_VALUE"""),81.0)</f>
        <v>81</v>
      </c>
      <c r="C83" s="39" t="str">
        <f>IFERROR(__xludf.DUMMYFUNCTION("""COMPUTED_VALUE"""),"Gestión de la información y generación del conocimiento")</f>
        <v>Gestión de la información y generación del conocimiento</v>
      </c>
      <c r="D83" s="40" t="str">
        <f>IFERROR(__xludf.DUMMYFUNCTION("""COMPUTED_VALUE"""),"Sistemas")</f>
        <v>Sistemas</v>
      </c>
      <c r="E83" s="40" t="str">
        <f>IFERROR(__xludf.DUMMYFUNCTION("""COMPUTED_VALUE"""),"Fortalecimiento de la capacidad de gestión de la autoridad nacional de acuicultura y pesca - aunap nacional")</f>
        <v>Fortalecimiento de la capacidad de gestión de la autoridad nacional de acuicultura y pesca - aunap nacional</v>
      </c>
      <c r="F83" s="40">
        <f>IFERROR(__xludf.DUMMYFUNCTION("""COMPUTED_VALUE"""),2.018011000241E12)</f>
        <v>2018011000241</v>
      </c>
      <c r="G83" s="41" t="str">
        <f>IFERROR(__xludf.DUMMYFUNCTION("""COMPUTED_VALUE"""),"Fortalecimiento")</f>
        <v>Fortalecimiento</v>
      </c>
      <c r="H83" s="40" t="str">
        <f>IFERROR(__xludf.DUMMYFUNCTION("""COMPUTED_VALUE"""),"Fortalecer la Infraestructura Tecnológica de la entidad")</f>
        <v>Fortalecer la Infraestructura Tecnológica de la entidad</v>
      </c>
      <c r="I83" s="40" t="str">
        <f>IFERROR(__xludf.DUMMYFUNCTION("""COMPUTED_VALUE"""),"Servicios tecnológicos")</f>
        <v>Servicios tecnológicos</v>
      </c>
      <c r="J83" s="40" t="str">
        <f>IFERROR(__xludf.DUMMYFUNCTION("""COMPUTED_VALUE"""),"Implementar y gestionar los procesos de soporte y mantenimiento de los servicios Tecnológicos de la Entidad.")</f>
        <v>Implementar y gestionar los procesos de soporte y mantenimiento de los servicios Tecnológicos de la Entidad.</v>
      </c>
      <c r="K83" s="42" t="str">
        <f>IFERROR(__xludf.DUMMYFUNCTION("""COMPUTED_VALUE"""),"Gestión del área")</f>
        <v>Gestión del área</v>
      </c>
      <c r="L83" s="42" t="str">
        <f>IFERROR(__xludf.DUMMYFUNCTION("""COMPUTED_VALUE"""),"Eficacia")</f>
        <v>Eficacia</v>
      </c>
      <c r="M83" s="42" t="str">
        <f>IFERROR(__xludf.DUMMYFUNCTION("""COMPUTED_VALUE"""),"Numero")</f>
        <v>Numero</v>
      </c>
      <c r="N83" s="43" t="str">
        <f>IFERROR(__xludf.DUMMYFUNCTION("""COMPUTED_VALUE"""),"Lista de activos tangibles e intangibles operando")</f>
        <v>Lista de activos tangibles e intangibles operando</v>
      </c>
      <c r="O83" s="44">
        <f>IFERROR(__xludf.DUMMYFUNCTION("""COMPUTED_VALUE"""),1.0)</f>
        <v>1</v>
      </c>
      <c r="P83" s="45">
        <f>IFERROR(__xludf.DUMMYFUNCTION("""COMPUTED_VALUE"""),1.0)</f>
        <v>1</v>
      </c>
      <c r="Q83" s="46" t="str">
        <f>IFERROR(__xludf.DUMMYFUNCTION("""COMPUTED_VALUE"""),"Mantener actualizado el inventario de activos de las TICs que facilite el plan de mantenimiento.")</f>
        <v>Mantener actualizado el inventario de activos de las TICs que facilite el plan de mantenimiento.</v>
      </c>
      <c r="R83" s="47" t="str">
        <f>IFERROR(__xludf.DUMMYFUNCTION("""COMPUTED_VALUE"""),"Anual")</f>
        <v>Anual</v>
      </c>
      <c r="S83" s="45">
        <f>IFERROR(__xludf.DUMMYFUNCTION("""COMPUTED_VALUE"""),0.0)</f>
        <v>0</v>
      </c>
      <c r="T83" s="45">
        <f>IFERROR(__xludf.DUMMYFUNCTION("""COMPUTED_VALUE"""),0.0)</f>
        <v>0</v>
      </c>
      <c r="U83" s="45">
        <f>IFERROR(__xludf.DUMMYFUNCTION("""COMPUTED_VALUE"""),0.0)</f>
        <v>0</v>
      </c>
      <c r="V83" s="45">
        <f>IFERROR(__xludf.DUMMYFUNCTION("""COMPUTED_VALUE"""),1.0)</f>
        <v>1</v>
      </c>
      <c r="W83" s="48" t="str">
        <f>IFERROR(__xludf.DUMMYFUNCTION("""COMPUTED_VALUE"""),"Sistemas")</f>
        <v>Sistemas</v>
      </c>
      <c r="X83" s="49" t="str">
        <f>IFERROR(__xludf.DUMMYFUNCTION("""COMPUTED_VALUE"""),"Maria Angarita Peñaranda")</f>
        <v>Maria Angarita Peñaranda</v>
      </c>
      <c r="Y83" s="39" t="str">
        <f>IFERROR(__xludf.DUMMYFUNCTION("""COMPUTED_VALUE"""),"Jefe de Oficina")</f>
        <v>Jefe de Oficina</v>
      </c>
      <c r="Z83" s="49" t="str">
        <f>IFERROR(__xludf.DUMMYFUNCTION("""COMPUTED_VALUE"""),"maria.angarita@aunap.gov.co")</f>
        <v>maria.angarita@aunap.gov.co</v>
      </c>
      <c r="AA83" s="39" t="str">
        <f>IFERROR(__xludf.DUMMYFUNCTION("""COMPUTED_VALUE"""),"Humanos, fisicos, financieros y tecnologicos")</f>
        <v>Humanos, fisicos, financieros y tecnologicos</v>
      </c>
      <c r="AB83" s="39" t="str">
        <f>IFERROR(__xludf.DUMMYFUNCTION("""COMPUTED_VALUE"""),"Plan Estratégico de Tecnologías de la Información y las Comunicaciones -PETIT")</f>
        <v>Plan Estratégico de Tecnologías de la Información y las Comunicaciones -PETIT</v>
      </c>
      <c r="AC83" s="39" t="str">
        <f>IFERROR(__xludf.DUMMYFUNCTION("""COMPUTED_VALUE"""),"Llegar con actividades de pesca y acuicultura a todas las regiones")</f>
        <v>Llegar con actividades de pesca y acuicultura a todas las regiones</v>
      </c>
      <c r="AD83" s="39" t="str">
        <f>IFERROR(__xludf.DUMMYFUNCTION("""COMPUTED_VALUE"""),"Gestión del conocimiento")</f>
        <v>Gestión del conocimiento</v>
      </c>
      <c r="AE83" s="39" t="str">
        <f>IFERROR(__xludf.DUMMYFUNCTION("""COMPUTED_VALUE"""),"Seguridad Digital")</f>
        <v>Seguridad Digital</v>
      </c>
      <c r="AF83" s="39" t="str">
        <f>IFERROR(__xludf.DUMMYFUNCTION("""COMPUTED_VALUE"""),"9. Industria, innovación e infraestructura")</f>
        <v>9. Industria, innovación e infraestructura</v>
      </c>
      <c r="AG83" s="76">
        <f>IFERROR(__xludf.DUMMYFUNCTION("""COMPUTED_VALUE"""),0.0)</f>
        <v>0</v>
      </c>
      <c r="AH83" s="51" t="str">
        <f>IFERROR(__xludf.DUMMYFUNCTION("""COMPUTED_VALUE"""),"El reporte de esta actividad es anual, por ende no se debe reportar en este trimestre")</f>
        <v>El reporte de esta actividad es anual, por ende no se debe reportar en este trimestre</v>
      </c>
      <c r="AI83" s="51"/>
      <c r="AJ83" s="52">
        <f>IFERROR(__xludf.DUMMYFUNCTION("""COMPUTED_VALUE"""),44298.0)</f>
        <v>44298</v>
      </c>
      <c r="AK83" s="53" t="str">
        <f>IFERROR(IF((AL83+1)&lt;2,Alertas!$B$2&amp;TEXT(AL83,"0%")&amp;Alertas!$D$2, IF((AL83+1)=2,Alertas!$B$3,IF((AL83+1)&gt;2,Alertas!$B$4&amp;TEXT(AL83,"0%")&amp;Alertas!$D$4,AL83+1))),"Sin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3" s="54">
        <f t="shared" si="2"/>
        <v>0</v>
      </c>
      <c r="AM83"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3" s="55"/>
      <c r="AO83" s="56"/>
      <c r="AP83" s="57"/>
      <c r="AQ83" s="57"/>
      <c r="AR83" s="58"/>
      <c r="AS83" s="59"/>
      <c r="AT83" s="60"/>
      <c r="AU83" s="55"/>
      <c r="AV83" s="56"/>
      <c r="AW83" s="61"/>
      <c r="AX83" s="57"/>
      <c r="AY83" s="62"/>
      <c r="AZ83" s="63"/>
      <c r="BA83" s="64"/>
      <c r="BB83" s="65"/>
      <c r="BC83" s="56"/>
      <c r="BD83" s="61"/>
      <c r="BE83" s="57"/>
      <c r="BF83" s="58"/>
      <c r="BG83" s="63"/>
      <c r="BH83" s="64"/>
      <c r="BI83" s="66"/>
      <c r="BK83" s="21" t="str">
        <f t="shared" si="23"/>
        <v>-1</v>
      </c>
      <c r="BM83" s="21"/>
    </row>
    <row r="84" ht="33.75" customHeight="1">
      <c r="A84" s="37"/>
      <c r="B84" s="38">
        <f>IFERROR(__xludf.DUMMYFUNCTION("""COMPUTED_VALUE"""),82.0)</f>
        <v>82</v>
      </c>
      <c r="C84" s="39" t="str">
        <f>IFERROR(__xludf.DUMMYFUNCTION("""COMPUTED_VALUE"""),"Gestión de la información y generación del conocimiento")</f>
        <v>Gestión de la información y generación del conocimiento</v>
      </c>
      <c r="D84" s="40" t="str">
        <f>IFERROR(__xludf.DUMMYFUNCTION("""COMPUTED_VALUE"""),"Sistemas")</f>
        <v>Sistemas</v>
      </c>
      <c r="E84" s="40" t="str">
        <f>IFERROR(__xludf.DUMMYFUNCTION("""COMPUTED_VALUE"""),"Fortalecimiento de la capacidad de gestión de la autoridad nacional de acuicultura y pesca - aunap nacional")</f>
        <v>Fortalecimiento de la capacidad de gestión de la autoridad nacional de acuicultura y pesca - aunap nacional</v>
      </c>
      <c r="F84" s="40">
        <f>IFERROR(__xludf.DUMMYFUNCTION("""COMPUTED_VALUE"""),2.018011000241E12)</f>
        <v>2018011000241</v>
      </c>
      <c r="G84" s="41" t="str">
        <f>IFERROR(__xludf.DUMMYFUNCTION("""COMPUTED_VALUE"""),"Fortalecimiento")</f>
        <v>Fortalecimiento</v>
      </c>
      <c r="H84" s="40" t="str">
        <f>IFERROR(__xludf.DUMMYFUNCTION("""COMPUTED_VALUE"""),"Fortalecer la Infraestructura Tecnológica de la entidad")</f>
        <v>Fortalecer la Infraestructura Tecnológica de la entidad</v>
      </c>
      <c r="I84" s="40" t="str">
        <f>IFERROR(__xludf.DUMMYFUNCTION("""COMPUTED_VALUE"""),"Servicios tecnológicos")</f>
        <v>Servicios tecnológicos</v>
      </c>
      <c r="J84" s="40" t="str">
        <f>IFERROR(__xludf.DUMMYFUNCTION("""COMPUTED_VALUE"""),"Actualizar la infraestructura (hardware y software) de servicios, para soportar la gestión de los procesos de entidad")</f>
        <v>Actualizar la infraestructura (hardware y software) de servicios, para soportar la gestión de los procesos de entidad</v>
      </c>
      <c r="K84" s="42" t="str">
        <f>IFERROR(__xludf.DUMMYFUNCTION("""COMPUTED_VALUE"""),"Gestión del área")</f>
        <v>Gestión del área</v>
      </c>
      <c r="L84" s="42" t="str">
        <f>IFERROR(__xludf.DUMMYFUNCTION("""COMPUTED_VALUE"""),"Eficacia")</f>
        <v>Eficacia</v>
      </c>
      <c r="M84" s="42" t="str">
        <f>IFERROR(__xludf.DUMMYFUNCTION("""COMPUTED_VALUE"""),"Numero")</f>
        <v>Numero</v>
      </c>
      <c r="N84" s="43" t="str">
        <f>IFERROR(__xludf.DUMMYFUNCTION("""COMPUTED_VALUE"""),"Lista de equipos adquiridos que fortalecen la operación de la AUNAP")</f>
        <v>Lista de equipos adquiridos que fortalecen la operación de la AUNAP</v>
      </c>
      <c r="O84" s="79">
        <f>IFERROR(__xludf.DUMMYFUNCTION("""COMPUTED_VALUE"""),1.0)</f>
        <v>1</v>
      </c>
      <c r="P84" s="45">
        <f>IFERROR(__xludf.DUMMYFUNCTION("""COMPUTED_VALUE"""),1.0)</f>
        <v>1</v>
      </c>
      <c r="Q84" s="46" t="str">
        <f>IFERROR(__xludf.DUMMYFUNCTION("""COMPUTED_VALUE"""),"Continuar con el fortalecemiento de la infraestructura de TICs para atender los requerimientos tecnológicos de las diferentes dependencias y oficinas de la AUNAP a nivel central y regional y su DATACENTER")</f>
        <v>Continuar con el fortalecemiento de la infraestructura de TICs para atender los requerimientos tecnológicos de las diferentes dependencias y oficinas de la AUNAP a nivel central y regional y su DATACENTER</v>
      </c>
      <c r="R84" s="47" t="str">
        <f>IFERROR(__xludf.DUMMYFUNCTION("""COMPUTED_VALUE"""),"Anual")</f>
        <v>Anual</v>
      </c>
      <c r="S84" s="45">
        <f>IFERROR(__xludf.DUMMYFUNCTION("""COMPUTED_VALUE"""),0.0)</f>
        <v>0</v>
      </c>
      <c r="T84" s="45">
        <f>IFERROR(__xludf.DUMMYFUNCTION("""COMPUTED_VALUE"""),0.0)</f>
        <v>0</v>
      </c>
      <c r="U84" s="45">
        <f>IFERROR(__xludf.DUMMYFUNCTION("""COMPUTED_VALUE"""),0.0)</f>
        <v>0</v>
      </c>
      <c r="V84" s="45">
        <f>IFERROR(__xludf.DUMMYFUNCTION("""COMPUTED_VALUE"""),1.0)</f>
        <v>1</v>
      </c>
      <c r="W84" s="48" t="str">
        <f>IFERROR(__xludf.DUMMYFUNCTION("""COMPUTED_VALUE"""),"Sistemas")</f>
        <v>Sistemas</v>
      </c>
      <c r="X84" s="49" t="str">
        <f>IFERROR(__xludf.DUMMYFUNCTION("""COMPUTED_VALUE"""),"Maria Angarita Peñaranda")</f>
        <v>Maria Angarita Peñaranda</v>
      </c>
      <c r="Y84" s="39" t="str">
        <f>IFERROR(__xludf.DUMMYFUNCTION("""COMPUTED_VALUE"""),"Jefe de Oficina")</f>
        <v>Jefe de Oficina</v>
      </c>
      <c r="Z84" s="49" t="str">
        <f>IFERROR(__xludf.DUMMYFUNCTION("""COMPUTED_VALUE"""),"maria.angarita@aunap.gov.co")</f>
        <v>maria.angarita@aunap.gov.co</v>
      </c>
      <c r="AA84" s="39" t="str">
        <f>IFERROR(__xludf.DUMMYFUNCTION("""COMPUTED_VALUE"""),"Humanos, fisicos, financieros y tecnologicos")</f>
        <v>Humanos, fisicos, financieros y tecnologicos</v>
      </c>
      <c r="AB84" s="39" t="str">
        <f>IFERROR(__xludf.DUMMYFUNCTION("""COMPUTED_VALUE"""),"Plan Estratégico de Tecnologías de la Información y las Comunicaciones -PETIT")</f>
        <v>Plan Estratégico de Tecnologías de la Información y las Comunicaciones -PETIT</v>
      </c>
      <c r="AC84" s="39" t="str">
        <f>IFERROR(__xludf.DUMMYFUNCTION("""COMPUTED_VALUE"""),"Llegar con actividades de pesca y acuicultura a todas las regiones")</f>
        <v>Llegar con actividades de pesca y acuicultura a todas las regiones</v>
      </c>
      <c r="AD84" s="39" t="str">
        <f>IFERROR(__xludf.DUMMYFUNCTION("""COMPUTED_VALUE"""),"Gestión del conocimiento")</f>
        <v>Gestión del conocimiento</v>
      </c>
      <c r="AE84" s="39" t="str">
        <f>IFERROR(__xludf.DUMMYFUNCTION("""COMPUTED_VALUE"""),"Seguridad Digital")</f>
        <v>Seguridad Digital</v>
      </c>
      <c r="AF84" s="39" t="str">
        <f>IFERROR(__xludf.DUMMYFUNCTION("""COMPUTED_VALUE"""),"9. Industria, innovación e infraestructura")</f>
        <v>9. Industria, innovación e infraestructura</v>
      </c>
      <c r="AG84" s="50">
        <f>IFERROR(__xludf.DUMMYFUNCTION("""COMPUTED_VALUE"""),0.0)</f>
        <v>0</v>
      </c>
      <c r="AH84" s="51" t="str">
        <f>IFERROR(__xludf.DUMMYFUNCTION("""COMPUTED_VALUE"""),"El reporte de esta actividad es anual, por ende no se debe reportar en este trimestre")</f>
        <v>El reporte de esta actividad es anual, por ende no se debe reportar en este trimestre</v>
      </c>
      <c r="AI84" s="51"/>
      <c r="AJ84" s="52">
        <f>IFERROR(__xludf.DUMMYFUNCTION("""COMPUTED_VALUE"""),44298.0)</f>
        <v>44298</v>
      </c>
      <c r="AK84" s="53" t="str">
        <f>IFERROR(IF((AL84+1)&lt;2,Alertas!$B$2&amp;TEXT(AL84,"0%")&amp;Alertas!$D$2, IF((AL84+1)=2,Alertas!$B$3,IF((AL84+1)&gt;2,Alertas!$B$4&amp;TEXT(AL84,"0%")&amp;Alertas!$D$4,AL84+1))),"Sin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4" s="54">
        <f t="shared" si="2"/>
        <v>0</v>
      </c>
      <c r="AM84"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4" s="55"/>
      <c r="AO84" s="56"/>
      <c r="AP84" s="57"/>
      <c r="AQ84" s="57"/>
      <c r="AR84" s="58"/>
      <c r="AS84" s="59"/>
      <c r="AT84" s="60"/>
      <c r="AU84" s="55"/>
      <c r="AV84" s="56"/>
      <c r="AW84" s="61"/>
      <c r="AX84" s="57"/>
      <c r="AY84" s="62"/>
      <c r="AZ84" s="63"/>
      <c r="BA84" s="64"/>
      <c r="BB84" s="65"/>
      <c r="BC84" s="56"/>
      <c r="BD84" s="61"/>
      <c r="BE84" s="57"/>
      <c r="BF84" s="58"/>
      <c r="BG84" s="63"/>
      <c r="BH84" s="64"/>
      <c r="BI84" s="66"/>
      <c r="BK84" s="21" t="str">
        <f t="shared" si="23"/>
        <v>-1</v>
      </c>
      <c r="BM84" s="21"/>
    </row>
    <row r="85" ht="33.75" customHeight="1">
      <c r="A85" s="37"/>
      <c r="B85" s="38">
        <f>IFERROR(__xludf.DUMMYFUNCTION("""COMPUTED_VALUE"""),83.0)</f>
        <v>83</v>
      </c>
      <c r="C85" s="39" t="str">
        <f>IFERROR(__xludf.DUMMYFUNCTION("""COMPUTED_VALUE"""),"Gestión de la información y generación del conocimiento")</f>
        <v>Gestión de la información y generación del conocimiento</v>
      </c>
      <c r="D85" s="40" t="str">
        <f>IFERROR(__xludf.DUMMYFUNCTION("""COMPUTED_VALUE"""),"Sistemas")</f>
        <v>Sistemas</v>
      </c>
      <c r="E85" s="40" t="str">
        <f>IFERROR(__xludf.DUMMYFUNCTION("""COMPUTED_VALUE"""),"Fortalecimiento de la capacidad de gestión de la autoridad nacional de acuicultura y pesca - aunap nacional")</f>
        <v>Fortalecimiento de la capacidad de gestión de la autoridad nacional de acuicultura y pesca - aunap nacional</v>
      </c>
      <c r="F85" s="40">
        <f>IFERROR(__xludf.DUMMYFUNCTION("""COMPUTED_VALUE"""),2.018011000241E12)</f>
        <v>2018011000241</v>
      </c>
      <c r="G85" s="41" t="str">
        <f>IFERROR(__xludf.DUMMYFUNCTION("""COMPUTED_VALUE"""),"Fortalecimiento")</f>
        <v>Fortalecimiento</v>
      </c>
      <c r="H85" s="40" t="str">
        <f>IFERROR(__xludf.DUMMYFUNCTION("""COMPUTED_VALUE"""),"Fortalecer la Infraestructura Tecnológica de la entidad")</f>
        <v>Fortalecer la Infraestructura Tecnológica de la entidad</v>
      </c>
      <c r="I85" s="40" t="str">
        <f>IFERROR(__xludf.DUMMYFUNCTION("""COMPUTED_VALUE"""),"Servicios tecnológicos")</f>
        <v>Servicios tecnológicos</v>
      </c>
      <c r="J85" s="40" t="str">
        <f>IFERROR(__xludf.DUMMYFUNCTION("""COMPUTED_VALUE"""),"Implementar y gestionar los procesos de soporte y mantenimiento de los servicios Tecnológicos de la Entidad.")</f>
        <v>Implementar y gestionar los procesos de soporte y mantenimiento de los servicios Tecnológicos de la Entidad.</v>
      </c>
      <c r="K85" s="42" t="str">
        <f>IFERROR(__xludf.DUMMYFUNCTION("""COMPUTED_VALUE"""),"Gestión del área")</f>
        <v>Gestión del área</v>
      </c>
      <c r="L85" s="42" t="str">
        <f>IFERROR(__xludf.DUMMYFUNCTION("""COMPUTED_VALUE"""),"Eficacia")</f>
        <v>Eficacia</v>
      </c>
      <c r="M85" s="42" t="str">
        <f>IFERROR(__xludf.DUMMYFUNCTION("""COMPUTED_VALUE"""),"Numero")</f>
        <v>Numero</v>
      </c>
      <c r="N85" s="43" t="str">
        <f>IFERROR(__xludf.DUMMYFUNCTION("""COMPUTED_VALUE"""),"Documentos técnicos fortalecidos")</f>
        <v>Documentos técnicos fortalecidos</v>
      </c>
      <c r="O85" s="44">
        <f>IFERROR(__xludf.DUMMYFUNCTION("""COMPUTED_VALUE"""),2.0)</f>
        <v>2</v>
      </c>
      <c r="P85" s="45">
        <f>IFERROR(__xludf.DUMMYFUNCTION("""COMPUTED_VALUE"""),2.0)</f>
        <v>2</v>
      </c>
      <c r="Q85" s="46" t="str">
        <f>IFERROR(__xludf.DUMMYFUNCTION("""COMPUTED_VALUE"""),"Fortalecer la formulación del manual del sistema de gestión de seguridad de la información-SGSI y del Plan Estrategico de Tecnologias de la Informacion-PETI")</f>
        <v>Fortalecer la formulación del manual del sistema de gestión de seguridad de la información-SGSI y del Plan Estrategico de Tecnologias de la Informacion-PETI</v>
      </c>
      <c r="R85" s="47" t="str">
        <f>IFERROR(__xludf.DUMMYFUNCTION("""COMPUTED_VALUE"""),"Trimestral")</f>
        <v>Trimestral</v>
      </c>
      <c r="S85" s="45">
        <f>IFERROR(__xludf.DUMMYFUNCTION("""COMPUTED_VALUE"""),0.0)</f>
        <v>0</v>
      </c>
      <c r="T85" s="45">
        <f>IFERROR(__xludf.DUMMYFUNCTION("""COMPUTED_VALUE"""),1.0)</f>
        <v>1</v>
      </c>
      <c r="U85" s="45">
        <f>IFERROR(__xludf.DUMMYFUNCTION("""COMPUTED_VALUE"""),1.0)</f>
        <v>1</v>
      </c>
      <c r="V85" s="45">
        <f>IFERROR(__xludf.DUMMYFUNCTION("""COMPUTED_VALUE"""),0.0)</f>
        <v>0</v>
      </c>
      <c r="W85" s="48" t="str">
        <f>IFERROR(__xludf.DUMMYFUNCTION("""COMPUTED_VALUE"""),"Sistemas")</f>
        <v>Sistemas</v>
      </c>
      <c r="X85" s="49" t="str">
        <f>IFERROR(__xludf.DUMMYFUNCTION("""COMPUTED_VALUE"""),"Maria Angarita Peñaranda")</f>
        <v>Maria Angarita Peñaranda</v>
      </c>
      <c r="Y85" s="39" t="str">
        <f>IFERROR(__xludf.DUMMYFUNCTION("""COMPUTED_VALUE"""),"Jefe de Oficina")</f>
        <v>Jefe de Oficina</v>
      </c>
      <c r="Z85" s="49" t="str">
        <f>IFERROR(__xludf.DUMMYFUNCTION("""COMPUTED_VALUE"""),"maria.angarita@aunap.gov.co")</f>
        <v>maria.angarita@aunap.gov.co</v>
      </c>
      <c r="AA85" s="39" t="str">
        <f>IFERROR(__xludf.DUMMYFUNCTION("""COMPUTED_VALUE"""),"Humanos, fisicos, financieros y tecnologicos")</f>
        <v>Humanos, fisicos, financieros y tecnologicos</v>
      </c>
      <c r="AB85" s="39" t="str">
        <f>IFERROR(__xludf.DUMMYFUNCTION("""COMPUTED_VALUE"""),"Plan Estratégico de Tecnologías de la Información y las Comunicaciones -PETIT")</f>
        <v>Plan Estratégico de Tecnologías de la Información y las Comunicaciones -PETIT</v>
      </c>
      <c r="AC85" s="39" t="str">
        <f>IFERROR(__xludf.DUMMYFUNCTION("""COMPUTED_VALUE"""),"Llegar con actividades de pesca y acuicultura a todas las regiones")</f>
        <v>Llegar con actividades de pesca y acuicultura a todas las regiones</v>
      </c>
      <c r="AD85" s="39" t="str">
        <f>IFERROR(__xludf.DUMMYFUNCTION("""COMPUTED_VALUE"""),"Gestión del conocimiento")</f>
        <v>Gestión del conocimiento</v>
      </c>
      <c r="AE85" s="39" t="str">
        <f>IFERROR(__xludf.DUMMYFUNCTION("""COMPUTED_VALUE"""),"Seguridad Digital")</f>
        <v>Seguridad Digital</v>
      </c>
      <c r="AF85" s="39" t="str">
        <f>IFERROR(__xludf.DUMMYFUNCTION("""COMPUTED_VALUE"""),"9. Industria, innovación e infraestructura")</f>
        <v>9. Industria, innovación e infraestructura</v>
      </c>
      <c r="AG85" s="76">
        <f>IFERROR(__xludf.DUMMYFUNCTION("""COMPUTED_VALUE"""),0.0)</f>
        <v>0</v>
      </c>
      <c r="AH85" s="51" t="str">
        <f>IFERROR(__xludf.DUMMYFUNCTION("""COMPUTED_VALUE"""),"Para este trimestre no se reporta ninguna meta")</f>
        <v>Para este trimestre no se reporta ninguna meta</v>
      </c>
      <c r="AI85" s="51"/>
      <c r="AJ85" s="52">
        <f>IFERROR(__xludf.DUMMYFUNCTION("""COMPUTED_VALUE"""),44298.0)</f>
        <v>44298</v>
      </c>
      <c r="AK85" s="53" t="str">
        <f>IFERROR(IF((AL85+1)&lt;2,Alertas!$B$2&amp;TEXT(AL85,"0%")&amp;Alertas!$D$2, IF((AL85+1)=2,Alertas!$B$3,IF((AL85+1)&gt;2,Alertas!$B$4&amp;TEXT(AL85,"0%")&amp;Alertas!$D$4,AL85+1))),"Sin meta para el cuarto trimestre")</f>
        <v>Sin meta para el cuarto trimestre</v>
      </c>
      <c r="AL85" s="54" t="str">
        <f t="shared" si="2"/>
        <v>-</v>
      </c>
      <c r="AM85" s="53" t="str">
        <f t="shared" si="3"/>
        <v>Sin meta para el cuarto trimestre.</v>
      </c>
      <c r="AN85" s="55"/>
      <c r="AO85" s="56"/>
      <c r="AP85" s="57"/>
      <c r="AQ85" s="57"/>
      <c r="AR85" s="58"/>
      <c r="AS85" s="59"/>
      <c r="AT85" s="60"/>
      <c r="AU85" s="55"/>
      <c r="AV85" s="56"/>
      <c r="AW85" s="61"/>
      <c r="AX85" s="57"/>
      <c r="AY85" s="62"/>
      <c r="AZ85" s="63"/>
      <c r="BA85" s="64"/>
      <c r="BB85" s="65"/>
      <c r="BC85" s="56"/>
      <c r="BD85" s="61"/>
      <c r="BE85" s="57"/>
      <c r="BF85" s="58"/>
      <c r="BG85" s="63"/>
      <c r="BH85" s="64"/>
      <c r="BI85" s="66"/>
      <c r="BK85" s="21" t="str">
        <f t="shared" si="23"/>
        <v>-</v>
      </c>
      <c r="BM85" s="21"/>
    </row>
    <row r="86" ht="33.75" customHeight="1">
      <c r="A86" s="37"/>
      <c r="B86" s="38">
        <f>IFERROR(__xludf.DUMMYFUNCTION("""COMPUTED_VALUE"""),84.0)</f>
        <v>84</v>
      </c>
      <c r="C86" s="39" t="str">
        <f>IFERROR(__xludf.DUMMYFUNCTION("""COMPUTED_VALUE"""),"Gestión de la información y generación del conocimiento")</f>
        <v>Gestión de la información y generación del conocimiento</v>
      </c>
      <c r="D86" s="40" t="str">
        <f>IFERROR(__xludf.DUMMYFUNCTION("""COMPUTED_VALUE"""),"Sistemas")</f>
        <v>Sistemas</v>
      </c>
      <c r="E86" s="40" t="str">
        <f>IFERROR(__xludf.DUMMYFUNCTION("""COMPUTED_VALUE"""),"Fortalecimiento de la capacidad de gestión de la autoridad nacional de acuicultura y pesca - aunap nacional")</f>
        <v>Fortalecimiento de la capacidad de gestión de la autoridad nacional de acuicultura y pesca - aunap nacional</v>
      </c>
      <c r="F86" s="40">
        <f>IFERROR(__xludf.DUMMYFUNCTION("""COMPUTED_VALUE"""),2.018011000241E12)</f>
        <v>2018011000241</v>
      </c>
      <c r="G86" s="41" t="str">
        <f>IFERROR(__xludf.DUMMYFUNCTION("""COMPUTED_VALUE"""),"Fortalecimiento")</f>
        <v>Fortalecimiento</v>
      </c>
      <c r="H86" s="40" t="str">
        <f>IFERROR(__xludf.DUMMYFUNCTION("""COMPUTED_VALUE"""),"Fortalecer la Infraestructura Tecnológica de la entidad")</f>
        <v>Fortalecer la Infraestructura Tecnológica de la entidad</v>
      </c>
      <c r="I86" s="40" t="str">
        <f>IFERROR(__xludf.DUMMYFUNCTION("""COMPUTED_VALUE"""),"Servicios tecnológicos")</f>
        <v>Servicios tecnológicos</v>
      </c>
      <c r="J86" s="40" t="str">
        <f>IFERROR(__xludf.DUMMYFUNCTION("""COMPUTED_VALUE"""),"Implementar y gestionar los procesos de soporte y mantenimiento de los servicios Tecnológicos de la Entidad.")</f>
        <v>Implementar y gestionar los procesos de soporte y mantenimiento de los servicios Tecnológicos de la Entidad.</v>
      </c>
      <c r="K86" s="42" t="str">
        <f>IFERROR(__xludf.DUMMYFUNCTION("""COMPUTED_VALUE"""),"Gestión del área")</f>
        <v>Gestión del área</v>
      </c>
      <c r="L86" s="42" t="str">
        <f>IFERROR(__xludf.DUMMYFUNCTION("""COMPUTED_VALUE"""),"Eficacia")</f>
        <v>Eficacia</v>
      </c>
      <c r="M86" s="42" t="str">
        <f>IFERROR(__xludf.DUMMYFUNCTION("""COMPUTED_VALUE"""),"Numero")</f>
        <v>Numero</v>
      </c>
      <c r="N86" s="43" t="str">
        <f>IFERROR(__xludf.DUMMYFUNCTION("""COMPUTED_VALUE"""),"Documentos técnicos actualizados")</f>
        <v>Documentos técnicos actualizados</v>
      </c>
      <c r="O86" s="44">
        <f>IFERROR(__xludf.DUMMYFUNCTION("""COMPUTED_VALUE"""),2.0)</f>
        <v>2</v>
      </c>
      <c r="P86" s="74">
        <f>IFERROR(__xludf.DUMMYFUNCTION("""COMPUTED_VALUE"""),2.0)</f>
        <v>2</v>
      </c>
      <c r="Q86" s="75" t="str">
        <f>IFERROR(__xludf.DUMMYFUNCTION("""COMPUTED_VALUE"""),"Conforme a los resultados de la socializacion y retroalimentacion de los planes de tecnologias de la AUNAP, se actualizara el plan estratégicos de seguridad de la información - PESI  y el plan de tratamiento de riesgos de seguridad y privacidad de la Info"&amp;"rmación")</f>
        <v>Conforme a los resultados de la socializacion y retroalimentacion de los planes de tecnologias de la AUNAP, se actualizara el plan estratégicos de seguridad de la información - PESI  y el plan de tratamiento de riesgos de seguridad y privacidad de la Información</v>
      </c>
      <c r="R86" s="75" t="str">
        <f>IFERROR(__xludf.DUMMYFUNCTION("""COMPUTED_VALUE"""),"Trimestral")</f>
        <v>Trimestral</v>
      </c>
      <c r="S86" s="74">
        <f>IFERROR(__xludf.DUMMYFUNCTION("""COMPUTED_VALUE"""),0.0)</f>
        <v>0</v>
      </c>
      <c r="T86" s="74">
        <f>IFERROR(__xludf.DUMMYFUNCTION("""COMPUTED_VALUE"""),0.0)</f>
        <v>0</v>
      </c>
      <c r="U86" s="74">
        <f>IFERROR(__xludf.DUMMYFUNCTION("""COMPUTED_VALUE"""),1.0)</f>
        <v>1</v>
      </c>
      <c r="V86" s="74">
        <f>IFERROR(__xludf.DUMMYFUNCTION("""COMPUTED_VALUE"""),1.0)</f>
        <v>1</v>
      </c>
      <c r="W86" s="48" t="str">
        <f>IFERROR(__xludf.DUMMYFUNCTION("""COMPUTED_VALUE"""),"Sistemas")</f>
        <v>Sistemas</v>
      </c>
      <c r="X86" s="49" t="str">
        <f>IFERROR(__xludf.DUMMYFUNCTION("""COMPUTED_VALUE"""),"Maria Angarita Peñaranda")</f>
        <v>Maria Angarita Peñaranda</v>
      </c>
      <c r="Y86" s="39" t="str">
        <f>IFERROR(__xludf.DUMMYFUNCTION("""COMPUTED_VALUE"""),"Jefe de Oficina")</f>
        <v>Jefe de Oficina</v>
      </c>
      <c r="Z86" s="49" t="str">
        <f>IFERROR(__xludf.DUMMYFUNCTION("""COMPUTED_VALUE"""),"maria.angarita@aunap.gov.co")</f>
        <v>maria.angarita@aunap.gov.co</v>
      </c>
      <c r="AA86" s="39" t="str">
        <f>IFERROR(__xludf.DUMMYFUNCTION("""COMPUTED_VALUE"""),"Humanos, fisicos, financieros y tecnologicos")</f>
        <v>Humanos, fisicos, financieros y tecnologicos</v>
      </c>
      <c r="AB86" s="39" t="str">
        <f>IFERROR(__xludf.DUMMYFUNCTION("""COMPUTED_VALUE"""),"Plan Estratégico de Tecnologías de la Información y las Comunicaciones -PETIT")</f>
        <v>Plan Estratégico de Tecnologías de la Información y las Comunicaciones -PETIT</v>
      </c>
      <c r="AC86" s="39" t="str">
        <f>IFERROR(__xludf.DUMMYFUNCTION("""COMPUTED_VALUE"""),"Llegar con actividades de pesca y acuicultura a todas las regiones")</f>
        <v>Llegar con actividades de pesca y acuicultura a todas las regiones</v>
      </c>
      <c r="AD86" s="39" t="str">
        <f>IFERROR(__xludf.DUMMYFUNCTION("""COMPUTED_VALUE"""),"Gestión del conocimiento")</f>
        <v>Gestión del conocimiento</v>
      </c>
      <c r="AE86" s="39" t="str">
        <f>IFERROR(__xludf.DUMMYFUNCTION("""COMPUTED_VALUE"""),"Seguridad Digital")</f>
        <v>Seguridad Digital</v>
      </c>
      <c r="AF86" s="39" t="str">
        <f>IFERROR(__xludf.DUMMYFUNCTION("""COMPUTED_VALUE"""),"9. Industria, innovación e infraestructura")</f>
        <v>9. Industria, innovación e infraestructura</v>
      </c>
      <c r="AG86" s="76">
        <f>IFERROR(__xludf.DUMMYFUNCTION("""COMPUTED_VALUE"""),0.0)</f>
        <v>0</v>
      </c>
      <c r="AH86" s="51" t="str">
        <f>IFERROR(__xludf.DUMMYFUNCTION("""COMPUTED_VALUE"""),"Para este trimestre no se reporta ninguna meta")</f>
        <v>Para este trimestre no se reporta ninguna meta</v>
      </c>
      <c r="AI86" s="51"/>
      <c r="AJ86" s="52">
        <f>IFERROR(__xludf.DUMMYFUNCTION("""COMPUTED_VALUE"""),44298.0)</f>
        <v>44298</v>
      </c>
      <c r="AK86" s="53" t="str">
        <f>IFERROR(IF((AL86+1)&lt;2,Alertas!$B$2&amp;TEXT(AL86,"0%")&amp;Alertas!$D$2, IF((AL86+1)=2,Alertas!$B$3,IF((AL86+1)&gt;2,Alertas!$B$4&amp;TEXT(AL86,"0%")&amp;Alertas!$D$4,AL86+1))),"Sin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86" s="54">
        <f t="shared" si="2"/>
        <v>0</v>
      </c>
      <c r="AM86" s="53" t="str">
        <f t="shared" si="3"/>
        <v>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86" s="55"/>
      <c r="AO86" s="56"/>
      <c r="AP86" s="57"/>
      <c r="AQ86" s="57"/>
      <c r="AR86" s="58"/>
      <c r="AS86" s="59"/>
      <c r="AT86" s="60"/>
      <c r="AU86" s="55"/>
      <c r="AV86" s="56"/>
      <c r="AW86" s="61"/>
      <c r="AX86" s="57"/>
      <c r="AY86" s="62"/>
      <c r="AZ86" s="63"/>
      <c r="BA86" s="64"/>
      <c r="BB86" s="65"/>
      <c r="BC86" s="56"/>
      <c r="BD86" s="61"/>
      <c r="BE86" s="57"/>
      <c r="BF86" s="58"/>
      <c r="BG86" s="63"/>
      <c r="BH86" s="64"/>
      <c r="BI86" s="66"/>
      <c r="BK86" s="21" t="str">
        <f t="shared" si="23"/>
        <v>-1</v>
      </c>
      <c r="BM86" s="21"/>
    </row>
    <row r="87" ht="33.75" customHeight="1">
      <c r="A87" s="37"/>
      <c r="B87" s="38">
        <f>IFERROR(__xludf.DUMMYFUNCTION("""COMPUTED_VALUE"""),85.0)</f>
        <v>85</v>
      </c>
      <c r="C87" s="39" t="str">
        <f>IFERROR(__xludf.DUMMYFUNCTION("""COMPUTED_VALUE"""),"Gestión de la información y generación del conocimiento")</f>
        <v>Gestión de la información y generación del conocimiento</v>
      </c>
      <c r="D87" s="40" t="str">
        <f>IFERROR(__xludf.DUMMYFUNCTION("""COMPUTED_VALUE"""),"Sistemas")</f>
        <v>Sistemas</v>
      </c>
      <c r="E87" s="40" t="str">
        <f>IFERROR(__xludf.DUMMYFUNCTION("""COMPUTED_VALUE"""),"Fortalecimiento de la capacidad de gestión de la autoridad nacional de acuicultura y pesca - aunap nacional")</f>
        <v>Fortalecimiento de la capacidad de gestión de la autoridad nacional de acuicultura y pesca - aunap nacional</v>
      </c>
      <c r="F87" s="40">
        <f>IFERROR(__xludf.DUMMYFUNCTION("""COMPUTED_VALUE"""),2.018011000241E12)</f>
        <v>2018011000241</v>
      </c>
      <c r="G87" s="41" t="str">
        <f>IFERROR(__xludf.DUMMYFUNCTION("""COMPUTED_VALUE"""),"Fortalecimiento")</f>
        <v>Fortalecimiento</v>
      </c>
      <c r="H87" s="40" t="str">
        <f>IFERROR(__xludf.DUMMYFUNCTION("""COMPUTED_VALUE"""),"Fortalecer la Infraestructura Tecnológica de la entidad")</f>
        <v>Fortalecer la Infraestructura Tecnológica de la entidad</v>
      </c>
      <c r="I87" s="40" t="str">
        <f>IFERROR(__xludf.DUMMYFUNCTION("""COMPUTED_VALUE"""),"Servicios tecnológicos")</f>
        <v>Servicios tecnológicos</v>
      </c>
      <c r="J87" s="40" t="str">
        <f>IFERROR(__xludf.DUMMYFUNCTION("""COMPUTED_VALUE"""),"Implementar y gestionar los procesos de soporte y mantenimiento de los servicios Tecnológicos de la Entidad.")</f>
        <v>Implementar y gestionar los procesos de soporte y mantenimiento de los servicios Tecnológicos de la Entidad.</v>
      </c>
      <c r="K87" s="42" t="str">
        <f>IFERROR(__xludf.DUMMYFUNCTION("""COMPUTED_VALUE"""),"Gestión del área")</f>
        <v>Gestión del área</v>
      </c>
      <c r="L87" s="42" t="str">
        <f>IFERROR(__xludf.DUMMYFUNCTION("""COMPUTED_VALUE"""),"Eficacia")</f>
        <v>Eficacia</v>
      </c>
      <c r="M87" s="42" t="str">
        <f>IFERROR(__xludf.DUMMYFUNCTION("""COMPUTED_VALUE"""),"Numero")</f>
        <v>Numero</v>
      </c>
      <c r="N87" s="43" t="str">
        <f>IFERROR(__xludf.DUMMYFUNCTION("""COMPUTED_VALUE"""),"Formatos")</f>
        <v>Formatos</v>
      </c>
      <c r="O87" s="44">
        <f>IFERROR(__xludf.DUMMYFUNCTION("""COMPUTED_VALUE"""),2.0)</f>
        <v>2</v>
      </c>
      <c r="P87" s="45">
        <f>IFERROR(__xludf.DUMMYFUNCTION("""COMPUTED_VALUE"""),2.0)</f>
        <v>2</v>
      </c>
      <c r="Q87" s="46" t="str">
        <f>IFERROR(__xludf.DUMMYFUNCTION("""COMPUTED_VALUE"""),"Fortalecer el compromiso de confidencialidad para ser diligenciado por los funcionarios y contratistas, y crear formato de paz y salvo   para la entrega de la documentacion trabajada durante el vinculo contractual, y solicitar a la coordinación de gestión"&amp;" contractual, incluir esto como obligación general en los estudios previos, con el fin de dar cumplimiento con lo estipulado en el Plan Estratégico de Seguridad de la Información")</f>
        <v>Fortalecer el compromiso de confidencialidad para ser diligenciado por los funcionarios y contratistas, y crear formato de paz y salvo   para la entrega de la documentacion trabajada durante el vinculo contractual, y solicitar a la coordinación de gestión contractual, incluir esto como obligación general en los estudios previos, con el fin de dar cumplimiento con lo estipulado en el Plan Estratégico de Seguridad de la Información</v>
      </c>
      <c r="R87" s="47" t="str">
        <f>IFERROR(__xludf.DUMMYFUNCTION("""COMPUTED_VALUE"""),"Trimestral")</f>
        <v>Trimestral</v>
      </c>
      <c r="S87" s="45">
        <f>IFERROR(__xludf.DUMMYFUNCTION("""COMPUTED_VALUE"""),1.0)</f>
        <v>1</v>
      </c>
      <c r="T87" s="45">
        <f>IFERROR(__xludf.DUMMYFUNCTION("""COMPUTED_VALUE"""),0.0)</f>
        <v>0</v>
      </c>
      <c r="U87" s="45">
        <f>IFERROR(__xludf.DUMMYFUNCTION("""COMPUTED_VALUE"""),1.0)</f>
        <v>1</v>
      </c>
      <c r="V87" s="45">
        <f>IFERROR(__xludf.DUMMYFUNCTION("""COMPUTED_VALUE"""),0.0)</f>
        <v>0</v>
      </c>
      <c r="W87" s="48" t="str">
        <f>IFERROR(__xludf.DUMMYFUNCTION("""COMPUTED_VALUE"""),"Sistemas")</f>
        <v>Sistemas</v>
      </c>
      <c r="X87" s="49" t="str">
        <f>IFERROR(__xludf.DUMMYFUNCTION("""COMPUTED_VALUE"""),"Maria Angarita Peñaranda")</f>
        <v>Maria Angarita Peñaranda</v>
      </c>
      <c r="Y87" s="39" t="str">
        <f>IFERROR(__xludf.DUMMYFUNCTION("""COMPUTED_VALUE"""),"Jefe de Oficina")</f>
        <v>Jefe de Oficina</v>
      </c>
      <c r="Z87" s="49" t="str">
        <f>IFERROR(__xludf.DUMMYFUNCTION("""COMPUTED_VALUE"""),"maria.angarita@aunap.gov.co")</f>
        <v>maria.angarita@aunap.gov.co</v>
      </c>
      <c r="AA87" s="39" t="str">
        <f>IFERROR(__xludf.DUMMYFUNCTION("""COMPUTED_VALUE"""),"Humanos, fisicos, financieros y tecnologicos")</f>
        <v>Humanos, fisicos, financieros y tecnologicos</v>
      </c>
      <c r="AB87" s="39" t="str">
        <f>IFERROR(__xludf.DUMMYFUNCTION("""COMPUTED_VALUE"""),"Plan Estratégico de Tecnologías de la Información y las Comunicaciones -PETIT")</f>
        <v>Plan Estratégico de Tecnologías de la Información y las Comunicaciones -PETIT</v>
      </c>
      <c r="AC87" s="39" t="str">
        <f>IFERROR(__xludf.DUMMYFUNCTION("""COMPUTED_VALUE"""),"Llegar con actividades de pesca y acuicultura a todas las regiones")</f>
        <v>Llegar con actividades de pesca y acuicultura a todas las regiones</v>
      </c>
      <c r="AD87" s="39" t="str">
        <f>IFERROR(__xludf.DUMMYFUNCTION("""COMPUTED_VALUE"""),"Gestión del conocimiento")</f>
        <v>Gestión del conocimiento</v>
      </c>
      <c r="AE87" s="39" t="str">
        <f>IFERROR(__xludf.DUMMYFUNCTION("""COMPUTED_VALUE"""),"Seguridad Digital")</f>
        <v>Seguridad Digital</v>
      </c>
      <c r="AF87" s="39" t="str">
        <f>IFERROR(__xludf.DUMMYFUNCTION("""COMPUTED_VALUE"""),"9. Industria, innovación e infraestructura")</f>
        <v>9. Industria, innovación e infraestructura</v>
      </c>
      <c r="AG87" s="76">
        <f>IFERROR(__xludf.DUMMYFUNCTION("""COMPUTED_VALUE"""),1.0)</f>
        <v>1</v>
      </c>
      <c r="AH87" s="51" t="str">
        <f>IFERROR(__xludf.DUMMYFUNCTION("""COMPUTED_VALUE"""),"Se fortalecio el compromiso de confidencialidad para ser diligenciado por los funcionarios y contratistas, el cual fue publicado en la plataforma de sistema integrado de gestion de la AUNAP")</f>
        <v>Se fortalecio el compromiso de confidencialidad para ser diligenciado por los funcionarios y contratistas, el cual fue publicado en la plataforma de sistema integrado de gestion de la AUNAP</v>
      </c>
      <c r="AI87" s="77" t="str">
        <f>IFERROR(__xludf.DUMMYFUNCTION("""COMPUTED_VALUE"""),"https://drive.google.com/file/d/1_9epKIacFLDSAe7HUqeXr4_5kXAdzTh5/view")</f>
        <v>https://drive.google.com/file/d/1_9epKIacFLDSAe7HUqeXr4_5kXAdzTh5/view</v>
      </c>
      <c r="AJ87" s="52">
        <f>IFERROR(__xludf.DUMMYFUNCTION("""COMPUTED_VALUE"""),44298.0)</f>
        <v>44298</v>
      </c>
      <c r="AK87" s="53" t="str">
        <f>IFERROR(IF((AL87+1)&lt;2,Alertas!$B$2&amp;TEXT(AL87,"0%")&amp;Alertas!$D$2, IF((AL87+1)=2,Alertas!$B$3,IF((AL87+1)&gt;2,Alertas!$B$4&amp;TEXT(AL87,"0%")&amp;Alertas!$D$4,AL87+1))),"Sin meta para el cuarto trimestre")</f>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L87" s="54">
        <f t="shared" si="2"/>
        <v>2</v>
      </c>
      <c r="AM87" s="53" t="str">
        <f t="shared" si="3"/>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N87" s="55"/>
      <c r="AO87" s="56"/>
      <c r="AP87" s="57"/>
      <c r="AQ87" s="57"/>
      <c r="AR87" s="58"/>
      <c r="AS87" s="59"/>
      <c r="AT87" s="60"/>
      <c r="AU87" s="55"/>
      <c r="AV87" s="56"/>
      <c r="AW87" s="61"/>
      <c r="AX87" s="57"/>
      <c r="AY87" s="62"/>
      <c r="AZ87" s="63"/>
      <c r="BA87" s="64"/>
      <c r="BB87" s="65"/>
      <c r="BC87" s="56"/>
      <c r="BD87" s="61"/>
      <c r="BE87" s="57"/>
      <c r="BF87" s="58"/>
      <c r="BG87" s="63"/>
      <c r="BH87" s="64"/>
      <c r="BI87" s="66"/>
      <c r="BK87" s="21" t="str">
        <f t="shared" si="23"/>
        <v>1</v>
      </c>
      <c r="BM87" s="21"/>
    </row>
    <row r="88" ht="33.75" customHeight="1">
      <c r="A88" s="37"/>
      <c r="B88" s="38">
        <f>IFERROR(__xludf.DUMMYFUNCTION("""COMPUTED_VALUE"""),86.0)</f>
        <v>86</v>
      </c>
      <c r="C88" s="39" t="str">
        <f>IFERROR(__xludf.DUMMYFUNCTION("""COMPUTED_VALUE"""),"Gestión del talento humano")</f>
        <v>Gestión del talento humano</v>
      </c>
      <c r="D88" s="40" t="str">
        <f>IFERROR(__xludf.DUMMYFUNCTION("""COMPUTED_VALUE"""),"Talento Humano")</f>
        <v>Talento Humano</v>
      </c>
      <c r="E88" s="40" t="str">
        <f>IFERROR(__xludf.DUMMYFUNCTION("""COMPUTED_VALUE"""),"Fortalecimiento de la capacidad de gestión de la autoridad nacional de acuicultura y pesca - aunap nacional")</f>
        <v>Fortalecimiento de la capacidad de gestión de la autoridad nacional de acuicultura y pesca - aunap nacional</v>
      </c>
      <c r="F88" s="40">
        <f>IFERROR(__xludf.DUMMYFUNCTION("""COMPUTED_VALUE"""),2.018011000241E12)</f>
        <v>2018011000241</v>
      </c>
      <c r="G88" s="41" t="str">
        <f>IFERROR(__xludf.DUMMYFUNCTION("""COMPUTED_VALUE"""),"Fortalecimiento")</f>
        <v>Fortalecimiento</v>
      </c>
      <c r="H88" s="40" t="str">
        <f>IFERROR(__xludf.DUMMYFUNCTION("""COMPUTED_VALUE"""),"Fortalecer los sistemas de gestión de la Entidad")</f>
        <v>Fortalecer los sistemas de gestión de la Entidad</v>
      </c>
      <c r="I88" s="40" t="str">
        <f>IFERROR(__xludf.DUMMYFUNCTION("""COMPUTED_VALUE"""),"Servicio de Implementación Sistemas de Gestión")</f>
        <v>Servicio de Implementación Sistemas de Gestión</v>
      </c>
      <c r="J88"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88" s="42" t="str">
        <f>IFERROR(__xludf.DUMMYFUNCTION("""COMPUTED_VALUE"""),"Gestión del área")</f>
        <v>Gestión del área</v>
      </c>
      <c r="L88" s="42" t="str">
        <f>IFERROR(__xludf.DUMMYFUNCTION("""COMPUTED_VALUE"""),"Eficacia")</f>
        <v>Eficacia</v>
      </c>
      <c r="M88" s="42" t="str">
        <f>IFERROR(__xludf.DUMMYFUNCTION("""COMPUTED_VALUE"""),"Porcentaje")</f>
        <v>Porcentaje</v>
      </c>
      <c r="N88" s="43" t="str">
        <f>IFERROR(__xludf.DUMMYFUNCTION("""COMPUTED_VALUE"""),"Numero de actividades desarrolladas Vs Numero de actividades propuestas en el plan de Bienestar e incentivos")</f>
        <v>Numero de actividades desarrolladas Vs Numero de actividades propuestas en el plan de Bienestar e incentivos</v>
      </c>
      <c r="O88" s="44"/>
      <c r="P88" s="45">
        <f>IFERROR(__xludf.DUMMYFUNCTION("""COMPUTED_VALUE"""),1.0)</f>
        <v>1</v>
      </c>
      <c r="Q88" s="46" t="str">
        <f>IFERROR(__xludf.DUMMYFUNCTION("""COMPUTED_VALUE"""),"Ejecutar las actividades propuestas en el plan de Bienestar e incentivos")</f>
        <v>Ejecutar las actividades propuestas en el plan de Bienestar e incentivos</v>
      </c>
      <c r="R88" s="47" t="str">
        <f>IFERROR(__xludf.DUMMYFUNCTION("""COMPUTED_VALUE"""),"Semestral")</f>
        <v>Semestral</v>
      </c>
      <c r="S88" s="45">
        <f>IFERROR(__xludf.DUMMYFUNCTION("""COMPUTED_VALUE"""),0.0)</f>
        <v>0</v>
      </c>
      <c r="T88" s="45">
        <f>IFERROR(__xludf.DUMMYFUNCTION("""COMPUTED_VALUE"""),0.5)</f>
        <v>0.5</v>
      </c>
      <c r="U88" s="45">
        <f>IFERROR(__xludf.DUMMYFUNCTION("""COMPUTED_VALUE"""),0.0)</f>
        <v>0</v>
      </c>
      <c r="V88" s="45">
        <f>IFERROR(__xludf.DUMMYFUNCTION("""COMPUTED_VALUE"""),0.5)</f>
        <v>0.5</v>
      </c>
      <c r="W88" s="48" t="str">
        <f>IFERROR(__xludf.DUMMYFUNCTION("""COMPUTED_VALUE"""),"Talento Humano")</f>
        <v>Talento Humano</v>
      </c>
      <c r="X88" s="49" t="str">
        <f>IFERROR(__xludf.DUMMYFUNCTION("""COMPUTED_VALUE"""),"Helmuth Bettin")</f>
        <v>Helmuth Bettin</v>
      </c>
      <c r="Y88" s="39" t="str">
        <f>IFERROR(__xludf.DUMMYFUNCTION("""COMPUTED_VALUE"""),"Coordinador del Area")</f>
        <v>Coordinador del Area</v>
      </c>
      <c r="Z88" s="49" t="str">
        <f>IFERROR(__xludf.DUMMYFUNCTION("""COMPUTED_VALUE"""),"helmuth.bettin@aunap.gov.co")</f>
        <v>helmuth.bettin@aunap.gov.co</v>
      </c>
      <c r="AA88" s="39" t="str">
        <f>IFERROR(__xludf.DUMMYFUNCTION("""COMPUTED_VALUE"""),"Humano, físico, financiero, tecnológico")</f>
        <v>Humano, físico, financiero, tecnológico</v>
      </c>
      <c r="AB88" s="39" t="str">
        <f>IFERROR(__xludf.DUMMYFUNCTION("""COMPUTED_VALUE"""),"Plan de Incentivos Institucionales")</f>
        <v>Plan de Incentivos Institucionales</v>
      </c>
      <c r="AC88" s="39" t="str">
        <f>IFERROR(__xludf.DUMMYFUNCTION("""COMPUTED_VALUE"""),"Llegar con actividades de pesca y acuicultura a todas las regiones")</f>
        <v>Llegar con actividades de pesca y acuicultura a todas las regiones</v>
      </c>
      <c r="AD88" s="39" t="str">
        <f>IFERROR(__xludf.DUMMYFUNCTION("""COMPUTED_VALUE"""),"Talento Humano")</f>
        <v>Talento Humano</v>
      </c>
      <c r="AE88" s="39" t="str">
        <f>IFERROR(__xludf.DUMMYFUNCTION("""COMPUTED_VALUE"""),"Talento Humano")</f>
        <v>Talento Humano</v>
      </c>
      <c r="AF88" s="39" t="str">
        <f>IFERROR(__xludf.DUMMYFUNCTION("""COMPUTED_VALUE"""),"16. Paz, justicia e instituciones sólidas")</f>
        <v>16. Paz, justicia e instituciones sólidas</v>
      </c>
      <c r="AG88" s="50">
        <f>IFERROR(__xludf.DUMMYFUNCTION("""COMPUTED_VALUE"""),0.05)</f>
        <v>0.05</v>
      </c>
      <c r="AH88" s="51" t="str">
        <f>IFERROR(__xludf.DUMMYFUNCTION("""COMPUTED_VALUE"""),"El avance proyectado para el primer trimestre estaba dirigido a la publicación y divulgación del respectivo Plan
Adicional a ello ya se inicio la ejecución de actividades para cada uno de los Planes")</f>
        <v>El avance proyectado para el primer trimestre estaba dirigido a la publicación y divulgación del respectivo Plan
Adicional a ello ya se inicio la ejecución de actividades para cada uno de los Planes</v>
      </c>
      <c r="AI88" s="51" t="str">
        <f>IFERROR(__xludf.DUMMYFUNCTION("""COMPUTED_VALUE"""),"https://drive.google.com/drive/u/4/folders/1R9b7_7SE4iA0CimBa2qexD6XSAofr_wl
https://www.aunap.gov.co/index.php/secretraria-general/talento-humano#documentos-de-interes")</f>
        <v>https://drive.google.com/drive/u/4/folders/1R9b7_7SE4iA0CimBa2qexD6XSAofr_wl
https://www.aunap.gov.co/index.php/secretraria-general/talento-humano#documentos-de-interes</v>
      </c>
      <c r="AJ88" s="52">
        <f>IFERROR(__xludf.DUMMYFUNCTION("""COMPUTED_VALUE"""),44298.0)</f>
        <v>44298</v>
      </c>
      <c r="AK88" s="53" t="str">
        <f>IFERROR(IF((AL88+1)&lt;2,Alertas!$B$2&amp;TEXT(AL88,"0%")&amp;Alertas!$D$2, IF((AL88+1)=2,Alertas!$B$3,IF((AL88+1)&gt;2,Alertas!$B$4&amp;TEXT(AL88,"0%")&amp;Alertas!$D$4,AL88+1))),"Sin meta para el cuarto trimestre")</f>
        <v>La ejecución de la meta registrada se encuentra por debajo de la meta programada en la formulación del plan de acción para el cuarto trimestre, su porcentaje de cumplimiento es 10%, lo cual indica un incumplimiento que puede ser entendido por los entes de control como falencias en el proceso de planeación. se recomienda tomar este antecedente como insumo para disminuir la meta en la próxima vigencia</v>
      </c>
      <c r="AL88" s="54">
        <f t="shared" si="2"/>
        <v>0.1</v>
      </c>
      <c r="AM88" s="53" t="str">
        <f t="shared" si="3"/>
        <v>La ejecución de la meta registrada se encuentra por debajo de la meta programada en la formulación del plan de acción para el cuarto trimestre, su porcentaje de cumplimiento es 10%, lo cual indica un incumplimiento que puede ser entendido por los entes de control como falencias en el proceso de planeación. se recomienda tomar este antecedente como insumo para disminuir la meta en la próxima vigencia.</v>
      </c>
      <c r="AN88" s="55"/>
      <c r="AO88" s="56"/>
      <c r="AP88" s="57"/>
      <c r="AQ88" s="57"/>
      <c r="AR88" s="58"/>
      <c r="AS88" s="59"/>
      <c r="AT88" s="60"/>
      <c r="AU88" s="55"/>
      <c r="AV88" s="56"/>
      <c r="AW88" s="61"/>
      <c r="AX88" s="57"/>
      <c r="AY88" s="62"/>
      <c r="AZ88" s="63"/>
      <c r="BA88" s="64"/>
      <c r="BB88" s="65"/>
      <c r="BC88" s="56"/>
      <c r="BD88" s="61"/>
      <c r="BE88" s="57"/>
      <c r="BF88" s="58"/>
      <c r="BG88" s="63"/>
      <c r="BH88" s="64"/>
      <c r="BI88" s="66"/>
      <c r="BK88" s="21" t="str">
        <f t="shared" si="23"/>
        <v>-1</v>
      </c>
      <c r="BM88" s="21"/>
    </row>
    <row r="89" ht="33.75" customHeight="1">
      <c r="A89" s="37"/>
      <c r="B89" s="38">
        <f>IFERROR(__xludf.DUMMYFUNCTION("""COMPUTED_VALUE"""),87.0)</f>
        <v>87</v>
      </c>
      <c r="C89" s="39" t="str">
        <f>IFERROR(__xludf.DUMMYFUNCTION("""COMPUTED_VALUE"""),"Gestión del talento humano")</f>
        <v>Gestión del talento humano</v>
      </c>
      <c r="D89" s="40" t="str">
        <f>IFERROR(__xludf.DUMMYFUNCTION("""COMPUTED_VALUE"""),"Talento Humano")</f>
        <v>Talento Humano</v>
      </c>
      <c r="E89" s="40" t="str">
        <f>IFERROR(__xludf.DUMMYFUNCTION("""COMPUTED_VALUE"""),"Fortalecimiento de la capacidad de gestión de la autoridad nacional de acuicultura y pesca - aunap nacional")</f>
        <v>Fortalecimiento de la capacidad de gestión de la autoridad nacional de acuicultura y pesca - aunap nacional</v>
      </c>
      <c r="F89" s="40">
        <f>IFERROR(__xludf.DUMMYFUNCTION("""COMPUTED_VALUE"""),2.018011000241E12)</f>
        <v>2018011000241</v>
      </c>
      <c r="G89" s="41" t="str">
        <f>IFERROR(__xludf.DUMMYFUNCTION("""COMPUTED_VALUE"""),"Fortalecimiento")</f>
        <v>Fortalecimiento</v>
      </c>
      <c r="H89" s="40" t="str">
        <f>IFERROR(__xludf.DUMMYFUNCTION("""COMPUTED_VALUE"""),"Fortalecer los sistemas de gestión de la Entidad")</f>
        <v>Fortalecer los sistemas de gestión de la Entidad</v>
      </c>
      <c r="I89" s="40" t="str">
        <f>IFERROR(__xludf.DUMMYFUNCTION("""COMPUTED_VALUE"""),"Servicio de Implementación Sistemas de Gestión")</f>
        <v>Servicio de Implementación Sistemas de Gestión</v>
      </c>
      <c r="J89"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89" s="42" t="str">
        <f>IFERROR(__xludf.DUMMYFUNCTION("""COMPUTED_VALUE"""),"Gestión del área")</f>
        <v>Gestión del área</v>
      </c>
      <c r="L89" s="42" t="str">
        <f>IFERROR(__xludf.DUMMYFUNCTION("""COMPUTED_VALUE"""),"Eficacia")</f>
        <v>Eficacia</v>
      </c>
      <c r="M89" s="42" t="str">
        <f>IFERROR(__xludf.DUMMYFUNCTION("""COMPUTED_VALUE"""),"Porcentaje")</f>
        <v>Porcentaje</v>
      </c>
      <c r="N89" s="43" t="str">
        <f>IFERROR(__xludf.DUMMYFUNCTION("""COMPUTED_VALUE"""),"Numero de actividades realizadas Vs Numero de actividades establecidas en el Plan de Seguridad y Salud en el Trabajo PTASST")</f>
        <v>Numero de actividades realizadas Vs Numero de actividades establecidas en el Plan de Seguridad y Salud en el Trabajo PTASST</v>
      </c>
      <c r="O89" s="44"/>
      <c r="P89" s="45">
        <f>IFERROR(__xludf.DUMMYFUNCTION("""COMPUTED_VALUE"""),1.0)</f>
        <v>1</v>
      </c>
      <c r="Q89" s="46" t="str">
        <f>IFERROR(__xludf.DUMMYFUNCTION("""COMPUTED_VALUE"""),"Ejecutar las actividades establecidas el Plan de Seguridad y Salud en el Trabajo PTASST")</f>
        <v>Ejecutar las actividades establecidas el Plan de Seguridad y Salud en el Trabajo PTASST</v>
      </c>
      <c r="R89" s="47" t="str">
        <f>IFERROR(__xludf.DUMMYFUNCTION("""COMPUTED_VALUE"""),"Anual")</f>
        <v>Anual</v>
      </c>
      <c r="S89" s="45">
        <f>IFERROR(__xludf.DUMMYFUNCTION("""COMPUTED_VALUE"""),0.0)</f>
        <v>0</v>
      </c>
      <c r="T89" s="45">
        <f>IFERROR(__xludf.DUMMYFUNCTION("""COMPUTED_VALUE"""),0.0)</f>
        <v>0</v>
      </c>
      <c r="U89" s="45">
        <f>IFERROR(__xludf.DUMMYFUNCTION("""COMPUTED_VALUE"""),0.0)</f>
        <v>0</v>
      </c>
      <c r="V89" s="45">
        <f>IFERROR(__xludf.DUMMYFUNCTION("""COMPUTED_VALUE"""),1.0)</f>
        <v>1</v>
      </c>
      <c r="W89" s="48" t="str">
        <f>IFERROR(__xludf.DUMMYFUNCTION("""COMPUTED_VALUE"""),"Talento Humano")</f>
        <v>Talento Humano</v>
      </c>
      <c r="X89" s="49" t="str">
        <f>IFERROR(__xludf.DUMMYFUNCTION("""COMPUTED_VALUE"""),"Helmuth Bettin")</f>
        <v>Helmuth Bettin</v>
      </c>
      <c r="Y89" s="39" t="str">
        <f>IFERROR(__xludf.DUMMYFUNCTION("""COMPUTED_VALUE"""),"Coordinador del Area")</f>
        <v>Coordinador del Area</v>
      </c>
      <c r="Z89" s="49" t="str">
        <f>IFERROR(__xludf.DUMMYFUNCTION("""COMPUTED_VALUE"""),"helmuth.bettin@aunap.gov.co")</f>
        <v>helmuth.bettin@aunap.gov.co</v>
      </c>
      <c r="AA89" s="39" t="str">
        <f>IFERROR(__xludf.DUMMYFUNCTION("""COMPUTED_VALUE"""),"Humano, físico, financiero, tecnológico")</f>
        <v>Humano, físico, financiero, tecnológico</v>
      </c>
      <c r="AB89" s="39" t="str">
        <f>IFERROR(__xludf.DUMMYFUNCTION("""COMPUTED_VALUE"""),"Plan de Trabajo Anual en Seguridad y Salud en el Trabajo PTASST")</f>
        <v>Plan de Trabajo Anual en Seguridad y Salud en el Trabajo PTASST</v>
      </c>
      <c r="AC89" s="39" t="str">
        <f>IFERROR(__xludf.DUMMYFUNCTION("""COMPUTED_VALUE"""),"Llegar con actividades de pesca y acuicultura a todas las regiones")</f>
        <v>Llegar con actividades de pesca y acuicultura a todas las regiones</v>
      </c>
      <c r="AD89" s="39" t="str">
        <f>IFERROR(__xludf.DUMMYFUNCTION("""COMPUTED_VALUE"""),"Talento Humano")</f>
        <v>Talento Humano</v>
      </c>
      <c r="AE89" s="39" t="str">
        <f>IFERROR(__xludf.DUMMYFUNCTION("""COMPUTED_VALUE"""),"Talento Humano")</f>
        <v>Talento Humano</v>
      </c>
      <c r="AF89" s="39" t="str">
        <f>IFERROR(__xludf.DUMMYFUNCTION("""COMPUTED_VALUE"""),"16. Paz, justicia e instituciones sólidas")</f>
        <v>16. Paz, justicia e instituciones sólidas</v>
      </c>
      <c r="AG89" s="50">
        <f>IFERROR(__xludf.DUMMYFUNCTION("""COMPUTED_VALUE"""),0.05)</f>
        <v>0.05</v>
      </c>
      <c r="AH89" s="51" t="str">
        <f>IFERROR(__xludf.DUMMYFUNCTION("""COMPUTED_VALUE"""),"El avance proyectado para el primer trimestre estaba dirigido a la publicación y divulgación del respectivo Plan
Adicional a ello ya se inicio la ejecución de actividades para cada uno de los Planes")</f>
        <v>El avance proyectado para el primer trimestre estaba dirigido a la publicación y divulgación del respectivo Plan
Adicional a ello ya se inicio la ejecución de actividades para cada uno de los Planes</v>
      </c>
      <c r="AI89" s="51" t="str">
        <f>IFERROR(__xludf.DUMMYFUNCTION("""COMPUTED_VALUE"""),"https://drive.google.com/drive/u/4/folders/1s3FB80LqvI8SPwr9S_0BieGYn5TwHs9q
https://www.aunap.gov.co/index.php/secretraria-general/talento-humano#documentos-de-interes")</f>
        <v>https://drive.google.com/drive/u/4/folders/1s3FB80LqvI8SPwr9S_0BieGYn5TwHs9q
https://www.aunap.gov.co/index.php/secretraria-general/talento-humano#documentos-de-interes</v>
      </c>
      <c r="AJ89" s="52">
        <f>IFERROR(__xludf.DUMMYFUNCTION("""COMPUTED_VALUE"""),44298.0)</f>
        <v>44298</v>
      </c>
      <c r="AK89" s="53" t="str">
        <f>IFERROR(IF((AL89+1)&lt;2,Alertas!$B$2&amp;TEXT(AL89,"0%")&amp;Alertas!$D$2, IF((AL89+1)=2,Alertas!$B$3,IF((AL89+1)&gt;2,Alertas!$B$4&amp;TEXT(AL89,"0%")&amp;Alertas!$D$4,AL89+1))),"Sin meta para el cuarto trimestre")</f>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L89" s="54">
        <f t="shared" si="2"/>
        <v>0.05</v>
      </c>
      <c r="AM89" s="53" t="str">
        <f t="shared" si="3"/>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N89" s="55"/>
      <c r="AO89" s="56"/>
      <c r="AP89" s="57"/>
      <c r="AQ89" s="57"/>
      <c r="AR89" s="58"/>
      <c r="AS89" s="59"/>
      <c r="AT89" s="60"/>
      <c r="AU89" s="55"/>
      <c r="AV89" s="56"/>
      <c r="AW89" s="61"/>
      <c r="AX89" s="57"/>
      <c r="AY89" s="62"/>
      <c r="AZ89" s="63"/>
      <c r="BA89" s="64"/>
      <c r="BB89" s="65"/>
      <c r="BC89" s="56"/>
      <c r="BD89" s="61"/>
      <c r="BE89" s="57"/>
      <c r="BF89" s="58"/>
      <c r="BG89" s="63"/>
      <c r="BH89" s="64"/>
      <c r="BI89" s="66"/>
      <c r="BK89" s="21" t="str">
        <f t="shared" si="23"/>
        <v>-1</v>
      </c>
      <c r="BM89" s="21"/>
    </row>
    <row r="90" ht="33.75" customHeight="1">
      <c r="A90" s="37"/>
      <c r="B90" s="38">
        <f>IFERROR(__xludf.DUMMYFUNCTION("""COMPUTED_VALUE"""),88.0)</f>
        <v>88</v>
      </c>
      <c r="C90" s="39" t="str">
        <f>IFERROR(__xludf.DUMMYFUNCTION("""COMPUTED_VALUE"""),"Gestión del talento humano")</f>
        <v>Gestión del talento humano</v>
      </c>
      <c r="D90" s="40" t="str">
        <f>IFERROR(__xludf.DUMMYFUNCTION("""COMPUTED_VALUE"""),"Talento Humano")</f>
        <v>Talento Humano</v>
      </c>
      <c r="E90" s="40" t="str">
        <f>IFERROR(__xludf.DUMMYFUNCTION("""COMPUTED_VALUE"""),"Fortalecimiento de la capacidad de gestión de la autoridad nacional de acuicultura y pesca - aunap nacional")</f>
        <v>Fortalecimiento de la capacidad de gestión de la autoridad nacional de acuicultura y pesca - aunap nacional</v>
      </c>
      <c r="F90" s="40">
        <f>IFERROR(__xludf.DUMMYFUNCTION("""COMPUTED_VALUE"""),2.018011000241E12)</f>
        <v>2018011000241</v>
      </c>
      <c r="G90" s="41" t="str">
        <f>IFERROR(__xludf.DUMMYFUNCTION("""COMPUTED_VALUE"""),"Fortalecimiento")</f>
        <v>Fortalecimiento</v>
      </c>
      <c r="H90" s="40" t="str">
        <f>IFERROR(__xludf.DUMMYFUNCTION("""COMPUTED_VALUE"""),"Fortalecer los sistemas de gestión de la Entidad")</f>
        <v>Fortalecer los sistemas de gestión de la Entidad</v>
      </c>
      <c r="I90" s="40" t="str">
        <f>IFERROR(__xludf.DUMMYFUNCTION("""COMPUTED_VALUE"""),"Servicio de Educación Informal para la Gestión Administrativa")</f>
        <v>Servicio de Educación Informal para la Gestión Administrativa</v>
      </c>
      <c r="J90" s="40" t="str">
        <f>IFERROR(__xludf.DUMMYFUNCTION("""COMPUTED_VALUE"""),"Capacitar a los servidores públicos, en los procesos de gestión institucional de la entidad")</f>
        <v>Capacitar a los servidores públicos, en los procesos de gestión institucional de la entidad</v>
      </c>
      <c r="K90" s="42" t="str">
        <f>IFERROR(__xludf.DUMMYFUNCTION("""COMPUTED_VALUE"""),"Gestión del área")</f>
        <v>Gestión del área</v>
      </c>
      <c r="L90" s="42" t="str">
        <f>IFERROR(__xludf.DUMMYFUNCTION("""COMPUTED_VALUE"""),"Eficacia")</f>
        <v>Eficacia</v>
      </c>
      <c r="M90" s="42" t="str">
        <f>IFERROR(__xludf.DUMMYFUNCTION("""COMPUTED_VALUE"""),"Porcentaje")</f>
        <v>Porcentaje</v>
      </c>
      <c r="N90" s="43" t="str">
        <f>IFERROR(__xludf.DUMMYFUNCTION("""COMPUTED_VALUE"""),"Numero de capacitaciones realizadas Vs Numero de capacitaciones programadas en el PNFC")</f>
        <v>Numero de capacitaciones realizadas Vs Numero de capacitaciones programadas en el PNFC</v>
      </c>
      <c r="O90" s="44"/>
      <c r="P90" s="45">
        <f>IFERROR(__xludf.DUMMYFUNCTION("""COMPUTED_VALUE"""),1.0)</f>
        <v>1</v>
      </c>
      <c r="Q90" s="46" t="str">
        <f>IFERROR(__xludf.DUMMYFUNCTION("""COMPUTED_VALUE"""),"Ejecutar las capacitaciones programadas en el Plan Nacional de Formación Capacitación")</f>
        <v>Ejecutar las capacitaciones programadas en el Plan Nacional de Formación Capacitación</v>
      </c>
      <c r="R90" s="47" t="str">
        <f>IFERROR(__xludf.DUMMYFUNCTION("""COMPUTED_VALUE"""),"Anual")</f>
        <v>Anual</v>
      </c>
      <c r="S90" s="45">
        <f>IFERROR(__xludf.DUMMYFUNCTION("""COMPUTED_VALUE"""),0.0)</f>
        <v>0</v>
      </c>
      <c r="T90" s="45">
        <f>IFERROR(__xludf.DUMMYFUNCTION("""COMPUTED_VALUE"""),0.0)</f>
        <v>0</v>
      </c>
      <c r="U90" s="45">
        <f>IFERROR(__xludf.DUMMYFUNCTION("""COMPUTED_VALUE"""),0.0)</f>
        <v>0</v>
      </c>
      <c r="V90" s="45">
        <f>IFERROR(__xludf.DUMMYFUNCTION("""COMPUTED_VALUE"""),1.0)</f>
        <v>1</v>
      </c>
      <c r="W90" s="48" t="str">
        <f>IFERROR(__xludf.DUMMYFUNCTION("""COMPUTED_VALUE"""),"Talento Humano")</f>
        <v>Talento Humano</v>
      </c>
      <c r="X90" s="49" t="str">
        <f>IFERROR(__xludf.DUMMYFUNCTION("""COMPUTED_VALUE"""),"Helmuth Bettin")</f>
        <v>Helmuth Bettin</v>
      </c>
      <c r="Y90" s="39" t="str">
        <f>IFERROR(__xludf.DUMMYFUNCTION("""COMPUTED_VALUE"""),"Coordinador del Area")</f>
        <v>Coordinador del Area</v>
      </c>
      <c r="Z90" s="49" t="str">
        <f>IFERROR(__xludf.DUMMYFUNCTION("""COMPUTED_VALUE"""),"helmuth.bettin@aunap.gov.co")</f>
        <v>helmuth.bettin@aunap.gov.co</v>
      </c>
      <c r="AA90" s="39" t="str">
        <f>IFERROR(__xludf.DUMMYFUNCTION("""COMPUTED_VALUE"""),"Humano, físico, financiero, tecnológico")</f>
        <v>Humano, físico, financiero, tecnológico</v>
      </c>
      <c r="AB90" s="39" t="str">
        <f>IFERROR(__xludf.DUMMYFUNCTION("""COMPUTED_VALUE"""),"Plan Institucional de Capacitación")</f>
        <v>Plan Institucional de Capacitación</v>
      </c>
      <c r="AC90" s="39" t="str">
        <f>IFERROR(__xludf.DUMMYFUNCTION("""COMPUTED_VALUE"""),"Llegar con actividades de pesca y acuicultura a todas las regiones")</f>
        <v>Llegar con actividades de pesca y acuicultura a todas las regiones</v>
      </c>
      <c r="AD90" s="39" t="str">
        <f>IFERROR(__xludf.DUMMYFUNCTION("""COMPUTED_VALUE"""),"Talento Humano")</f>
        <v>Talento Humano</v>
      </c>
      <c r="AE90" s="39" t="str">
        <f>IFERROR(__xludf.DUMMYFUNCTION("""COMPUTED_VALUE"""),"Talento Humano")</f>
        <v>Talento Humano</v>
      </c>
      <c r="AF90" s="39" t="str">
        <f>IFERROR(__xludf.DUMMYFUNCTION("""COMPUTED_VALUE"""),"16. Paz, justicia e instituciones sólidas")</f>
        <v>16. Paz, justicia e instituciones sólidas</v>
      </c>
      <c r="AG90" s="50">
        <f>IFERROR(__xludf.DUMMYFUNCTION("""COMPUTED_VALUE"""),0.05)</f>
        <v>0.05</v>
      </c>
      <c r="AH90" s="51" t="str">
        <f>IFERROR(__xludf.DUMMYFUNCTION("""COMPUTED_VALUE"""),"El avance proyectado para el primer trimestre estaba dirigido a la publicación y divulgación del respectivo Plan
Adicional a ello ya se inicio la ejecución de actividades para cada uno de los Planes")</f>
        <v>El avance proyectado para el primer trimestre estaba dirigido a la publicación y divulgación del respectivo Plan
Adicional a ello ya se inicio la ejecución de actividades para cada uno de los Planes</v>
      </c>
      <c r="AI90" s="51" t="str">
        <f>IFERROR(__xludf.DUMMYFUNCTION("""COMPUTED_VALUE"""),"https://drive.google.com/drive/u/4/folders/1YiqM_h7N_dbsy6gEfFMdFil7EWI2gKbW
https://www.aunap.gov.co/index.php/secretraria-general/talento-humano#documentos-de-interes")</f>
        <v>https://drive.google.com/drive/u/4/folders/1YiqM_h7N_dbsy6gEfFMdFil7EWI2gKbW
https://www.aunap.gov.co/index.php/secretraria-general/talento-humano#documentos-de-interes</v>
      </c>
      <c r="AJ90" s="52">
        <f>IFERROR(__xludf.DUMMYFUNCTION("""COMPUTED_VALUE"""),44298.0)</f>
        <v>44298</v>
      </c>
      <c r="AK90" s="53" t="str">
        <f>IFERROR(IF((AL90+1)&lt;2,Alertas!$B$2&amp;TEXT(AL90,"0%")&amp;Alertas!$D$2, IF((AL90+1)=2,Alertas!$B$3,IF((AL90+1)&gt;2,Alertas!$B$4&amp;TEXT(AL90,"0%")&amp;Alertas!$D$4,AL90+1))),"Sin meta para el cuarto trimestre")</f>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L90" s="54">
        <f t="shared" si="2"/>
        <v>0.05</v>
      </c>
      <c r="AM90" s="53" t="str">
        <f t="shared" si="3"/>
        <v>La ejecución de la meta registrada se encuentra por debajo de la meta programada en la formulación del plan de acción para el cuarto trimestre, su porcentaje de cumplimiento es 5%, lo cual indica un incumplimiento que puede ser entendido por los entes de control como falencias en el proceso de planeación. se recomienda tomar este antecedente como insumo para disminuir la meta en la próxima vigencia.</v>
      </c>
      <c r="AN90" s="55"/>
      <c r="AO90" s="56"/>
      <c r="AP90" s="57"/>
      <c r="AQ90" s="57"/>
      <c r="AR90" s="58"/>
      <c r="AS90" s="59"/>
      <c r="AT90" s="60"/>
      <c r="AU90" s="55"/>
      <c r="AV90" s="56"/>
      <c r="AW90" s="61"/>
      <c r="AX90" s="57"/>
      <c r="AY90" s="62"/>
      <c r="AZ90" s="63"/>
      <c r="BA90" s="64"/>
      <c r="BB90" s="65"/>
      <c r="BC90" s="56"/>
      <c r="BD90" s="61"/>
      <c r="BE90" s="57"/>
      <c r="BF90" s="58"/>
      <c r="BG90" s="63"/>
      <c r="BH90" s="64"/>
      <c r="BI90" s="66"/>
      <c r="BK90" s="21" t="str">
        <f t="shared" si="23"/>
        <v>-1</v>
      </c>
      <c r="BM90" s="21"/>
    </row>
    <row r="91" ht="33.75" customHeight="1">
      <c r="A91" s="37"/>
      <c r="B91" s="38">
        <f>IFERROR(__xludf.DUMMYFUNCTION("""COMPUTED_VALUE"""),89.0)</f>
        <v>89</v>
      </c>
      <c r="C91" s="39" t="str">
        <f>IFERROR(__xludf.DUMMYFUNCTION("""COMPUTED_VALUE"""),"Gestión del talento humano")</f>
        <v>Gestión del talento humano</v>
      </c>
      <c r="D91" s="40" t="str">
        <f>IFERROR(__xludf.DUMMYFUNCTION("""COMPUTED_VALUE"""),"Talento Humano")</f>
        <v>Talento Humano</v>
      </c>
      <c r="E91" s="40" t="str">
        <f>IFERROR(__xludf.DUMMYFUNCTION("""COMPUTED_VALUE"""),"Fortalecimiento de la capacidad de gestión de la autoridad nacional de acuicultura y pesca - aunap nacional")</f>
        <v>Fortalecimiento de la capacidad de gestión de la autoridad nacional de acuicultura y pesca - aunap nacional</v>
      </c>
      <c r="F91" s="40">
        <f>IFERROR(__xludf.DUMMYFUNCTION("""COMPUTED_VALUE"""),2.018011000241E12)</f>
        <v>2018011000241</v>
      </c>
      <c r="G91" s="41" t="str">
        <f>IFERROR(__xludf.DUMMYFUNCTION("""COMPUTED_VALUE"""),"Fortalecimiento")</f>
        <v>Fortalecimiento</v>
      </c>
      <c r="H91" s="40" t="str">
        <f>IFERROR(__xludf.DUMMYFUNCTION("""COMPUTED_VALUE"""),"Fortalecer los sistemas de gestión de la Entidad")</f>
        <v>Fortalecer los sistemas de gestión de la Entidad</v>
      </c>
      <c r="I91" s="40" t="str">
        <f>IFERROR(__xludf.DUMMYFUNCTION("""COMPUTED_VALUE"""),"Servicio de Implementación Sistemas de Gestión")</f>
        <v>Servicio de Implementación Sistemas de Gestión</v>
      </c>
      <c r="J91" s="40" t="str">
        <f>IFERROR(__xludf.DUMMYFUNCTION("""COMPUTED_VALUE"""),"Implementar y mantener el Modelo Integrado de Planeación y Gestión V2, con sus siete (7) dimensiones operativas")</f>
        <v>Implementar y mantener el Modelo Integrado de Planeación y Gestión V2, con sus siete (7) dimensiones operativas</v>
      </c>
      <c r="K91" s="42" t="str">
        <f>IFERROR(__xludf.DUMMYFUNCTION("""COMPUTED_VALUE"""),"Gestión del área")</f>
        <v>Gestión del área</v>
      </c>
      <c r="L91" s="42" t="str">
        <f>IFERROR(__xludf.DUMMYFUNCTION("""COMPUTED_VALUE"""),"Eficacia")</f>
        <v>Eficacia</v>
      </c>
      <c r="M91" s="42" t="str">
        <f>IFERROR(__xludf.DUMMYFUNCTION("""COMPUTED_VALUE"""),"Porcentaje")</f>
        <v>Porcentaje</v>
      </c>
      <c r="N91" s="43" t="str">
        <f>IFERROR(__xludf.DUMMYFUNCTION("""COMPUTED_VALUE"""),"Numero de actividades  realizadas Vs Numero de actividades programadas")</f>
        <v>Numero de actividades  realizadas Vs Numero de actividades programadas</v>
      </c>
      <c r="O91" s="44"/>
      <c r="P91" s="45">
        <f>IFERROR(__xludf.DUMMYFUNCTION("""COMPUTED_VALUE"""),1.0)</f>
        <v>1</v>
      </c>
      <c r="Q91" s="46" t="str">
        <f>IFERROR(__xludf.DUMMYFUNCTION("""COMPUTED_VALUE"""),"Cumplir con el 100% de las actividades propuestas en el Procedimiento de Vinculacion de Vacantes en cada uno de los nombramientos.")</f>
        <v>Cumplir con el 100% de las actividades propuestas en el Procedimiento de Vinculacion de Vacantes en cada uno de los nombramientos.</v>
      </c>
      <c r="R91" s="47" t="str">
        <f>IFERROR(__xludf.DUMMYFUNCTION("""COMPUTED_VALUE"""),"Trimestral")</f>
        <v>Trimestral</v>
      </c>
      <c r="S91" s="45">
        <f>IFERROR(__xludf.DUMMYFUNCTION("""COMPUTED_VALUE"""),0.25)</f>
        <v>0.25</v>
      </c>
      <c r="T91" s="45">
        <f>IFERROR(__xludf.DUMMYFUNCTION("""COMPUTED_VALUE"""),0.25)</f>
        <v>0.25</v>
      </c>
      <c r="U91" s="45">
        <f>IFERROR(__xludf.DUMMYFUNCTION("""COMPUTED_VALUE"""),0.25)</f>
        <v>0.25</v>
      </c>
      <c r="V91" s="45">
        <f>IFERROR(__xludf.DUMMYFUNCTION("""COMPUTED_VALUE"""),0.25)</f>
        <v>0.25</v>
      </c>
      <c r="W91" s="48" t="str">
        <f>IFERROR(__xludf.DUMMYFUNCTION("""COMPUTED_VALUE"""),"Talento Humano")</f>
        <v>Talento Humano</v>
      </c>
      <c r="X91" s="49" t="str">
        <f>IFERROR(__xludf.DUMMYFUNCTION("""COMPUTED_VALUE"""),"Helmuth Bettin")</f>
        <v>Helmuth Bettin</v>
      </c>
      <c r="Y91" s="39" t="str">
        <f>IFERROR(__xludf.DUMMYFUNCTION("""COMPUTED_VALUE"""),"Coordinador del Area")</f>
        <v>Coordinador del Area</v>
      </c>
      <c r="Z91" s="49" t="str">
        <f>IFERROR(__xludf.DUMMYFUNCTION("""COMPUTED_VALUE"""),"helmuth.bettin@aunap.gov.co")</f>
        <v>helmuth.bettin@aunap.gov.co</v>
      </c>
      <c r="AA91" s="39" t="str">
        <f>IFERROR(__xludf.DUMMYFUNCTION("""COMPUTED_VALUE"""),"Humano, físico, financiero, tecnológico")</f>
        <v>Humano, físico, financiero, tecnológico</v>
      </c>
      <c r="AB91" s="39" t="str">
        <f>IFERROR(__xludf.DUMMYFUNCTION("""COMPUTED_VALUE"""),"Plan Anual de Vacantes")</f>
        <v>Plan Anual de Vacantes</v>
      </c>
      <c r="AC91" s="39" t="str">
        <f>IFERROR(__xludf.DUMMYFUNCTION("""COMPUTED_VALUE"""),"Llegar con actividades de pesca y acuicultura a todas las regiones")</f>
        <v>Llegar con actividades de pesca y acuicultura a todas las regiones</v>
      </c>
      <c r="AD91" s="39" t="str">
        <f>IFERROR(__xludf.DUMMYFUNCTION("""COMPUTED_VALUE"""),"Talento Humano")</f>
        <v>Talento Humano</v>
      </c>
      <c r="AE91" s="39" t="str">
        <f>IFERROR(__xludf.DUMMYFUNCTION("""COMPUTED_VALUE"""),"Talento Humano")</f>
        <v>Talento Humano</v>
      </c>
      <c r="AF91" s="39" t="str">
        <f>IFERROR(__xludf.DUMMYFUNCTION("""COMPUTED_VALUE"""),"16. Paz, justicia e instituciones sólidas")</f>
        <v>16. Paz, justicia e instituciones sólidas</v>
      </c>
      <c r="AG91" s="50">
        <f>IFERROR(__xludf.DUMMYFUNCTION("""COMPUTED_VALUE"""),0.25)</f>
        <v>0.25</v>
      </c>
      <c r="AH91" s="51" t="str">
        <f>IFERROR(__xludf.DUMMYFUNCTION("""COMPUTED_VALUE"""),"Durante el primer trimestre se realizó la publicación del respectivo Plan
Adicional a ello se realizó la inscripción de las vacantes en la pagina AGENCIA PUBLICA DE EMPLEO")</f>
        <v>Durante el primer trimestre se realizó la publicación del respectivo Plan
Adicional a ello se realizó la inscripción de las vacantes en la pagina AGENCIA PUBLICA DE EMPLEO</v>
      </c>
      <c r="AI91" s="51" t="str">
        <f>IFERROR(__xludf.DUMMYFUNCTION("""COMPUTED_VALUE"""),"https://drive.google.com/drive/u/4/folders/1QgtKoKaJ98AShUnji_IZm1vNbXCbqXT2
https://www.aunap.gov.co/index.php/secretraria-general/talento-humano#documentos-de-interes")</f>
        <v>https://drive.google.com/drive/u/4/folders/1QgtKoKaJ98AShUnji_IZm1vNbXCbqXT2
https://www.aunap.gov.co/index.php/secretraria-general/talento-humano#documentos-de-interes</v>
      </c>
      <c r="AJ91" s="52">
        <f>IFERROR(__xludf.DUMMYFUNCTION("""COMPUTED_VALUE"""),44298.0)</f>
        <v>44298</v>
      </c>
      <c r="AK91" s="53" t="str">
        <f>IFERROR(IF((AL91+1)&lt;2,Alertas!$B$2&amp;TEXT(AL91,"0%")&amp;Alertas!$D$2, IF((AL91+1)=2,Alertas!$B$3,IF((AL91+1)&gt;2,Alertas!$B$4&amp;TEXT(AL91,"0%")&amp;Alertas!$D$4,AL91+1))),"Sin meta para el cuarto trimestre")</f>
        <v>La ejecución de la meta registrada se encuentra acorde a la meta programada en la formulación del plan de acción para el cuarto trimestre</v>
      </c>
      <c r="AL91" s="54">
        <f t="shared" si="2"/>
        <v>1</v>
      </c>
      <c r="AM91" s="53" t="str">
        <f t="shared" si="3"/>
        <v>La ejecución de la meta registrada se encuentra acorde a la meta programada en la formulación del plan de acción para el cuarto trimestre.</v>
      </c>
      <c r="AN91" s="55"/>
      <c r="AO91" s="56"/>
      <c r="AP91" s="57"/>
      <c r="AQ91" s="57"/>
      <c r="AR91" s="58"/>
      <c r="AS91" s="59"/>
      <c r="AT91" s="60"/>
      <c r="AU91" s="55"/>
      <c r="AV91" s="56"/>
      <c r="AW91" s="61"/>
      <c r="AX91" s="57"/>
      <c r="AY91" s="62"/>
      <c r="AZ91" s="63"/>
      <c r="BA91" s="64"/>
      <c r="BB91" s="65"/>
      <c r="BC91" s="56"/>
      <c r="BD91" s="61"/>
      <c r="BE91" s="57"/>
      <c r="BF91" s="58"/>
      <c r="BG91" s="63"/>
      <c r="BH91" s="64"/>
      <c r="BI91" s="66"/>
      <c r="BK91" s="21" t="str">
        <f t="shared" si="23"/>
        <v>0</v>
      </c>
      <c r="BM91" s="21"/>
    </row>
    <row r="92" ht="33.75" customHeight="1">
      <c r="A92" s="37"/>
      <c r="B92" s="38">
        <f>IFERROR(__xludf.DUMMYFUNCTION("""COMPUTED_VALUE"""),90.0)</f>
        <v>90</v>
      </c>
      <c r="C92" s="39" t="str">
        <f>IFERROR(__xludf.DUMMYFUNCTION("""COMPUTED_VALUE"""),"Gestión de la inspección y vigilancia")</f>
        <v>Gestión de la inspección y vigilancia</v>
      </c>
      <c r="D92" s="40" t="str">
        <f>IFERROR(__xludf.DUMMYFUNCTION("""COMPUTED_VALUE"""),"Regional Barrancabermeja")</f>
        <v>Regional Barrancabermeja</v>
      </c>
      <c r="E92"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92" s="40">
        <f>IFERROR(__xludf.DUMMYFUNCTION("""COMPUTED_VALUE"""),2.019011000276E12)</f>
        <v>2019011000276</v>
      </c>
      <c r="G92" s="41" t="str">
        <f>IFERROR(__xludf.DUMMYFUNCTION("""COMPUTED_VALUE"""),"Inspección")</f>
        <v>Inspección</v>
      </c>
      <c r="H92" s="40" t="str">
        <f>IFERROR(__xludf.DUMMYFUNCTION("""COMPUTED_VALUE"""),"Fortalecer los mecanismos de seguimiento y control de la actividad pesquera y de la acuicultura.")</f>
        <v>Fortalecer los mecanismos de seguimiento y control de la actividad pesquera y de la acuicultura.</v>
      </c>
      <c r="I92" s="40" t="str">
        <f>IFERROR(__xludf.DUMMYFUNCTION("""COMPUTED_VALUE"""),"Servicio de inspección, vigilancia y control de la pesca y la acuicultura")</f>
        <v>Servicio de inspección, vigilancia y control de la pesca y la acuicultura</v>
      </c>
      <c r="J92" s="40" t="str">
        <f>IFERROR(__xludf.DUMMYFUNCTION("""COMPUTED_VALUE"""),"Realizar los operativos de inspección, vigilancia y control.")</f>
        <v>Realizar los operativos de inspección, vigilancia y control.</v>
      </c>
      <c r="K92" s="42" t="str">
        <f>IFERROR(__xludf.DUMMYFUNCTION("""COMPUTED_VALUE"""),"Producto")</f>
        <v>Producto</v>
      </c>
      <c r="L92" s="42" t="str">
        <f>IFERROR(__xludf.DUMMYFUNCTION("""COMPUTED_VALUE"""),"Eficacia")</f>
        <v>Eficacia</v>
      </c>
      <c r="M92" s="42" t="str">
        <f>IFERROR(__xludf.DUMMYFUNCTION("""COMPUTED_VALUE"""),"Número")</f>
        <v>Número</v>
      </c>
      <c r="N92" s="43" t="str">
        <f>IFERROR(__xludf.DUMMYFUNCTION("""COMPUTED_VALUE"""),"Operativos de inspección, vigilancia y control realizados")</f>
        <v>Operativos de inspección, vigilancia y control realizados</v>
      </c>
      <c r="O92" s="44">
        <f>IFERROR(__xludf.DUMMYFUNCTION("""COMPUTED_VALUE"""),157.0)</f>
        <v>157</v>
      </c>
      <c r="P92" s="45">
        <f>IFERROR(__xludf.DUMMYFUNCTION("""COMPUTED_VALUE"""),280.0)</f>
        <v>280</v>
      </c>
      <c r="Q92" s="46" t="str">
        <f>IFERROR(__xludf.DUMMYFUNCTION("""COMPUTED_VALUE"""),"Realizar operativos de control y sensibilización")</f>
        <v>Realizar operativos de control y sensibilización</v>
      </c>
      <c r="R92" s="47" t="str">
        <f>IFERROR(__xludf.DUMMYFUNCTION("""COMPUTED_VALUE"""),"Trimestral")</f>
        <v>Trimestral</v>
      </c>
      <c r="S92" s="45">
        <f>IFERROR(__xludf.DUMMYFUNCTION("""COMPUTED_VALUE"""),36.0)</f>
        <v>36</v>
      </c>
      <c r="T92" s="45">
        <f>IFERROR(__xludf.DUMMYFUNCTION("""COMPUTED_VALUE"""),94.0)</f>
        <v>94</v>
      </c>
      <c r="U92" s="45">
        <f>IFERROR(__xludf.DUMMYFUNCTION("""COMPUTED_VALUE"""),92.0)</f>
        <v>92</v>
      </c>
      <c r="V92" s="45">
        <f>IFERROR(__xludf.DUMMYFUNCTION("""COMPUTED_VALUE"""),58.0)</f>
        <v>58</v>
      </c>
      <c r="W92" s="48" t="str">
        <f>IFERROR(__xludf.DUMMYFUNCTION("""COMPUTED_VALUE"""),"Regional Barrancabermeja")</f>
        <v>Regional Barrancabermeja</v>
      </c>
      <c r="X92" s="49" t="str">
        <f>IFERROR(__xludf.DUMMYFUNCTION("""COMPUTED_VALUE"""),"JAVIER JESUS OVALLE MARTINEZ")</f>
        <v>JAVIER JESUS OVALLE MARTINEZ</v>
      </c>
      <c r="Y92" s="39" t="str">
        <f>IFERROR(__xludf.DUMMYFUNCTION("""COMPUTED_VALUE"""),"DIRECTOR REGIONAL")</f>
        <v>DIRECTOR REGIONAL</v>
      </c>
      <c r="Z92" s="49" t="str">
        <f>IFERROR(__xludf.DUMMYFUNCTION("""COMPUTED_VALUE"""),"javier.ovalle@aunap.gov.co")</f>
        <v>javier.ovalle@aunap.gov.co</v>
      </c>
      <c r="AA92" s="39" t="str">
        <f>IFERROR(__xludf.DUMMYFUNCTION("""COMPUTED_VALUE"""),"Personal, viaticos, transporte")</f>
        <v>Personal, viaticos, transporte</v>
      </c>
      <c r="AB92" s="39" t="str">
        <f>IFERROR(__xludf.DUMMYFUNCTION("""COMPUTED_VALUE"""),"No asociado")</f>
        <v>No asociado</v>
      </c>
      <c r="AC92"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92" s="39" t="str">
        <f>IFERROR(__xludf.DUMMYFUNCTION("""COMPUTED_VALUE"""),"Gestión con valores para resultados")</f>
        <v>Gestión con valores para resultados</v>
      </c>
      <c r="AE92" s="39" t="str">
        <f>IFERROR(__xludf.DUMMYFUNCTION("""COMPUTED_VALUE"""),"Fortalecimiento Organizacional y Simplificación de Procesos")</f>
        <v>Fortalecimiento Organizacional y Simplificación de Procesos</v>
      </c>
      <c r="AF92" s="39" t="str">
        <f>IFERROR(__xludf.DUMMYFUNCTION("""COMPUTED_VALUE"""),"12. Producción y consumo responsable")</f>
        <v>12. Producción y consumo responsable</v>
      </c>
      <c r="AG92" s="76">
        <f>IFERROR(__xludf.DUMMYFUNCTION("""COMPUTED_VALUE"""),62.0)</f>
        <v>62</v>
      </c>
      <c r="AH92" s="51" t="str">
        <f>IFERROR(__xludf.DUMMYFUNCTION("""COMPUTED_VALUE"""),"Durante el Primer Trimestre del año 2021, se realizó un total de sesenta y dos (62) Operativos, distribuidos de la siguiente manera: 
6 Operativos Acuícolas:  Barrancabermeja: vereda Tenerife Finca Vista Hermosa y Finca La Florida; Sabana de Torres: Club "&amp;"de Pesca El Lago; Piedecuesta: Vereda San Isidro-Finca El Pomarroso. Puerto Boyacá: Vereda La Ceiba. 
33 Operativos de Establecimientos comerciales: Barrancabermeja: Sector El Muelle y La Rampa. Bucaramanga en Centro de abastos, Plaza Guarín, Café Madrid"&amp;". Piedecuesta en Central abastos, Plaza de Mercado. Cúcuta en Nueva Sexta y cenabastos.  Puerto Wilches, San Gil, Socorro en Plazas de Mercado. Puerto Berrio, Landázuri, Puerto Boyacá, Puerto Serviez en Sector Urbano y Plazas de Mercado. 
23 Operativo de"&amp;" Pesca Artesanal: Barrancabermeja: Sector La Represa, La Rampa, El Muelle, Ciénaga El Llanito, Ciénaga San Silvestre, Sector  La Represa, Caño San Silvestre. Sabana de Torres: Rio Lebrija.   Simiti: Ciénaga de Simiti. San Pablo: Ciénaga de Tabacuru, Canal"&amp;"etal y Vija. Puerto Wilches: Puertos de desembarco: Vereda Curumuta, Corregimiento La 37, Vereda Italia, Muelle. Puerto Boyacá: Puertos de desembarco. 
Es importante resaltar que de los sesenta y dos (62) operativos realizados durante el primer trimestre,"&amp;" se efectuaron treinta y nueve (39) informes técnicos de decomiso. 
Debido a las solicitudes recibidas por vía telefónica de Comerciantes, Pescadores y Policía Nacional se refleja un aumento en la meta programada.
")</f>
        <v>Durante el Primer Trimestre del año 2021, se realizó un total de sesenta y dos (62) Operativos, distribuidos de la siguiente manera: 
6 Operativos Acuícolas:  Barrancabermeja: vereda Tenerife Finca Vista Hermosa y Finca La Florida; Sabana de Torres: Club de Pesca El Lago; Piedecuesta: Vereda San Isidro-Finca El Pomarroso. Puerto Boyacá: Vereda La Ceiba. 
33 Operativos de Establecimientos comerciales: Barrancabermeja: Sector El Muelle y La Rampa. Bucaramanga en Centro de abastos, Plaza Guarín, Café Madrid. Piedecuesta en Central abastos, Plaza de Mercado. Cúcuta en Nueva Sexta y cenabastos.  Puerto Wilches, San Gil, Socorro en Plazas de Mercado. Puerto Berrio, Landázuri, Puerto Boyacá, Puerto Serviez en Sector Urbano y Plazas de Mercado. 
23 Operativo de Pesca Artesanal: Barrancabermeja: Sector La Represa, La Rampa, El Muelle, Ciénaga El Llanito, Ciénaga San Silvestre, Sector  La Represa, Caño San Silvestre. Sabana de Torres: Rio Lebrija.   Simiti: Ciénaga de Simiti. San Pablo: Ciénaga de Tabacuru, Canaletal y Vija. Puerto Wilches: Puertos de desembarco: Vereda Curumuta, Corregimiento La 37, Vereda Italia, Muelle. Puerto Boyacá: Puertos de desembarco. 
Es importante resaltar que de los sesenta y dos (62) operativos realizados durante el primer trimestre, se efectuaron treinta y nueve (39) informes técnicos de decomiso. 
Debido a las solicitudes recibidas por vía telefónica de Comerciantes, Pescadores y Policía Nacional se refleja un aumento en la meta programada.
</v>
      </c>
      <c r="AI92" s="77" t="str">
        <f>IFERROR(__xludf.DUMMYFUNCTION("""COMPUTED_VALUE"""),"https://drive.google.com/drive/folders/1OQNUW9PAdoX51ZGgD-6EbBchiEL9Wj2z?usp=sharing")</f>
        <v>https://drive.google.com/drive/folders/1OQNUW9PAdoX51ZGgD-6EbBchiEL9Wj2z?usp=sharing</v>
      </c>
      <c r="AJ92" s="52">
        <f>IFERROR(__xludf.DUMMYFUNCTION("""COMPUTED_VALUE"""),44298.0)</f>
        <v>44298</v>
      </c>
      <c r="AK92" s="53" t="str">
        <f>IFERROR(IF((AL92+1)&lt;2,Alertas!$B$2&amp;TEXT(AL92,"0%")&amp;Alertas!$D$2, IF((AL92+1)=2,Alertas!$B$3,IF((AL92+1)&gt;2,Alertas!$B$4&amp;TEXT(AL92,"0%")&amp;Alertas!$D$4,AL92+1))),"Sin meta para el cuarto trimestre")</f>
        <v>La ejecución de la meta registrada se encuentra por encima de la meta programada en la formulación del plan de acción para el cuarto trimestre, su porcentaje de cumplimiento es 107%, lo cual indica una sobre ejecución que puede ser entendido por los entes de control como falencias en el proceso de planeación. se recomienda tomar este antecedente como insumo para incrementar la meta en la próxima vigencia</v>
      </c>
      <c r="AL92" s="54">
        <f t="shared" si="2"/>
        <v>1.068965517</v>
      </c>
      <c r="AM92" s="53" t="str">
        <f t="shared" si="3"/>
        <v>La ejecución de la meta registrada se encuentra por encima de la meta programada en la formulación del plan de acción para el cuarto trimestre, su porcentaje de cumplimiento es 107%, lo cual indica una sobre ejecución que puede ser entendido por los entes de control como falencias en el proceso de planeación. se recomienda tomar este antecedente como insumo para incrementar la meta en la próxima vigencia.</v>
      </c>
      <c r="AN92" s="55"/>
      <c r="AO92" s="56"/>
      <c r="AP92" s="57"/>
      <c r="AQ92" s="57"/>
      <c r="AR92" s="58"/>
      <c r="AS92" s="59"/>
      <c r="AT92" s="60"/>
      <c r="AU92" s="55"/>
      <c r="AV92" s="56"/>
      <c r="AW92" s="61"/>
      <c r="AX92" s="57"/>
      <c r="AY92" s="62"/>
      <c r="AZ92" s="63"/>
      <c r="BA92" s="64"/>
      <c r="BB92" s="65"/>
      <c r="BC92" s="56"/>
      <c r="BD92" s="61"/>
      <c r="BE92" s="57"/>
      <c r="BF92" s="58"/>
      <c r="BG92" s="63"/>
      <c r="BH92" s="64"/>
      <c r="BI92" s="66"/>
      <c r="BK92" s="21" t="str">
        <f t="shared" si="23"/>
        <v>1</v>
      </c>
      <c r="BM92" s="21"/>
    </row>
    <row r="93" ht="33.75" customHeight="1">
      <c r="A93" s="37"/>
      <c r="B93" s="38">
        <f>IFERROR(__xludf.DUMMYFUNCTION("""COMPUTED_VALUE"""),91.0)</f>
        <v>91</v>
      </c>
      <c r="C93" s="39" t="str">
        <f>IFERROR(__xludf.DUMMYFUNCTION("""COMPUTED_VALUE"""),"Gestión de la inspección y vigilancia")</f>
        <v>Gestión de la inspección y vigilancia</v>
      </c>
      <c r="D93" s="40" t="str">
        <f>IFERROR(__xludf.DUMMYFUNCTION("""COMPUTED_VALUE"""),"Regional Barrancabermeja")</f>
        <v>Regional Barrancabermeja</v>
      </c>
      <c r="E93"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93" s="40">
        <f>IFERROR(__xludf.DUMMYFUNCTION("""COMPUTED_VALUE"""),2.019011000276E12)</f>
        <v>2019011000276</v>
      </c>
      <c r="G93" s="41" t="str">
        <f>IFERROR(__xludf.DUMMYFUNCTION("""COMPUTED_VALUE"""),"Inspección")</f>
        <v>Inspección</v>
      </c>
      <c r="H93" s="40" t="str">
        <f>IFERROR(__xludf.DUMMYFUNCTION("""COMPUTED_VALUE"""),"Fortalecer los mecanismos de seguimiento y control de la actividad pesquera y de la acuicultura.")</f>
        <v>Fortalecer los mecanismos de seguimiento y control de la actividad pesquera y de la acuicultura.</v>
      </c>
      <c r="I93" s="40" t="str">
        <f>IFERROR(__xludf.DUMMYFUNCTION("""COMPUTED_VALUE"""),"Servicio de inspección, vigilancia y control de la pesca y la acuicultura")</f>
        <v>Servicio de inspección, vigilancia y control de la pesca y la acuicultura</v>
      </c>
      <c r="J93" s="40" t="str">
        <f>IFERROR(__xludf.DUMMYFUNCTION("""COMPUTED_VALUE"""),"Realizar los operativos de inspección, vigilancia y control.")</f>
        <v>Realizar los operativos de inspección, vigilancia y control.</v>
      </c>
      <c r="K93" s="42" t="str">
        <f>IFERROR(__xludf.DUMMYFUNCTION("""COMPUTED_VALUE"""),"Gestión del área")</f>
        <v>Gestión del área</v>
      </c>
      <c r="L93" s="42" t="str">
        <f>IFERROR(__xludf.DUMMYFUNCTION("""COMPUTED_VALUE"""),"Eficacia")</f>
        <v>Eficacia</v>
      </c>
      <c r="M93" s="42" t="str">
        <f>IFERROR(__xludf.DUMMYFUNCTION("""COMPUTED_VALUE"""),"Número")</f>
        <v>Número</v>
      </c>
      <c r="N93" s="43" t="str">
        <f>IFERROR(__xludf.DUMMYFUNCTION("""COMPUTED_VALUE"""),"Número de eventos realizados/número de eventos desarrollados.")</f>
        <v>Número de eventos realizados/número de eventos desarrollados.</v>
      </c>
      <c r="O93" s="79"/>
      <c r="P93" s="45">
        <f>IFERROR(__xludf.DUMMYFUNCTION("""COMPUTED_VALUE"""),45.0)</f>
        <v>45</v>
      </c>
      <c r="Q93" s="46" t="str">
        <f>IFERROR(__xludf.DUMMYFUNCTION("""COMPUTED_VALUE"""),"Realizar eventos de divulgación y socialización a nivel nacional en pro de disminuir las malas prácticas, en el ejercicio del control y vigilancia preventiva de la actividad pesquera y acuícola.")</f>
        <v>Realizar eventos de divulgación y socialización a nivel nacional en pro de disminuir las malas prácticas, en el ejercicio del control y vigilancia preventiva de la actividad pesquera y acuícola.</v>
      </c>
      <c r="R93" s="47" t="str">
        <f>IFERROR(__xludf.DUMMYFUNCTION("""COMPUTED_VALUE"""),"Trimestral")</f>
        <v>Trimestral</v>
      </c>
      <c r="S93" s="45">
        <f>IFERROR(__xludf.DUMMYFUNCTION("""COMPUTED_VALUE"""),8.0)</f>
        <v>8</v>
      </c>
      <c r="T93" s="45">
        <f>IFERROR(__xludf.DUMMYFUNCTION("""COMPUTED_VALUE"""),10.0)</f>
        <v>10</v>
      </c>
      <c r="U93" s="45">
        <f>IFERROR(__xludf.DUMMYFUNCTION("""COMPUTED_VALUE"""),20.0)</f>
        <v>20</v>
      </c>
      <c r="V93" s="45">
        <f>IFERROR(__xludf.DUMMYFUNCTION("""COMPUTED_VALUE"""),7.0)</f>
        <v>7</v>
      </c>
      <c r="W93" s="48" t="str">
        <f>IFERROR(__xludf.DUMMYFUNCTION("""COMPUTED_VALUE"""),"Regional Barrancabermeja")</f>
        <v>Regional Barrancabermeja</v>
      </c>
      <c r="X93" s="49" t="str">
        <f>IFERROR(__xludf.DUMMYFUNCTION("""COMPUTED_VALUE"""),"JAVIER JESUS OVALLE MARTINEZ")</f>
        <v>JAVIER JESUS OVALLE MARTINEZ</v>
      </c>
      <c r="Y93" s="39" t="str">
        <f>IFERROR(__xludf.DUMMYFUNCTION("""COMPUTED_VALUE"""),"DIRECTOR REGIONAL")</f>
        <v>DIRECTOR REGIONAL</v>
      </c>
      <c r="Z93" s="49" t="str">
        <f>IFERROR(__xludf.DUMMYFUNCTION("""COMPUTED_VALUE"""),"javier.ovalle@aunap.gov.co")</f>
        <v>javier.ovalle@aunap.gov.co</v>
      </c>
      <c r="AA93" s="39" t="str">
        <f>IFERROR(__xludf.DUMMYFUNCTION("""COMPUTED_VALUE"""),"Personal, viaticos, transporte")</f>
        <v>Personal, viaticos, transporte</v>
      </c>
      <c r="AB93" s="39" t="str">
        <f>IFERROR(__xludf.DUMMYFUNCTION("""COMPUTED_VALUE"""),"No asociado")</f>
        <v>No asociado</v>
      </c>
      <c r="AC9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93" s="39" t="str">
        <f>IFERROR(__xludf.DUMMYFUNCTION("""COMPUTED_VALUE"""),"Gestión con valores para resultados")</f>
        <v>Gestión con valores para resultados</v>
      </c>
      <c r="AE93" s="39" t="str">
        <f>IFERROR(__xludf.DUMMYFUNCTION("""COMPUTED_VALUE"""),"Fortalecimiento Organizacional y Simplificación de Procesos")</f>
        <v>Fortalecimiento Organizacional y Simplificación de Procesos</v>
      </c>
      <c r="AF93" s="39" t="str">
        <f>IFERROR(__xludf.DUMMYFUNCTION("""COMPUTED_VALUE"""),"12. Producción y consumo responsable")</f>
        <v>12. Producción y consumo responsable</v>
      </c>
      <c r="AG93" s="50">
        <f>IFERROR(__xludf.DUMMYFUNCTION("""COMPUTED_VALUE"""),9.0)</f>
        <v>9</v>
      </c>
      <c r="AH93" s="51" t="str">
        <f>IFERROR(__xludf.DUMMYFUNCTION("""COMPUTED_VALUE"""),"Durante el primer trimestre, se realizaron nueve (9) eventos de divulgación en pro de disminuir las malas prácticas pesqueras dirigidas a:        
                                                                                                            "&amp;"                                                                                                      * Integrantes de la Policía Nacional Ambiental y Carabineros de los municipios de Puerto Berrio (Ant); San Gil, Socorro, Bucaramanga (Santander), Cantaga"&amp;"llo, Simiti, Santa Rosa del Sur (Bolívar), Puerto Boyacá (Boyacá).                                                                                                                                                                                    * Gremio "&amp;"de Pescadores artesanales eFELCOLPAA.
* Gremio de Comercializadores de Productos Pesqueros de la Central de Abastos de Bucaramanga
Debido a la atención de solicitudes por parte de la Fuerza Pública y gremio de pescadores, se aumentó la meta programada.
")</f>
        <v>Durante el primer trimestre, se realizaron nueve (9) eventos de divulgación en pro de disminuir las malas prácticas pesqueras dirigidas a:        
                                                                                                                                                                                                                  * Integrantes de la Policía Nacional Ambiental y Carabineros de los municipios de Puerto Berrio (Ant); San Gil, Socorro, Bucaramanga (Santander), Cantagallo, Simiti, Santa Rosa del Sur (Bolívar), Puerto Boyacá (Boyacá).                                                                                                                                                                                    * Gremio de Pescadores artesanales eFELCOLPAA.
* Gremio de Comercializadores de Productos Pesqueros de la Central de Abastos de Bucaramanga
Debido a la atención de solicitudes por parte de la Fuerza Pública y gremio de pescadores, se aumentó la meta programada.
</v>
      </c>
      <c r="AI93" s="77" t="str">
        <f>IFERROR(__xludf.DUMMYFUNCTION("""COMPUTED_VALUE"""),"https://drive.google.com/drive/folders/1T41vEfXDip-fYJ8BUx_doTxa_O8ufCuD?usp=sharing")</f>
        <v>https://drive.google.com/drive/folders/1T41vEfXDip-fYJ8BUx_doTxa_O8ufCuD?usp=sharing</v>
      </c>
      <c r="AJ93" s="52">
        <f>IFERROR(__xludf.DUMMYFUNCTION("""COMPUTED_VALUE"""),44298.0)</f>
        <v>44298</v>
      </c>
      <c r="AK93" s="53" t="str">
        <f>IFERROR(IF((AL93+1)&lt;2,Alertas!$B$2&amp;TEXT(AL93,"0%")&amp;Alertas!$D$2, IF((AL93+1)=2,Alertas!$B$3,IF((AL93+1)&gt;2,Alertas!$B$4&amp;TEXT(AL93,"0%")&amp;Alertas!$D$4,AL93+1))),"Sin meta para el cuarto trimestre")</f>
        <v>La ejecución de la meta registrada se encuentra por encima de la meta programada en la formulación del plan de acción para el cuarto trimestre, su porcentaje de cumplimiento es 129%, lo cual indica una sobre ejecución que puede ser entendido por los entes de control como falencias en el proceso de planeación. se recomienda tomar este antecedente como insumo para incrementar la meta en la próxima vigencia</v>
      </c>
      <c r="AL93" s="54">
        <f t="shared" si="2"/>
        <v>1.285714286</v>
      </c>
      <c r="AM93" s="53" t="str">
        <f t="shared" si="3"/>
        <v>La ejecución de la meta registrada se encuentra por encima de la meta programada en la formulación del plan de acción para el cuarto trimestre, su porcentaje de cumplimiento es 129%, lo cual indica una sobre ejecución que puede ser entendido por los entes de control como falencias en el proceso de planeación. se recomienda tomar este antecedente como insumo para incrementar la meta en la próxima vigencia.</v>
      </c>
      <c r="AN93" s="55"/>
      <c r="AO93" s="56"/>
      <c r="AP93" s="57"/>
      <c r="AQ93" s="57"/>
      <c r="AR93" s="58"/>
      <c r="AS93" s="59"/>
      <c r="AT93" s="60"/>
      <c r="AU93" s="55"/>
      <c r="AV93" s="56"/>
      <c r="AW93" s="61"/>
      <c r="AX93" s="57"/>
      <c r="AY93" s="62"/>
      <c r="AZ93" s="63"/>
      <c r="BA93" s="64"/>
      <c r="BB93" s="65"/>
      <c r="BC93" s="56"/>
      <c r="BD93" s="61"/>
      <c r="BE93" s="57"/>
      <c r="BF93" s="58"/>
      <c r="BG93" s="63"/>
      <c r="BH93" s="64"/>
      <c r="BI93" s="66"/>
      <c r="BK93" s="21" t="str">
        <f t="shared" si="23"/>
        <v>1</v>
      </c>
      <c r="BM93" s="21"/>
    </row>
    <row r="94" ht="33.75" customHeight="1">
      <c r="A94" s="37"/>
      <c r="B94" s="38">
        <f>IFERROR(__xludf.DUMMYFUNCTION("""COMPUTED_VALUE"""),92.0)</f>
        <v>92</v>
      </c>
      <c r="C94" s="39" t="str">
        <f>IFERROR(__xludf.DUMMYFUNCTION("""COMPUTED_VALUE"""),"Gestión de la administración y fomento")</f>
        <v>Gestión de la administración y fomento</v>
      </c>
      <c r="D94" s="40" t="str">
        <f>IFERROR(__xludf.DUMMYFUNCTION("""COMPUTED_VALUE"""),"Regional Barrancabermeja")</f>
        <v>Regional Barrancabermeja</v>
      </c>
      <c r="E94" s="40" t="str">
        <f>IFERROR(__xludf.DUMMYFUNCTION("""COMPUTED_VALUE"""),"Fortalecimiento de la sostenibilidad del sector pesquero y de la acuicultura en el territorio nacional")</f>
        <v>Fortalecimiento de la sostenibilidad del sector pesquero y de la acuicultura en el territorio nacional</v>
      </c>
      <c r="F94" s="40">
        <f>IFERROR(__xludf.DUMMYFUNCTION("""COMPUTED_VALUE"""),2.01901100028E12)</f>
        <v>2019011000280</v>
      </c>
      <c r="G94" s="41" t="str">
        <f>IFERROR(__xludf.DUMMYFUNCTION("""COMPUTED_VALUE"""),"Sostenibilidad")</f>
        <v>Sostenibilidad</v>
      </c>
      <c r="H94" s="40" t="str">
        <f>IFERROR(__xludf.DUMMYFUNCTION("""COMPUTED_VALUE"""),"Mejorar la explotación de los recursos pesqueros y de la acuicultura.")</f>
        <v>Mejorar la explotación de los recursos pesqueros y de la acuicultura.</v>
      </c>
      <c r="I94" s="40" t="str">
        <f>IFERROR(__xludf.DUMMYFUNCTION("""COMPUTED_VALUE"""),"Servicios de administración de los recurso pesqueros y de la acuicultura")</f>
        <v>Servicios de administración de los recurso pesqueros y de la acuicultura</v>
      </c>
      <c r="J94" s="40" t="str">
        <f>IFERROR(__xludf.DUMMYFUNCTION("""COMPUTED_VALUE"""),"Regular el manejo y el ejercicio de la actividad pesquera y de la acuicultura.")</f>
        <v>Regular el manejo y el ejercicio de la actividad pesquera y de la acuicultura.</v>
      </c>
      <c r="K94" s="42" t="str">
        <f>IFERROR(__xludf.DUMMYFUNCTION("""COMPUTED_VALUE"""),"Producto")</f>
        <v>Producto</v>
      </c>
      <c r="L94" s="42" t="str">
        <f>IFERROR(__xludf.DUMMYFUNCTION("""COMPUTED_VALUE"""),"Eficacia")</f>
        <v>Eficacia</v>
      </c>
      <c r="M94" s="42" t="str">
        <f>IFERROR(__xludf.DUMMYFUNCTION("""COMPUTED_VALUE"""),"Número")</f>
        <v>Número</v>
      </c>
      <c r="N94" s="43" t="str">
        <f>IFERROR(__xludf.DUMMYFUNCTION("""COMPUTED_VALUE"""),"Trámites atendidos")</f>
        <v>Trámites atendidos</v>
      </c>
      <c r="O94" s="79">
        <f>IFERROR(__xludf.DUMMYFUNCTION("""COMPUTED_VALUE"""),-7140.0)</f>
        <v>-7140</v>
      </c>
      <c r="P94" s="45">
        <f>IFERROR(__xludf.DUMMYFUNCTION("""COMPUTED_VALUE"""),100.0)</f>
        <v>100</v>
      </c>
      <c r="Q94" s="46" t="str">
        <f>IFERROR(__xludf.DUMMYFUNCTION("""COMPUTED_VALUE"""),"Atender Trámites")</f>
        <v>Atender Trámites</v>
      </c>
      <c r="R94" s="47" t="str">
        <f>IFERROR(__xludf.DUMMYFUNCTION("""COMPUTED_VALUE"""),"Trimestral")</f>
        <v>Trimestral</v>
      </c>
      <c r="S94" s="45">
        <f>IFERROR(__xludf.DUMMYFUNCTION("""COMPUTED_VALUE"""),18.0)</f>
        <v>18</v>
      </c>
      <c r="T94" s="45">
        <f>IFERROR(__xludf.DUMMYFUNCTION("""COMPUTED_VALUE"""),26.0)</f>
        <v>26</v>
      </c>
      <c r="U94" s="45">
        <f>IFERROR(__xludf.DUMMYFUNCTION("""COMPUTED_VALUE"""),33.0)</f>
        <v>33</v>
      </c>
      <c r="V94" s="45">
        <f>IFERROR(__xludf.DUMMYFUNCTION("""COMPUTED_VALUE"""),23.0)</f>
        <v>23</v>
      </c>
      <c r="W94" s="48" t="str">
        <f>IFERROR(__xludf.DUMMYFUNCTION("""COMPUTED_VALUE"""),"Regional Barrancabermeja")</f>
        <v>Regional Barrancabermeja</v>
      </c>
      <c r="X94" s="49" t="str">
        <f>IFERROR(__xludf.DUMMYFUNCTION("""COMPUTED_VALUE"""),"JAVIER JESUS OVALLE MARTINEZ")</f>
        <v>JAVIER JESUS OVALLE MARTINEZ</v>
      </c>
      <c r="Y94" s="39" t="str">
        <f>IFERROR(__xludf.DUMMYFUNCTION("""COMPUTED_VALUE"""),"DIRECTOR REGIONAL")</f>
        <v>DIRECTOR REGIONAL</v>
      </c>
      <c r="Z94" s="49" t="str">
        <f>IFERROR(__xludf.DUMMYFUNCTION("""COMPUTED_VALUE"""),"javier.ovalle@aunap.gov.co")</f>
        <v>javier.ovalle@aunap.gov.co</v>
      </c>
      <c r="AA94" s="39" t="str">
        <f>IFERROR(__xludf.DUMMYFUNCTION("""COMPUTED_VALUE"""),"Personal, viaticos, transporte")</f>
        <v>Personal, viaticos, transporte</v>
      </c>
      <c r="AB94" s="39" t="str">
        <f>IFERROR(__xludf.DUMMYFUNCTION("""COMPUTED_VALUE"""),"No asociado")</f>
        <v>No asociado</v>
      </c>
      <c r="AC94" s="39" t="str">
        <f>IFERROR(__xludf.DUMMYFUNCTION("""COMPUTED_VALUE"""),"Propiciar la formalización de la pesca y la acuicultura")</f>
        <v>Propiciar la formalización de la pesca y la acuicultura</v>
      </c>
      <c r="AD94" s="39" t="str">
        <f>IFERROR(__xludf.DUMMYFUNCTION("""COMPUTED_VALUE"""),"Gestión con valores para resultados")</f>
        <v>Gestión con valores para resultados</v>
      </c>
      <c r="AE94" s="39" t="str">
        <f>IFERROR(__xludf.DUMMYFUNCTION("""COMPUTED_VALUE"""),"Fortalecimiento Organizacional y Simplificación de Procesos")</f>
        <v>Fortalecimiento Organizacional y Simplificación de Procesos</v>
      </c>
      <c r="AF94" s="39" t="str">
        <f>IFERROR(__xludf.DUMMYFUNCTION("""COMPUTED_VALUE"""),"12. Producción y consumo responsable")</f>
        <v>12. Producción y consumo responsable</v>
      </c>
      <c r="AG94" s="50">
        <f>IFERROR(__xludf.DUMMYFUNCTION("""COMPUTED_VALUE"""),31.0)</f>
        <v>31</v>
      </c>
      <c r="AH94" s="51" t="str">
        <f>IFERROR(__xludf.DUMMYFUNCTION("""COMPUTED_VALUE"""),"
Durante el primer trimestre, la Dirección Regional Barrancabermeja atendió y gestionó: 
*Tres (3) Permisos Arel:
Santander: Cimitarra. No. 2738. Aureliana Ardila; No. 2902. María Helena Hurtado. Norte De Santander: Zulia: No. 2803. Dimas Edel Del Quint"&amp;"ero.
*Veintinueve (29) Conceptos Técnicos correspondientes a:
(10) Prórrogas de Permisos de Comercialización: 
Antioquia: Puerto Triunfo: Bar 008. Pesquera Jose Gallo. 
Norte de Santander: Cúcuta: Cuc 002. Distribuciones Pastor Julio Delgado Y Cia Ltd"&amp;"a; Cuc 003. Supermercado Ebenezer Cucuta Sas. Cuc 004. Pirarucu Acuicultura Co Sas. Cuc 011.Rigomarpez; Cuc 012. Operadora Universal S.A.S. Cuc 014. Impormar De Colombia S.A.S.; Cuc 015. Ancizar Martínez.
Santander: Bucaramanga: Buc 005. Pesquera Mar Ade"&amp;"ntro Bucaramanga. Socorro: Buc 001. Pescados Y Mariscos Valery
(5) Prórrogas de Permisos de Cultivos: 
Santander:  Barrancabermeja: Bar 003. Asociación De Productores Piscícolas De Barrancabermeja-Asoppibar. 
Norte de Santander: Mutiscua: Cuc 001. Pesq"&amp;"uemos; Cuc 013. Misael Gamboa Rojas.   El Zulia: Cuc 006. Piscícola Los Pavos; Cuc 007. Criadero De Cachama Hermanos Jj. 
(5) Otorgamiento de Permisos de Comercialización y (1) Otorgamiento de Repoblamiento: 
Norte de Santander: Cúcuta: Cuc 009. Andicar"&amp;" Internacional Sas. Cuc 016. Pescadería &amp; Charcuteria Fay Pez.
Santander: Barbosa: Bar 004. Ardila González Ivan""Mercaexpress"". Bucaramanga: Repoblamiento. Bar 006. Electrificadora De Santander S.A.S.. San Gil: Bar 001. Pesquera Rios Mar. Buc 004. Pesq"&amp;"uera Leomar Del Valle.
(2) Otorgamiento de Permiso de Cultivo:
Santander: Enciso: Buc 002. Piscícola Aquavera S.A.S; Bar 007. Piscicola El Tesoro. 
(3) Inclusión o Modificación de Permiso de Comercialización
Bucaramanga: Buc 003. Compañía Pesquera Del"&amp;" Mar S.A.S. Girón: Bar 002. Pesquera Del Mar; Bar 005. Compañía Pesquera Del Mar Mostrador 18. 
(1) Inclusión o Modificación de Permiso de Cultivo
Norte de Santander: San Cayetano: Cuc 010. Acuicultura Del Nororiente Sas.
(2) Cancelación de Permisos de"&amp;" Cultivo: 
Norte de Santander: Zulia: Cuc 005. Piscícola La Gaviota; Cuc 008. El Manantial.  
*Un (1) Otoramiento Permiso Pequeño Comerciante. 
Puerto Berrio: Ptb 001. La Estación Del Agro Sas
Cabe anotar que la cancelación de los permisos no se cuent"&amp;"a. Por consiguiente, se dio trámite a 31 solicitudes, reflejando a su vez, un aumento en la meta programada.
")</f>
        <v>
Durante el primer trimestre, la Dirección Regional Barrancabermeja atendió y gestionó: 
*Tres (3) Permisos Arel:
Santander: Cimitarra. No. 2738. Aureliana Ardila; No. 2902. María Helena Hurtado. Norte De Santander: Zulia: No. 2803. Dimas Edel Del Quintero.
*Veintinueve (29) Conceptos Técnicos correspondientes a:
(10) Prórrogas de Permisos de Comercialización: 
Antioquia: Puerto Triunfo: Bar 008. Pesquera Jose Gallo. 
Norte de Santander: Cúcuta: Cuc 002. Distribuciones Pastor Julio Delgado Y Cia Ltda; Cuc 003. Supermercado Ebenezer Cucuta Sas. Cuc 004. Pirarucu Acuicultura Co Sas. Cuc 011.Rigomarpez; Cuc 012. Operadora Universal S.A.S. Cuc 014. Impormar De Colombia S.A.S.; Cuc 015. Ancizar Martínez.
Santander: Bucaramanga: Buc 005. Pesquera Mar Adentro Bucaramanga. Socorro: Buc 001. Pescados Y Mariscos Valery
(5) Prórrogas de Permisos de Cultivos: 
Santander:  Barrancabermeja: Bar 003. Asociación De Productores Piscícolas De Barrancabermeja-Asoppibar. 
Norte de Santander: Mutiscua: Cuc 001. Pesquemos; Cuc 013. Misael Gamboa Rojas.   El Zulia: Cuc 006. Piscícola Los Pavos; Cuc 007. Criadero De Cachama Hermanos Jj. 
(5) Otorgamiento de Permisos de Comercialización y (1) Otorgamiento de Repoblamiento: 
Norte de Santander: Cúcuta: Cuc 009. Andicar Internacional Sas. Cuc 016. Pescadería &amp; Charcuteria Fay Pez.
Santander: Barbosa: Bar 004. Ardila González Ivan"Mercaexpress". Bucaramanga: Repoblamiento. Bar 006. Electrificadora De Santander S.A.S.. San Gil: Bar 001. Pesquera Rios Mar. Buc 004. Pesquera Leomar Del Valle.
(2) Otorgamiento de Permiso de Cultivo:
Santander: Enciso: Buc 002. Piscícola Aquavera S.A.S; Bar 007. Piscicola El Tesoro. 
(3) Inclusión o Modificación de Permiso de Comercialización
Bucaramanga: Buc 003. Compañía Pesquera Del Mar S.A.S. Girón: Bar 002. Pesquera Del Mar; Bar 005. Compañía Pesquera Del Mar Mostrador 18. 
(1) Inclusión o Modificación de Permiso de Cultivo
Norte de Santander: San Cayetano: Cuc 010. Acuicultura Del Nororiente Sas.
(2) Cancelación de Permisos de Cultivo: 
Norte de Santander: Zulia: Cuc 005. Piscícola La Gaviota; Cuc 008. El Manantial.  
*Un (1) Otoramiento Permiso Pequeño Comerciante. 
Puerto Berrio: Ptb 001. La Estación Del Agro Sas
Cabe anotar que la cancelación de los permisos no se cuenta. Por consiguiente, se dio trámite a 31 solicitudes, reflejando a su vez, un aumento en la meta programada.
</v>
      </c>
      <c r="AI94" s="77" t="str">
        <f>IFERROR(__xludf.DUMMYFUNCTION("""COMPUTED_VALUE"""),"https://drive.google.com/drive/folders/1cwQvV2uIQ3qdrPGasWP7xPy57HlAaBKU?usp=sharing")</f>
        <v>https://drive.google.com/drive/folders/1cwQvV2uIQ3qdrPGasWP7xPy57HlAaBKU?usp=sharing</v>
      </c>
      <c r="AJ94" s="52">
        <f>IFERROR(__xludf.DUMMYFUNCTION("""COMPUTED_VALUE"""),44298.0)</f>
        <v>44298</v>
      </c>
      <c r="AK94" s="53" t="str">
        <f>IFERROR(IF((AL94+1)&lt;2,Alertas!$B$2&amp;TEXT(AL94,"0%")&amp;Alertas!$D$2, IF((AL94+1)=2,Alertas!$B$3,IF((AL94+1)&gt;2,Alertas!$B$4&amp;TEXT(AL94,"0%")&amp;Alertas!$D$4,AL94+1))),"Sin meta para el cuarto trimestre")</f>
        <v>La ejecución de la meta registrada se encuentra por encima de la meta programada en la formulación del plan de acción para el cuarto trimestre, su porcentaje de cumplimiento es 135%, lo cual indica una sobre ejecución que puede ser entendido por los entes de control como falencias en el proceso de planeación. se recomienda tomar este antecedente como insumo para incrementar la meta en la próxima vigencia</v>
      </c>
      <c r="AL94" s="54">
        <f t="shared" si="2"/>
        <v>1.347826087</v>
      </c>
      <c r="AM94" s="53" t="str">
        <f t="shared" si="3"/>
        <v>La ejecución de la meta registrada se encuentra por encima de la meta programada en la formulación del plan de acción para el cuarto trimestre, su porcentaje de cumplimiento es 135%, lo cual indica una sobre ejecución que puede ser entendido por los entes de control como falencias en el proceso de planeación. se recomienda tomar este antecedente como insumo para incrementar la meta en la próxima vigencia.</v>
      </c>
      <c r="AN94" s="55"/>
      <c r="AO94" s="56"/>
      <c r="AP94" s="57"/>
      <c r="AQ94" s="57"/>
      <c r="AR94" s="58"/>
      <c r="AS94" s="59"/>
      <c r="AT94" s="60"/>
      <c r="AU94" s="55"/>
      <c r="AV94" s="56"/>
      <c r="AW94" s="61"/>
      <c r="AX94" s="57"/>
      <c r="AY94" s="62"/>
      <c r="AZ94" s="63"/>
      <c r="BA94" s="64"/>
      <c r="BB94" s="65"/>
      <c r="BC94" s="56"/>
      <c r="BD94" s="61"/>
      <c r="BE94" s="57"/>
      <c r="BF94" s="58"/>
      <c r="BG94" s="63"/>
      <c r="BH94" s="64"/>
      <c r="BI94" s="66"/>
      <c r="BK94" s="21" t="str">
        <f t="shared" si="23"/>
        <v>1</v>
      </c>
      <c r="BM94" s="21"/>
    </row>
    <row r="95" ht="33.75" customHeight="1">
      <c r="A95" s="37"/>
      <c r="B95" s="38">
        <f>IFERROR(__xludf.DUMMYFUNCTION("""COMPUTED_VALUE"""),93.0)</f>
        <v>93</v>
      </c>
      <c r="C95" s="39" t="str">
        <f>IFERROR(__xludf.DUMMYFUNCTION("""COMPUTED_VALUE"""),"Gestión de la administración y fomento")</f>
        <v>Gestión de la administración y fomento</v>
      </c>
      <c r="D95" s="40" t="str">
        <f>IFERROR(__xludf.DUMMYFUNCTION("""COMPUTED_VALUE"""),"Regional Barrancabermeja")</f>
        <v>Regional Barrancabermeja</v>
      </c>
      <c r="E95" s="40" t="str">
        <f>IFERROR(__xludf.DUMMYFUNCTION("""COMPUTED_VALUE"""),"Fortalecimiento de la sostenibilidad del sector pesquero y de la acuicultura en el territorio nacional")</f>
        <v>Fortalecimiento de la sostenibilidad del sector pesquero y de la acuicultura en el territorio nacional</v>
      </c>
      <c r="F95" s="40">
        <f>IFERROR(__xludf.DUMMYFUNCTION("""COMPUTED_VALUE"""),2.01901100028E12)</f>
        <v>2019011000280</v>
      </c>
      <c r="G95" s="41" t="str">
        <f>IFERROR(__xludf.DUMMYFUNCTION("""COMPUTED_VALUE"""),"Sostenibilidad")</f>
        <v>Sostenibilidad</v>
      </c>
      <c r="H95" s="40" t="str">
        <f>IFERROR(__xludf.DUMMYFUNCTION("""COMPUTED_VALUE"""),"Mejorar la explotación de los recursos pesqueros y de la acuicultura.")</f>
        <v>Mejorar la explotación de los recursos pesqueros y de la acuicultura.</v>
      </c>
      <c r="I95" s="40" t="str">
        <f>IFERROR(__xludf.DUMMYFUNCTION("""COMPUTED_VALUE"""),"Servicios de administración de los recurso pesqueros y de la acuicultura")</f>
        <v>Servicios de administración de los recurso pesqueros y de la acuicultura</v>
      </c>
      <c r="J95" s="40" t="str">
        <f>IFERROR(__xludf.DUMMYFUNCTION("""COMPUTED_VALUE"""),"Realizar acciones de divulgación y formalización de la actividad pesquera y de la acuicultura.")</f>
        <v>Realizar acciones de divulgación y formalización de la actividad pesquera y de la acuicultura.</v>
      </c>
      <c r="K95" s="42" t="str">
        <f>IFERROR(__xludf.DUMMYFUNCTION("""COMPUTED_VALUE"""),"Gestión del área")</f>
        <v>Gestión del área</v>
      </c>
      <c r="L95" s="42" t="str">
        <f>IFERROR(__xludf.DUMMYFUNCTION("""COMPUTED_VALUE"""),"Eficacia")</f>
        <v>Eficacia</v>
      </c>
      <c r="M95" s="42" t="str">
        <f>IFERROR(__xludf.DUMMYFUNCTION("""COMPUTED_VALUE"""),"Número")</f>
        <v>Número</v>
      </c>
      <c r="N95" s="43" t="str">
        <f>IFERROR(__xludf.DUMMYFUNCTION("""COMPUTED_VALUE"""),"Número de Asociones capacitadas/Número de asociaciones programadas para capacitar")</f>
        <v>Número de Asociones capacitadas/Número de asociaciones programadas para capacitar</v>
      </c>
      <c r="O95" s="79"/>
      <c r="P95" s="74">
        <f>IFERROR(__xludf.DUMMYFUNCTION("""COMPUTED_VALUE"""),20.0)</f>
        <v>20</v>
      </c>
      <c r="Q95" s="75" t="str">
        <f>IFERROR(__xludf.DUMMYFUNCTION("""COMPUTED_VALUE"""),"Capacitar asociaciones en temas de pesca y acuicutura")</f>
        <v>Capacitar asociaciones en temas de pesca y acuicutura</v>
      </c>
      <c r="R95" s="75" t="str">
        <f>IFERROR(__xludf.DUMMYFUNCTION("""COMPUTED_VALUE"""),"Trimestral")</f>
        <v>Trimestral</v>
      </c>
      <c r="S95" s="74">
        <f>IFERROR(__xludf.DUMMYFUNCTION("""COMPUTED_VALUE"""),3.0)</f>
        <v>3</v>
      </c>
      <c r="T95" s="74">
        <f>IFERROR(__xludf.DUMMYFUNCTION("""COMPUTED_VALUE"""),3.0)</f>
        <v>3</v>
      </c>
      <c r="U95" s="74">
        <f>IFERROR(__xludf.DUMMYFUNCTION("""COMPUTED_VALUE"""),7.0)</f>
        <v>7</v>
      </c>
      <c r="V95" s="74">
        <f>IFERROR(__xludf.DUMMYFUNCTION("""COMPUTED_VALUE"""),7.0)</f>
        <v>7</v>
      </c>
      <c r="W95" s="48" t="str">
        <f>IFERROR(__xludf.DUMMYFUNCTION("""COMPUTED_VALUE"""),"Regional Barrancabermeja")</f>
        <v>Regional Barrancabermeja</v>
      </c>
      <c r="X95" s="49" t="str">
        <f>IFERROR(__xludf.DUMMYFUNCTION("""COMPUTED_VALUE"""),"JAVIER JESUS OVALLE MARTINEZ")</f>
        <v>JAVIER JESUS OVALLE MARTINEZ</v>
      </c>
      <c r="Y95" s="39" t="str">
        <f>IFERROR(__xludf.DUMMYFUNCTION("""COMPUTED_VALUE"""),"DIRECTOR REGIONAL")</f>
        <v>DIRECTOR REGIONAL</v>
      </c>
      <c r="Z95" s="49" t="str">
        <f>IFERROR(__xludf.DUMMYFUNCTION("""COMPUTED_VALUE"""),"javier.ovalle@aunap.gov.co")</f>
        <v>javier.ovalle@aunap.gov.co</v>
      </c>
      <c r="AA95" s="39" t="str">
        <f>IFERROR(__xludf.DUMMYFUNCTION("""COMPUTED_VALUE"""),"Personal, viaticos, transporte")</f>
        <v>Personal, viaticos, transporte</v>
      </c>
      <c r="AB95" s="39" t="str">
        <f>IFERROR(__xludf.DUMMYFUNCTION("""COMPUTED_VALUE"""),"No asociado")</f>
        <v>No asociado</v>
      </c>
      <c r="AC95" s="39" t="str">
        <f>IFERROR(__xludf.DUMMYFUNCTION("""COMPUTED_VALUE"""),"Propiciar la formalización de la pesca y la acuicultura")</f>
        <v>Propiciar la formalización de la pesca y la acuicultura</v>
      </c>
      <c r="AD95" s="39" t="str">
        <f>IFERROR(__xludf.DUMMYFUNCTION("""COMPUTED_VALUE"""),"Gestión con valores para resultados")</f>
        <v>Gestión con valores para resultados</v>
      </c>
      <c r="AE95" s="39" t="str">
        <f>IFERROR(__xludf.DUMMYFUNCTION("""COMPUTED_VALUE"""),"Fortalecimiento Organizacional y Simplificación de Procesos")</f>
        <v>Fortalecimiento Organizacional y Simplificación de Procesos</v>
      </c>
      <c r="AF95" s="39" t="str">
        <f>IFERROR(__xludf.DUMMYFUNCTION("""COMPUTED_VALUE"""),"12. Producción y consumo responsable")</f>
        <v>12. Producción y consumo responsable</v>
      </c>
      <c r="AG95" s="50">
        <f>IFERROR(__xludf.DUMMYFUNCTION("""COMPUTED_VALUE"""),3.0)</f>
        <v>3</v>
      </c>
      <c r="AH95" s="51" t="str">
        <f>IFERROR(__xludf.DUMMYFUNCTION("""COMPUTED_VALUE"""),"Durante el primer trimestre, se realizaron tres (3) capacitaciones en temas de normatividad pesquera, proyectos productivos, actividades conexas. Se atendieron cincuenta y cinco (55) asistentes. 
Barrancabermeja: APESTERGAL- APACCO
Cimitarra- Puerto Olay"&amp;"a: RIVERS
")</f>
        <v>Durante el primer trimestre, se realizaron tres (3) capacitaciones en temas de normatividad pesquera, proyectos productivos, actividades conexas. Se atendieron cincuenta y cinco (55) asistentes. 
Barrancabermeja: APESTERGAL- APACCO
Cimitarra- Puerto Olaya: RIVERS
</v>
      </c>
      <c r="AI95" s="77" t="str">
        <f>IFERROR(__xludf.DUMMYFUNCTION("""COMPUTED_VALUE"""),"https://drive.google.com/drive/folders/1fCgNH6Qfa0LsOSc6uE5Sse8FzKJSqHt2?usp=sharing")</f>
        <v>https://drive.google.com/drive/folders/1fCgNH6Qfa0LsOSc6uE5Sse8FzKJSqHt2?usp=sharing</v>
      </c>
      <c r="AJ95" s="52">
        <f>IFERROR(__xludf.DUMMYFUNCTION("""COMPUTED_VALUE"""),44298.0)</f>
        <v>44298</v>
      </c>
      <c r="AK95" s="53" t="str">
        <f>IFERROR(IF((AL95+1)&lt;2,Alertas!$B$2&amp;TEXT(AL95,"0%")&amp;Alertas!$D$2, IF((AL95+1)=2,Alertas!$B$3,IF((AL95+1)&gt;2,Alertas!$B$4&amp;TEXT(AL95,"0%")&amp;Alertas!$D$4,AL95+1))),"Sin meta para el cuarto trimestre")</f>
        <v>La ejecución de la meta registrada se encuentra por debajo de la meta programada en la formulación del plan de acción para el cuarto trimestre, su porcentaje de cumplimiento es 43%, lo cual indica un incumplimiento que puede ser entendido por los entes de control como falencias en el proceso de planeación. se recomienda tomar este antecedente como insumo para disminuir la meta en la próxima vigencia</v>
      </c>
      <c r="AL95" s="54">
        <f t="shared" si="2"/>
        <v>0.4285714286</v>
      </c>
      <c r="AM95" s="53" t="str">
        <f t="shared" si="3"/>
        <v>La ejecución de la meta registrada se encuentra por debajo de la meta programada en la formulación del plan de acción para el cuarto trimestre, su porcentaje de cumplimiento es 43%, lo cual indica un incumplimiento que puede ser entendido por los entes de control como falencias en el proceso de planeación. se recomienda tomar este antecedente como insumo para disminuir la meta en la próxima vigencia.</v>
      </c>
      <c r="AN95" s="55"/>
      <c r="AO95" s="56"/>
      <c r="AP95" s="57"/>
      <c r="AQ95" s="57"/>
      <c r="AR95" s="58"/>
      <c r="AS95" s="59"/>
      <c r="AT95" s="60"/>
      <c r="AU95" s="55"/>
      <c r="AV95" s="56"/>
      <c r="AW95" s="61"/>
      <c r="AX95" s="57"/>
      <c r="AY95" s="62"/>
      <c r="AZ95" s="63"/>
      <c r="BA95" s="64"/>
      <c r="BB95" s="65"/>
      <c r="BC95" s="56"/>
      <c r="BD95" s="61"/>
      <c r="BE95" s="57"/>
      <c r="BF95" s="58"/>
      <c r="BG95" s="63"/>
      <c r="BH95" s="64"/>
      <c r="BI95" s="66"/>
      <c r="BK95" s="21" t="str">
        <f t="shared" si="23"/>
        <v>-1</v>
      </c>
      <c r="BM95" s="21"/>
    </row>
    <row r="96" ht="33.75" customHeight="1">
      <c r="A96" s="37"/>
      <c r="B96" s="38">
        <f>IFERROR(__xludf.DUMMYFUNCTION("""COMPUTED_VALUE"""),94.0)</f>
        <v>94</v>
      </c>
      <c r="C96" s="39" t="str">
        <f>IFERROR(__xludf.DUMMYFUNCTION("""COMPUTED_VALUE"""),"Gestión de la administración y fomento")</f>
        <v>Gestión de la administración y fomento</v>
      </c>
      <c r="D96" s="40" t="str">
        <f>IFERROR(__xludf.DUMMYFUNCTION("""COMPUTED_VALUE"""),"Regional Barrancabermeja")</f>
        <v>Regional Barrancabermeja</v>
      </c>
      <c r="E96" s="40" t="str">
        <f>IFERROR(__xludf.DUMMYFUNCTION("""COMPUTED_VALUE"""),"Fortalecimiento de la sostenibilidad del sector pesquero y de la acuicultura en el territorio nacional")</f>
        <v>Fortalecimiento de la sostenibilidad del sector pesquero y de la acuicultura en el territorio nacional</v>
      </c>
      <c r="F96" s="40">
        <f>IFERROR(__xludf.DUMMYFUNCTION("""COMPUTED_VALUE"""),2.01901100028E12)</f>
        <v>2019011000280</v>
      </c>
      <c r="G96" s="41" t="str">
        <f>IFERROR(__xludf.DUMMYFUNCTION("""COMPUTED_VALUE"""),"Sostenibilidad")</f>
        <v>Sostenibilidad</v>
      </c>
      <c r="H96" s="40" t="str">
        <f>IFERROR(__xludf.DUMMYFUNCTION("""COMPUTED_VALUE"""),"Mejorar la explotación de los recursos pesqueros y de la acuicultura.")</f>
        <v>Mejorar la explotación de los recursos pesqueros y de la acuicultura.</v>
      </c>
      <c r="I96" s="40" t="str">
        <f>IFERROR(__xludf.DUMMYFUNCTION("""COMPUTED_VALUE"""),"Servicios de administración de los recurso pesqueros y de la acuicultura")</f>
        <v>Servicios de administración de los recurso pesqueros y de la acuicultura</v>
      </c>
      <c r="J96" s="40" t="str">
        <f>IFERROR(__xludf.DUMMYFUNCTION("""COMPUTED_VALUE"""),"Regular el manejo y el ejercicio de la actividad pesquera y de la acuicultura.")</f>
        <v>Regular el manejo y el ejercicio de la actividad pesquera y de la acuicultura.</v>
      </c>
      <c r="K96" s="42" t="str">
        <f>IFERROR(__xludf.DUMMYFUNCTION("""COMPUTED_VALUE"""),"Producto")</f>
        <v>Producto</v>
      </c>
      <c r="L96" s="42" t="str">
        <f>IFERROR(__xludf.DUMMYFUNCTION("""COMPUTED_VALUE"""),"Eficacia")</f>
        <v>Eficacia</v>
      </c>
      <c r="M96" s="42" t="str">
        <f>IFERROR(__xludf.DUMMYFUNCTION("""COMPUTED_VALUE"""),"Número")</f>
        <v>Número</v>
      </c>
      <c r="N96" s="43" t="str">
        <f>IFERROR(__xludf.DUMMYFUNCTION("""COMPUTED_VALUE"""),"Trámites atendidos")</f>
        <v>Trámites atendidos</v>
      </c>
      <c r="O96" s="79">
        <f>IFERROR(__xludf.DUMMYFUNCTION("""COMPUTED_VALUE"""),-7140.0)</f>
        <v>-7140</v>
      </c>
      <c r="P96" s="74">
        <f>IFERROR(__xludf.DUMMYFUNCTION("""COMPUTED_VALUE"""),1300.0)</f>
        <v>1300</v>
      </c>
      <c r="Q96" s="75" t="str">
        <f>IFERROR(__xludf.DUMMYFUNCTION("""COMPUTED_VALUE"""),"Formalizar pescadores artesanales")</f>
        <v>Formalizar pescadores artesanales</v>
      </c>
      <c r="R96" s="75" t="str">
        <f>IFERROR(__xludf.DUMMYFUNCTION("""COMPUTED_VALUE"""),"Trimestral")</f>
        <v>Trimestral</v>
      </c>
      <c r="S96" s="74">
        <f>IFERROR(__xludf.DUMMYFUNCTION("""COMPUTED_VALUE"""),110.0)</f>
        <v>110</v>
      </c>
      <c r="T96" s="74">
        <f>IFERROR(__xludf.DUMMYFUNCTION("""COMPUTED_VALUE"""),290.0)</f>
        <v>290</v>
      </c>
      <c r="U96" s="74">
        <f>IFERROR(__xludf.DUMMYFUNCTION("""COMPUTED_VALUE"""),515.0)</f>
        <v>515</v>
      </c>
      <c r="V96" s="74">
        <f>IFERROR(__xludf.DUMMYFUNCTION("""COMPUTED_VALUE"""),385.0)</f>
        <v>385</v>
      </c>
      <c r="W96" s="48" t="str">
        <f>IFERROR(__xludf.DUMMYFUNCTION("""COMPUTED_VALUE"""),"Regional Barrancabermeja")</f>
        <v>Regional Barrancabermeja</v>
      </c>
      <c r="X96" s="49" t="str">
        <f>IFERROR(__xludf.DUMMYFUNCTION("""COMPUTED_VALUE"""),"JAVIER JESUS OVALLE MARTINEZ")</f>
        <v>JAVIER JESUS OVALLE MARTINEZ</v>
      </c>
      <c r="Y96" s="39" t="str">
        <f>IFERROR(__xludf.DUMMYFUNCTION("""COMPUTED_VALUE"""),"DIRECTOR REGIONAL")</f>
        <v>DIRECTOR REGIONAL</v>
      </c>
      <c r="Z96" s="49" t="str">
        <f>IFERROR(__xludf.DUMMYFUNCTION("""COMPUTED_VALUE"""),"javier.ovalle@aunap.gov.co")</f>
        <v>javier.ovalle@aunap.gov.co</v>
      </c>
      <c r="AA96" s="39" t="str">
        <f>IFERROR(__xludf.DUMMYFUNCTION("""COMPUTED_VALUE"""),"Personal, viaticos, transporte")</f>
        <v>Personal, viaticos, transporte</v>
      </c>
      <c r="AB96" s="39" t="str">
        <f>IFERROR(__xludf.DUMMYFUNCTION("""COMPUTED_VALUE"""),"No asociado")</f>
        <v>No asociado</v>
      </c>
      <c r="AC96" s="39" t="str">
        <f>IFERROR(__xludf.DUMMYFUNCTION("""COMPUTED_VALUE"""),"Propiciar la formalización de la pesca y la acuicultura")</f>
        <v>Propiciar la formalización de la pesca y la acuicultura</v>
      </c>
      <c r="AD96" s="39" t="str">
        <f>IFERROR(__xludf.DUMMYFUNCTION("""COMPUTED_VALUE"""),"Gestión con valores para resultados")</f>
        <v>Gestión con valores para resultados</v>
      </c>
      <c r="AE96" s="39" t="str">
        <f>IFERROR(__xludf.DUMMYFUNCTION("""COMPUTED_VALUE"""),"Fortalecimiento Organizacional y Simplificación de Procesos")</f>
        <v>Fortalecimiento Organizacional y Simplificación de Procesos</v>
      </c>
      <c r="AF96" s="39" t="str">
        <f>IFERROR(__xludf.DUMMYFUNCTION("""COMPUTED_VALUE"""),"12. Producción y consumo responsable")</f>
        <v>12. Producción y consumo responsable</v>
      </c>
      <c r="AG96" s="50">
        <f>IFERROR(__xludf.DUMMYFUNCTION("""COMPUTED_VALUE"""),331.0)</f>
        <v>331</v>
      </c>
      <c r="AH96" s="51" t="str">
        <f>IFERROR(__xludf.DUMMYFUNCTION("""COMPUTED_VALUE"""),"Durante el Primer Trimestre, se diligenciaron trescientos treinta y un (331) Registros de Pesca Artesanal correspondientes a los consecutivos desde el CA2021040001- CA2021040331, las zonas atendidas fueron: 
ANTIOQUIA: Puerto Boyacá: APARSANÁ (13). Cimit"&amp;"arra: RIVER S (11). Yondó: ASPRECY (10) 
BOLIVAR: Arenal: ASOPASAR (15). Cantagallo: APCORO (14). Morales: ASOPEBOC (24). AGROPESQUEROS (21); ASOAGROPEZ (20). ASOARCEPEMOBO (1). Simiti: INDEPENDIENTE: 1 
BOYACÁ: Puerto Boyacá: ASOPESCAR (48); ASOPESPALAGU"&amp;"A (7); INDEPENDIENTE (11). 
CESAR: Aguachica: INDEPENDIENTE (11). Gamarra: RIO YUMA (12); ASOPESAGRO (13). ASOPESAG (10). 
SANTANDER: Barrancabermeja: ASOPROAMPREB (2); APACCO (13); ASOPENOR (2); ASOPESBOCAR (1); INDEPENDIENTE (3); ASOQUIQUELANDIA (1); PE"&amp;"ZCOMAGDA (1); ASODESBA (9); ASOPESGRUN (1); APESTERGAL (18). Betulia: INDEPENDIENTE (2); ASOPERISO (2). Girón: CORTURPIALHES: 17. Lebrija: ASOMIPEL (15). Puerto Wilches: INDEPENDIENTE (2).
Se atendieron solicitudes de renovación de carnés para la partici"&amp;"pación de proyectos de iniciativa productiva, y vinculación de nuevas asociaciones. Por tanto, hubo un aumento en la meta programada. 
")</f>
        <v>Durante el Primer Trimestre, se diligenciaron trescientos treinta y un (331) Registros de Pesca Artesanal correspondientes a los consecutivos desde el CA2021040001- CA2021040331, las zonas atendidas fueron: 
ANTIOQUIA: Puerto Boyacá: APARSANÁ (13). Cimitarra: RIVER S (11). Yondó: ASPRECY (10) 
BOLIVAR: Arenal: ASOPASAR (15). Cantagallo: APCORO (14). Morales: ASOPEBOC (24). AGROPESQUEROS (21); ASOAGROPEZ (20). ASOARCEPEMOBO (1). Simiti: INDEPENDIENTE: 1 
BOYACÁ: Puerto Boyacá: ASOPESCAR (48); ASOPESPALAGUA (7); INDEPENDIENTE (11). 
CESAR: Aguachica: INDEPENDIENTE (11). Gamarra: RIO YUMA (12); ASOPESAGRO (13). ASOPESAG (10). 
SANTANDER: Barrancabermeja: ASOPROAMPREB (2); APACCO (13); ASOPENOR (2); ASOPESBOCAR (1); INDEPENDIENTE (3); ASOQUIQUELANDIA (1); PEZCOMAGDA (1); ASODESBA (9); ASOPESGRUN (1); APESTERGAL (18). Betulia: INDEPENDIENTE (2); ASOPERISO (2). Girón: CORTURPIALHES: 17. Lebrija: ASOMIPEL (15). Puerto Wilches: INDEPENDIENTE (2).
Se atendieron solicitudes de renovación de carnés para la participación de proyectos de iniciativa productiva, y vinculación de nuevas asociaciones. Por tanto, hubo un aumento en la meta programada. 
</v>
      </c>
      <c r="AI96" s="77" t="str">
        <f>IFERROR(__xludf.DUMMYFUNCTION("""COMPUTED_VALUE"""),"https://drive.google.com/drive/folders/13lr-pNGyKzulNThk-O8P3BL8DtmKSFvh?usp=sharing")</f>
        <v>https://drive.google.com/drive/folders/13lr-pNGyKzulNThk-O8P3BL8DtmKSFvh?usp=sharing</v>
      </c>
      <c r="AJ96" s="52">
        <f>IFERROR(__xludf.DUMMYFUNCTION("""COMPUTED_VALUE"""),44298.0)</f>
        <v>44298</v>
      </c>
      <c r="AK96" s="53" t="str">
        <f>IFERROR(IF((AL96+1)&lt;2,Alertas!$B$2&amp;TEXT(AL96,"0%")&amp;Alertas!$D$2, IF((AL96+1)=2,Alertas!$B$3,IF((AL96+1)&gt;2,Alertas!$B$4&amp;TEXT(AL96,"0%")&amp;Alertas!$D$4,AL96+1))),"Sin meta para el cuarto trimestre")</f>
        <v>La ejecución de la meta registrada se encuentra por debajo de la meta programada en la formulación del plan de acción para el cuarto trimestre, su porcentaje de cumplimiento es 86%, lo cual indica un incumplimiento que puede ser entendido por los entes de control como falencias en el proceso de planeación. se recomienda tomar este antecedente como insumo para disminuir la meta en la próxima vigencia</v>
      </c>
      <c r="AL96" s="54">
        <f t="shared" si="2"/>
        <v>0.8597402597</v>
      </c>
      <c r="AM96" s="53" t="str">
        <f t="shared" si="3"/>
        <v>La ejecución de la meta registrada se encuentra por debajo de la meta programada en la formulación del plan de acción para el cuarto trimestre, su porcentaje de cumplimiento es 86%, lo cual indica un incumplimiento que puede ser entendido por los entes de control como falencias en el proceso de planeación. se recomienda tomar este antecedente como insumo para disminuir la meta en la próxima vigencia.</v>
      </c>
      <c r="AN96" s="55"/>
      <c r="AO96" s="56"/>
      <c r="AP96" s="57"/>
      <c r="AQ96" s="57"/>
      <c r="AR96" s="58"/>
      <c r="AS96" s="59"/>
      <c r="AT96" s="60"/>
      <c r="AU96" s="55"/>
      <c r="AV96" s="56"/>
      <c r="AW96" s="61"/>
      <c r="AX96" s="57"/>
      <c r="AY96" s="62"/>
      <c r="AZ96" s="63"/>
      <c r="BA96" s="64"/>
      <c r="BB96" s="65"/>
      <c r="BC96" s="56"/>
      <c r="BD96" s="61"/>
      <c r="BE96" s="57"/>
      <c r="BF96" s="58"/>
      <c r="BG96" s="63"/>
      <c r="BH96" s="64"/>
      <c r="BI96" s="66"/>
      <c r="BK96" s="21" t="str">
        <f t="shared" si="23"/>
        <v>-1</v>
      </c>
      <c r="BM96" s="21"/>
    </row>
    <row r="97" ht="33.75" customHeight="1">
      <c r="A97" s="37"/>
      <c r="B97" s="38">
        <f>IFERROR(__xludf.DUMMYFUNCTION("""COMPUTED_VALUE"""),95.0)</f>
        <v>95</v>
      </c>
      <c r="C97" s="39" t="str">
        <f>IFERROR(__xludf.DUMMYFUNCTION("""COMPUTED_VALUE"""),"Gestión de la administración y fomento")</f>
        <v>Gestión de la administración y fomento</v>
      </c>
      <c r="D97" s="40" t="str">
        <f>IFERROR(__xludf.DUMMYFUNCTION("""COMPUTED_VALUE"""),"Regional Barrancabermeja")</f>
        <v>Regional Barrancabermeja</v>
      </c>
      <c r="E97" s="40" t="str">
        <f>IFERROR(__xludf.DUMMYFUNCTION("""COMPUTED_VALUE"""),"Fortalecimiento de la sostenibilidad del sector pesquero y de la acuicultura en el territorio nacional")</f>
        <v>Fortalecimiento de la sostenibilidad del sector pesquero y de la acuicultura en el territorio nacional</v>
      </c>
      <c r="F97" s="40">
        <f>IFERROR(__xludf.DUMMYFUNCTION("""COMPUTED_VALUE"""),2.01901100028E12)</f>
        <v>2019011000280</v>
      </c>
      <c r="G97" s="41" t="str">
        <f>IFERROR(__xludf.DUMMYFUNCTION("""COMPUTED_VALUE"""),"Sostenibilidad")</f>
        <v>Sostenibilidad</v>
      </c>
      <c r="H97" s="40" t="str">
        <f>IFERROR(__xludf.DUMMYFUNCTION("""COMPUTED_VALUE"""),"Mejorar la explotación de los recursos pesqueros y de la acuicultura.")</f>
        <v>Mejorar la explotación de los recursos pesqueros y de la acuicultura.</v>
      </c>
      <c r="I97" s="40" t="str">
        <f>IFERROR(__xludf.DUMMYFUNCTION("""COMPUTED_VALUE"""),"Servicios de administración de los recurso pesqueros y de la acuicultura")</f>
        <v>Servicios de administración de los recurso pesqueros y de la acuicultura</v>
      </c>
      <c r="J97" s="40" t="str">
        <f>IFERROR(__xludf.DUMMYFUNCTION("""COMPUTED_VALUE"""),"Realizar acciones de divulgación y formalización de la actividad pesquera y de la acuicultura.")</f>
        <v>Realizar acciones de divulgación y formalización de la actividad pesquera y de la acuicultura.</v>
      </c>
      <c r="K97" s="42" t="str">
        <f>IFERROR(__xludf.DUMMYFUNCTION("""COMPUTED_VALUE"""),"Gestión del área")</f>
        <v>Gestión del área</v>
      </c>
      <c r="L97" s="42" t="str">
        <f>IFERROR(__xludf.DUMMYFUNCTION("""COMPUTED_VALUE"""),"Eficacia")</f>
        <v>Eficacia</v>
      </c>
      <c r="M97" s="42" t="str">
        <f>IFERROR(__xludf.DUMMYFUNCTION("""COMPUTED_VALUE"""),"Número")</f>
        <v>Número</v>
      </c>
      <c r="N97" s="43" t="str">
        <f>IFERROR(__xludf.DUMMYFUNCTION("""COMPUTED_VALUE"""),"Número de capacitaciones realizadas/Número de capacitaciones programadas")</f>
        <v>Número de capacitaciones realizadas/Número de capacitaciones programadas</v>
      </c>
      <c r="O97" s="44"/>
      <c r="P97" s="74">
        <f>IFERROR(__xludf.DUMMYFUNCTION("""COMPUTED_VALUE"""),40.0)</f>
        <v>40</v>
      </c>
      <c r="Q97" s="75" t="str">
        <f>IFERROR(__xludf.DUMMYFUNCTION("""COMPUTED_VALUE"""),"Capacitar a los grupos de interes en asociatividad y normatividad para el ejercicio de la acuicultura, pesca, y actividades conexas")</f>
        <v>Capacitar a los grupos de interes en asociatividad y normatividad para el ejercicio de la acuicultura, pesca, y actividades conexas</v>
      </c>
      <c r="R97" s="75" t="str">
        <f>IFERROR(__xludf.DUMMYFUNCTION("""COMPUTED_VALUE"""),"Trimestral")</f>
        <v>Trimestral</v>
      </c>
      <c r="S97" s="74">
        <f>IFERROR(__xludf.DUMMYFUNCTION("""COMPUTED_VALUE"""),4.0)</f>
        <v>4</v>
      </c>
      <c r="T97" s="74">
        <f>IFERROR(__xludf.DUMMYFUNCTION("""COMPUTED_VALUE"""),10.0)</f>
        <v>10</v>
      </c>
      <c r="U97" s="74">
        <f>IFERROR(__xludf.DUMMYFUNCTION("""COMPUTED_VALUE"""),12.0)</f>
        <v>12</v>
      </c>
      <c r="V97" s="74">
        <f>IFERROR(__xludf.DUMMYFUNCTION("""COMPUTED_VALUE"""),14.0)</f>
        <v>14</v>
      </c>
      <c r="W97" s="48" t="str">
        <f>IFERROR(__xludf.DUMMYFUNCTION("""COMPUTED_VALUE"""),"Regional Barrancabermeja")</f>
        <v>Regional Barrancabermeja</v>
      </c>
      <c r="X97" s="49" t="str">
        <f>IFERROR(__xludf.DUMMYFUNCTION("""COMPUTED_VALUE"""),"JAVIER JESUS OVALLE MARTINEZ")</f>
        <v>JAVIER JESUS OVALLE MARTINEZ</v>
      </c>
      <c r="Y97" s="39" t="str">
        <f>IFERROR(__xludf.DUMMYFUNCTION("""COMPUTED_VALUE"""),"DIRECTOR REGIONAL")</f>
        <v>DIRECTOR REGIONAL</v>
      </c>
      <c r="Z97" s="49" t="str">
        <f>IFERROR(__xludf.DUMMYFUNCTION("""COMPUTED_VALUE"""),"javier.ovalle@aunap.gov.co")</f>
        <v>javier.ovalle@aunap.gov.co</v>
      </c>
      <c r="AA97" s="39" t="str">
        <f>IFERROR(__xludf.DUMMYFUNCTION("""COMPUTED_VALUE"""),"Personal, viaticos, transporte")</f>
        <v>Personal, viaticos, transporte</v>
      </c>
      <c r="AB97" s="39" t="str">
        <f>IFERROR(__xludf.DUMMYFUNCTION("""COMPUTED_VALUE"""),"No asociado")</f>
        <v>No asociado</v>
      </c>
      <c r="AC97" s="39" t="str">
        <f>IFERROR(__xludf.DUMMYFUNCTION("""COMPUTED_VALUE"""),"Llegar con actividades de pesca y acuicultura a todas las regiones")</f>
        <v>Llegar con actividades de pesca y acuicultura a todas las regiones</v>
      </c>
      <c r="AD97" s="39" t="str">
        <f>IFERROR(__xludf.DUMMYFUNCTION("""COMPUTED_VALUE"""),"Gestión con valores para resultados")</f>
        <v>Gestión con valores para resultados</v>
      </c>
      <c r="AE97" s="39" t="str">
        <f>IFERROR(__xludf.DUMMYFUNCTION("""COMPUTED_VALUE"""),"Fortalecimiento Organizacional y Simplificación de Procesos")</f>
        <v>Fortalecimiento Organizacional y Simplificación de Procesos</v>
      </c>
      <c r="AF97" s="39" t="str">
        <f>IFERROR(__xludf.DUMMYFUNCTION("""COMPUTED_VALUE"""),"12. Producción y consumo responsable")</f>
        <v>12. Producción y consumo responsable</v>
      </c>
      <c r="AG97" s="76">
        <f>IFERROR(__xludf.DUMMYFUNCTION("""COMPUTED_VALUE"""),13.0)</f>
        <v>13</v>
      </c>
      <c r="AH97" s="51" t="str">
        <f>IFERROR(__xludf.DUMMYFUNCTION("""COMPUTED_VALUE"""),"Durante el primer Trimestre del año, se realizaron trece (13) Capacitaciones dirigidas a las asociaciones de pescadores artesanales que hacen parte de la jurisdicción Regional Barrancabermeja, capacitando en el marco del Nodo de Pesca y Acuicultura año 20"&amp;"21, la socialización del programa de fomento vigencia tanto en modo virtual como presencial,   desde Gamarra, Aguachica, San Martín  (Cesar), Cantagallo, Morales, Arenal, San Pablo (Bolívar), Puerto Boyacá (Boyacá), Ocaña (Norte de Santander),  Barrancabe"&amp;"rmeja, Cimitarra, Puerto Wilches, Sabana de Torres (Santander). Atendiendo doscientos ocho (208) pescadores artesanales cumpliendo con los protocolos de bioseguridad ante COVID 19.  Se aumentó la meta programada debia al interes de participar en la convoc"&amp;"atoria de proyectos 2021.")</f>
        <v>Durante el primer Trimestre del año, se realizaron trece (13) Capacitaciones dirigidas a las asociaciones de pescadores artesanales que hacen parte de la jurisdicción Regional Barrancabermeja, capacitando en el marco del Nodo de Pesca y Acuicultura año 2021, la socialización del programa de fomento vigencia tanto en modo virtual como presencial,   desde Gamarra, Aguachica, San Martín  (Cesar), Cantagallo, Morales, Arenal, San Pablo (Bolívar), Puerto Boyacá (Boyacá), Ocaña (Norte de Santander),  Barrancabermeja, Cimitarra, Puerto Wilches, Sabana de Torres (Santander). Atendiendo doscientos ocho (208) pescadores artesanales cumpliendo con los protocolos de bioseguridad ante COVID 19.  Se aumentó la meta programada debia al interes de participar en la convocatoria de proyectos 2021.</v>
      </c>
      <c r="AI97" s="72" t="str">
        <f>IFERROR(__xludf.DUMMYFUNCTION("""COMPUTED_VALUE"""),"https://drive.google.com/drive/folders/1Gl9Gulp4AMK1HsmgOwYkza9eNNjU-xlh?usp=sharing")</f>
        <v>https://drive.google.com/drive/folders/1Gl9Gulp4AMK1HsmgOwYkza9eNNjU-xlh?usp=sharing</v>
      </c>
      <c r="AJ97" s="52">
        <f>IFERROR(__xludf.DUMMYFUNCTION("""COMPUTED_VALUE"""),44298.0)</f>
        <v>44298</v>
      </c>
      <c r="AK97" s="53" t="str">
        <f>IFERROR(IF((AL97+1)&lt;2,Alertas!$B$2&amp;TEXT(AL97,"0%")&amp;Alertas!$D$2, IF((AL97+1)=2,Alertas!$B$3,IF((AL97+1)&gt;2,Alertas!$B$4&amp;TEXT(AL97,"0%")&amp;Alertas!$D$4,AL97+1))),"Sin meta para el cuarto trimestre")</f>
        <v>La ejecución de la meta registrada se encuentra por debajo de la meta programada en la formulación del plan de acción para el cuarto trimestre, su porcentaje de cumplimiento es 93%, lo cual indica un incumplimiento que puede ser entendido por los entes de control como falencias en el proceso de planeación. se recomienda tomar este antecedente como insumo para disminuir la meta en la próxima vigencia</v>
      </c>
      <c r="AL97" s="54">
        <f t="shared" si="2"/>
        <v>0.9285714286</v>
      </c>
      <c r="AM97" s="53" t="str">
        <f t="shared" si="3"/>
        <v>La ejecución de la meta registrada se encuentra por debajo de la meta programada en la formulación del plan de acción para el cuarto trimestre, su porcentaje de cumplimiento es 93%, lo cual indica un incumplimiento que puede ser entendido por los entes de control como falencias en el proceso de planeación. se recomienda tomar este antecedente como insumo para disminuir la meta en la próxima vigencia.</v>
      </c>
      <c r="AN97" s="55"/>
      <c r="AO97" s="56"/>
      <c r="AP97" s="57"/>
      <c r="AQ97" s="57"/>
      <c r="AR97" s="58"/>
      <c r="AS97" s="59"/>
      <c r="AT97" s="60"/>
      <c r="AU97" s="55"/>
      <c r="AV97" s="56"/>
      <c r="AW97" s="61"/>
      <c r="AX97" s="57"/>
      <c r="AY97" s="62"/>
      <c r="AZ97" s="63"/>
      <c r="BA97" s="64"/>
      <c r="BB97" s="65"/>
      <c r="BC97" s="56"/>
      <c r="BD97" s="61"/>
      <c r="BE97" s="57"/>
      <c r="BF97" s="58"/>
      <c r="BG97" s="63"/>
      <c r="BH97" s="64"/>
      <c r="BI97" s="66"/>
      <c r="BK97" s="21" t="str">
        <f t="shared" si="23"/>
        <v>-1</v>
      </c>
      <c r="BM97" s="21"/>
    </row>
    <row r="98" ht="33.75" customHeight="1">
      <c r="A98" s="37"/>
      <c r="B98" s="38">
        <f>IFERROR(__xludf.DUMMYFUNCTION("""COMPUTED_VALUE"""),96.0)</f>
        <v>96</v>
      </c>
      <c r="C98" s="39" t="str">
        <f>IFERROR(__xludf.DUMMYFUNCTION("""COMPUTED_VALUE"""),"Gestión de la administración y fomento")</f>
        <v>Gestión de la administración y fomento</v>
      </c>
      <c r="D98" s="40" t="str">
        <f>IFERROR(__xludf.DUMMYFUNCTION("""COMPUTED_VALUE"""),"Regional Barrancabermeja")</f>
        <v>Regional Barrancabermeja</v>
      </c>
      <c r="E98" s="40" t="str">
        <f>IFERROR(__xludf.DUMMYFUNCTION("""COMPUTED_VALUE"""),"Fortalecimiento de la sostenibilidad del sector pesquero y de la acuicultura en el territorio nacional")</f>
        <v>Fortalecimiento de la sostenibilidad del sector pesquero y de la acuicultura en el territorio nacional</v>
      </c>
      <c r="F98" s="40">
        <f>IFERROR(__xludf.DUMMYFUNCTION("""COMPUTED_VALUE"""),2.01901100028E12)</f>
        <v>2019011000280</v>
      </c>
      <c r="G98" s="41" t="str">
        <f>IFERROR(__xludf.DUMMYFUNCTION("""COMPUTED_VALUE"""),"Sostenibilidad")</f>
        <v>Sostenibilidad</v>
      </c>
      <c r="H98" s="40" t="str">
        <f>IFERROR(__xludf.DUMMYFUNCTION("""COMPUTED_VALUE"""),"Mejorar la explotación de los recursos pesqueros y de la acuicultura.")</f>
        <v>Mejorar la explotación de los recursos pesqueros y de la acuicultura.</v>
      </c>
      <c r="I98" s="40" t="str">
        <f>IFERROR(__xludf.DUMMYFUNCTION("""COMPUTED_VALUE"""),"Servicio de ordenación pesquera y de la acuicultura")</f>
        <v>Servicio de ordenación pesquera y de la acuicultura</v>
      </c>
      <c r="J98" s="40" t="str">
        <f>IFERROR(__xludf.DUMMYFUNCTION("""COMPUTED_VALUE"""),"Realizar seguimiento a los acuerdos de ordenación")</f>
        <v>Realizar seguimiento a los acuerdos de ordenación</v>
      </c>
      <c r="K98" s="42" t="str">
        <f>IFERROR(__xludf.DUMMYFUNCTION("""COMPUTED_VALUE"""),"Producto")</f>
        <v>Producto</v>
      </c>
      <c r="L98" s="42" t="str">
        <f>IFERROR(__xludf.DUMMYFUNCTION("""COMPUTED_VALUE"""),"Eficacia")</f>
        <v>Eficacia</v>
      </c>
      <c r="M98" s="42" t="str">
        <f>IFERROR(__xludf.DUMMYFUNCTION("""COMPUTED_VALUE"""),"Número")</f>
        <v>Número</v>
      </c>
      <c r="N98" s="43" t="str">
        <f>IFERROR(__xludf.DUMMYFUNCTION("""COMPUTED_VALUE"""),"Acuerdos de ordenacion atendidos")</f>
        <v>Acuerdos de ordenacion atendidos</v>
      </c>
      <c r="O98" s="44">
        <f>IFERROR(__xludf.DUMMYFUNCTION("""COMPUTED_VALUE"""),-3.0)</f>
        <v>-3</v>
      </c>
      <c r="P98" s="74">
        <f>IFERROR(__xludf.DUMMYFUNCTION("""COMPUTED_VALUE"""),2.0)</f>
        <v>2</v>
      </c>
      <c r="Q98" s="75" t="str">
        <f>IFERROR(__xludf.DUMMYFUNCTION("""COMPUTED_VALUE"""),"Realizar seguimiento a los acuerdos de ordenación pesquera")</f>
        <v>Realizar seguimiento a los acuerdos de ordenación pesquera</v>
      </c>
      <c r="R98" s="75" t="str">
        <f>IFERROR(__xludf.DUMMYFUNCTION("""COMPUTED_VALUE"""),"Trimestral")</f>
        <v>Trimestral</v>
      </c>
      <c r="S98" s="74">
        <f>IFERROR(__xludf.DUMMYFUNCTION("""COMPUTED_VALUE"""),0.0)</f>
        <v>0</v>
      </c>
      <c r="T98" s="74">
        <f>IFERROR(__xludf.DUMMYFUNCTION("""COMPUTED_VALUE"""),1.0)</f>
        <v>1</v>
      </c>
      <c r="U98" s="74">
        <f>IFERROR(__xludf.DUMMYFUNCTION("""COMPUTED_VALUE"""),1.0)</f>
        <v>1</v>
      </c>
      <c r="V98" s="74">
        <f>IFERROR(__xludf.DUMMYFUNCTION("""COMPUTED_VALUE"""),0.0)</f>
        <v>0</v>
      </c>
      <c r="W98" s="48" t="str">
        <f>IFERROR(__xludf.DUMMYFUNCTION("""COMPUTED_VALUE"""),"Regional Barrancabermeja")</f>
        <v>Regional Barrancabermeja</v>
      </c>
      <c r="X98" s="49" t="str">
        <f>IFERROR(__xludf.DUMMYFUNCTION("""COMPUTED_VALUE"""),"JAVIER JESUS OVALLE MARTINEZ")</f>
        <v>JAVIER JESUS OVALLE MARTINEZ</v>
      </c>
      <c r="Y98" s="39" t="str">
        <f>IFERROR(__xludf.DUMMYFUNCTION("""COMPUTED_VALUE"""),"DIRECTOR REGIONAL")</f>
        <v>DIRECTOR REGIONAL</v>
      </c>
      <c r="Z98" s="49" t="str">
        <f>IFERROR(__xludf.DUMMYFUNCTION("""COMPUTED_VALUE"""),"javier.ovalle@aunap.gov.co")</f>
        <v>javier.ovalle@aunap.gov.co</v>
      </c>
      <c r="AA98" s="39" t="str">
        <f>IFERROR(__xludf.DUMMYFUNCTION("""COMPUTED_VALUE"""),"Personal, viaticos, transporte")</f>
        <v>Personal, viaticos, transporte</v>
      </c>
      <c r="AB98" s="39" t="str">
        <f>IFERROR(__xludf.DUMMYFUNCTION("""COMPUTED_VALUE"""),"No asociado")</f>
        <v>No asociado</v>
      </c>
      <c r="AC98"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98" s="39" t="str">
        <f>IFERROR(__xludf.DUMMYFUNCTION("""COMPUTED_VALUE"""),"Gestión con valores para resultados")</f>
        <v>Gestión con valores para resultados</v>
      </c>
      <c r="AE98" s="39" t="str">
        <f>IFERROR(__xludf.DUMMYFUNCTION("""COMPUTED_VALUE"""),"Fortalecimiento Organizacional y Simplificación de Procesos")</f>
        <v>Fortalecimiento Organizacional y Simplificación de Procesos</v>
      </c>
      <c r="AF98" s="39" t="str">
        <f>IFERROR(__xludf.DUMMYFUNCTION("""COMPUTED_VALUE"""),"12. Producción y consumo responsable")</f>
        <v>12. Producción y consumo responsable</v>
      </c>
      <c r="AG98" s="76">
        <f>IFERROR(__xludf.DUMMYFUNCTION("""COMPUTED_VALUE"""),0.0)</f>
        <v>0</v>
      </c>
      <c r="AH98" s="51" t="str">
        <f>IFERROR(__xludf.DUMMYFUNCTION("""COMPUTED_VALUE"""),"La ejecución de esta actividad esta programada para el II Trimestre, está en proceso. Por tanto no se adjunta evidencia. ")</f>
        <v>La ejecución de esta actividad esta programada para el II Trimestre, está en proceso. Por tanto no se adjunta evidencia. </v>
      </c>
      <c r="AI98" s="51" t="str">
        <f>IFERROR(__xludf.DUMMYFUNCTION("""COMPUTED_VALUE"""),"No se ha generado carpeta de evidencias sobre esta actividad")</f>
        <v>No se ha generado carpeta de evidencias sobre esta actividad</v>
      </c>
      <c r="AJ98" s="52">
        <f>IFERROR(__xludf.DUMMYFUNCTION("""COMPUTED_VALUE"""),44298.0)</f>
        <v>44298</v>
      </c>
      <c r="AK98" s="53" t="str">
        <f>IFERROR(IF((AL98+1)&lt;2,Alertas!$B$2&amp;TEXT(AL98,"0%")&amp;Alertas!$D$2, IF((AL98+1)=2,Alertas!$B$3,IF((AL98+1)&gt;2,Alertas!$B$4&amp;TEXT(AL98,"0%")&amp;Alertas!$D$4,AL98+1))),"Sin meta para el cuarto trimestre")</f>
        <v>Sin meta para el cuarto trimestre</v>
      </c>
      <c r="AL98" s="54" t="str">
        <f t="shared" si="2"/>
        <v>-</v>
      </c>
      <c r="AM98" s="53" t="str">
        <f t="shared" si="3"/>
        <v>Sin meta para el cuarto trimestre.</v>
      </c>
      <c r="AN98" s="55"/>
      <c r="AO98" s="56"/>
      <c r="AP98" s="57"/>
      <c r="AQ98" s="57"/>
      <c r="AR98" s="58"/>
      <c r="AS98" s="59"/>
      <c r="AT98" s="60"/>
      <c r="AU98" s="55"/>
      <c r="AV98" s="56"/>
      <c r="AW98" s="61"/>
      <c r="AX98" s="57"/>
      <c r="AY98" s="62"/>
      <c r="AZ98" s="63"/>
      <c r="BA98" s="64"/>
      <c r="BB98" s="65"/>
      <c r="BC98" s="56"/>
      <c r="BD98" s="61"/>
      <c r="BE98" s="57"/>
      <c r="BF98" s="58"/>
      <c r="BG98" s="63"/>
      <c r="BH98" s="64"/>
      <c r="BI98" s="66"/>
      <c r="BK98" s="21" t="str">
        <f t="shared" si="23"/>
        <v>-</v>
      </c>
      <c r="BM98" s="21"/>
    </row>
    <row r="99" ht="33.75" customHeight="1">
      <c r="A99" s="37"/>
      <c r="B99" s="38">
        <f>IFERROR(__xludf.DUMMYFUNCTION("""COMPUTED_VALUE"""),97.0)</f>
        <v>97</v>
      </c>
      <c r="C99" s="39" t="str">
        <f>IFERROR(__xludf.DUMMYFUNCTION("""COMPUTED_VALUE"""),"Gestión de la administración y fomento")</f>
        <v>Gestión de la administración y fomento</v>
      </c>
      <c r="D99" s="40" t="str">
        <f>IFERROR(__xludf.DUMMYFUNCTION("""COMPUTED_VALUE"""),"Regional Barrancabermeja")</f>
        <v>Regional Barrancabermeja</v>
      </c>
      <c r="E99" s="40" t="str">
        <f>IFERROR(__xludf.DUMMYFUNCTION("""COMPUTED_VALUE"""),"Fortalecimiento de la sostenibilidad del sector pesquero y de la acuicultura en el territorio nacional")</f>
        <v>Fortalecimiento de la sostenibilidad del sector pesquero y de la acuicultura en el territorio nacional</v>
      </c>
      <c r="F99" s="40">
        <f>IFERROR(__xludf.DUMMYFUNCTION("""COMPUTED_VALUE"""),2.01901100028E12)</f>
        <v>2019011000280</v>
      </c>
      <c r="G99" s="41" t="str">
        <f>IFERROR(__xludf.DUMMYFUNCTION("""COMPUTED_VALUE"""),"Sostenibilidad")</f>
        <v>Sostenibilidad</v>
      </c>
      <c r="H99" s="40" t="str">
        <f>IFERROR(__xludf.DUMMYFUNCTION("""COMPUTED_VALUE"""),"Mejorar la explotación de los recursos pesqueros y de la acuicultura.")</f>
        <v>Mejorar la explotación de los recursos pesqueros y de la acuicultura.</v>
      </c>
      <c r="I99" s="40" t="str">
        <f>IFERROR(__xludf.DUMMYFUNCTION("""COMPUTED_VALUE"""),"Servicio de ordenación pesquera y de la acuicultura")</f>
        <v>Servicio de ordenación pesquera y de la acuicultura</v>
      </c>
      <c r="J99" s="40" t="str">
        <f>IFERROR(__xludf.DUMMYFUNCTION("""COMPUTED_VALUE"""),"Generar acuerdos de ordenación de la actividad pesquera y de la acuicultura.")</f>
        <v>Generar acuerdos de ordenación de la actividad pesquera y de la acuicultura.</v>
      </c>
      <c r="K99" s="42" t="str">
        <f>IFERROR(__xludf.DUMMYFUNCTION("""COMPUTED_VALUE"""),"Producto")</f>
        <v>Producto</v>
      </c>
      <c r="L99" s="42" t="str">
        <f>IFERROR(__xludf.DUMMYFUNCTION("""COMPUTED_VALUE"""),"Eficacia")</f>
        <v>Eficacia</v>
      </c>
      <c r="M99" s="42" t="str">
        <f>IFERROR(__xludf.DUMMYFUNCTION("""COMPUTED_VALUE"""),"Número")</f>
        <v>Número</v>
      </c>
      <c r="N99" s="43" t="str">
        <f>IFERROR(__xludf.DUMMYFUNCTION("""COMPUTED_VALUE"""),"Acuerdos de ordenacion atendidos")</f>
        <v>Acuerdos de ordenacion atendidos</v>
      </c>
      <c r="O99" s="44">
        <f>IFERROR(__xludf.DUMMYFUNCTION("""COMPUTED_VALUE"""),-3.0)</f>
        <v>-3</v>
      </c>
      <c r="P99" s="45">
        <f>IFERROR(__xludf.DUMMYFUNCTION("""COMPUTED_VALUE"""),1.0)</f>
        <v>1</v>
      </c>
      <c r="Q99" s="46" t="str">
        <f>IFERROR(__xludf.DUMMYFUNCTION("""COMPUTED_VALUE"""),"Generar acuerdos de ordenación de la actividad pesquera y de la acuicultura")</f>
        <v>Generar acuerdos de ordenación de la actividad pesquera y de la acuicultura</v>
      </c>
      <c r="R99" s="47" t="str">
        <f>IFERROR(__xludf.DUMMYFUNCTION("""COMPUTED_VALUE"""),"Trimestral")</f>
        <v>Trimestral</v>
      </c>
      <c r="S99" s="45">
        <f>IFERROR(__xludf.DUMMYFUNCTION("""COMPUTED_VALUE"""),0.0)</f>
        <v>0</v>
      </c>
      <c r="T99" s="45">
        <f>IFERROR(__xludf.DUMMYFUNCTION("""COMPUTED_VALUE"""),0.0)</f>
        <v>0</v>
      </c>
      <c r="U99" s="45">
        <f>IFERROR(__xludf.DUMMYFUNCTION("""COMPUTED_VALUE"""),0.0)</f>
        <v>0</v>
      </c>
      <c r="V99" s="45">
        <f>IFERROR(__xludf.DUMMYFUNCTION("""COMPUTED_VALUE"""),1.0)</f>
        <v>1</v>
      </c>
      <c r="W99" s="48" t="str">
        <f>IFERROR(__xludf.DUMMYFUNCTION("""COMPUTED_VALUE"""),"Regional Barrancabermeja")</f>
        <v>Regional Barrancabermeja</v>
      </c>
      <c r="X99" s="49" t="str">
        <f>IFERROR(__xludf.DUMMYFUNCTION("""COMPUTED_VALUE"""),"JAVIER JESUS OVALLE MARTINEZ")</f>
        <v>JAVIER JESUS OVALLE MARTINEZ</v>
      </c>
      <c r="Y99" s="39" t="str">
        <f>IFERROR(__xludf.DUMMYFUNCTION("""COMPUTED_VALUE"""),"DIRECTOR REGIONAL")</f>
        <v>DIRECTOR REGIONAL</v>
      </c>
      <c r="Z99" s="49" t="str">
        <f>IFERROR(__xludf.DUMMYFUNCTION("""COMPUTED_VALUE"""),"javier.ovalle@aunap.gov.co")</f>
        <v>javier.ovalle@aunap.gov.co</v>
      </c>
      <c r="AA99" s="39" t="str">
        <f>IFERROR(__xludf.DUMMYFUNCTION("""COMPUTED_VALUE"""),"Personal, viaticos, transporte")</f>
        <v>Personal, viaticos, transporte</v>
      </c>
      <c r="AB99" s="39" t="str">
        <f>IFERROR(__xludf.DUMMYFUNCTION("""COMPUTED_VALUE"""),"No asociado")</f>
        <v>No asociado</v>
      </c>
      <c r="AC99"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99" s="39" t="str">
        <f>IFERROR(__xludf.DUMMYFUNCTION("""COMPUTED_VALUE"""),"Gestión con valores para resultados")</f>
        <v>Gestión con valores para resultados</v>
      </c>
      <c r="AE99" s="39" t="str">
        <f>IFERROR(__xludf.DUMMYFUNCTION("""COMPUTED_VALUE"""),"Fortalecimiento Organizacional y Simplificación de Procesos")</f>
        <v>Fortalecimiento Organizacional y Simplificación de Procesos</v>
      </c>
      <c r="AF99" s="39" t="str">
        <f>IFERROR(__xludf.DUMMYFUNCTION("""COMPUTED_VALUE"""),"12. Producción y consumo responsable")</f>
        <v>12. Producción y consumo responsable</v>
      </c>
      <c r="AG99" s="76">
        <f>IFERROR(__xludf.DUMMYFUNCTION("""COMPUTED_VALUE"""),0.0)</f>
        <v>0</v>
      </c>
      <c r="AH99" s="51" t="str">
        <f>IFERROR(__xludf.DUMMYFUNCTION("""COMPUTED_VALUE"""),"La ejecución de esta actividad esta programada para el IV Trimestre, está en proceso. Por tanto no se adjunta evidencia. ")</f>
        <v>La ejecución de esta actividad esta programada para el IV Trimestre, está en proceso. Por tanto no se adjunta evidencia. </v>
      </c>
      <c r="AI99" s="51" t="str">
        <f>IFERROR(__xludf.DUMMYFUNCTION("""COMPUTED_VALUE"""),"No se ha generado carpeta de evidencias sobre esta actividad")</f>
        <v>No se ha generado carpeta de evidencias sobre esta actividad</v>
      </c>
      <c r="AJ99" s="52">
        <f>IFERROR(__xludf.DUMMYFUNCTION("""COMPUTED_VALUE"""),44298.0)</f>
        <v>44298</v>
      </c>
      <c r="AK99" s="53" t="str">
        <f>IFERROR(IF((AL99+1)&lt;2,Alertas!$B$2&amp;TEXT(AL99,"0%")&amp;Alertas!$D$2, IF((AL99+1)=2,Alertas!$B$3,IF((AL99+1)&gt;2,Alertas!$B$4&amp;TEXT(AL99,"0%")&amp;Alertas!$D$4,AL99+1))),"Sin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99" s="54">
        <f t="shared" si="2"/>
        <v>0</v>
      </c>
      <c r="AM99"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99" s="55"/>
      <c r="AO99" s="56"/>
      <c r="AP99" s="57"/>
      <c r="AQ99" s="57"/>
      <c r="AR99" s="58"/>
      <c r="AS99" s="59"/>
      <c r="AT99" s="60"/>
      <c r="AU99" s="55"/>
      <c r="AV99" s="56"/>
      <c r="AW99" s="61"/>
      <c r="AX99" s="57"/>
      <c r="AY99" s="62"/>
      <c r="AZ99" s="63"/>
      <c r="BA99" s="64"/>
      <c r="BB99" s="65"/>
      <c r="BC99" s="56"/>
      <c r="BD99" s="61"/>
      <c r="BE99" s="57"/>
      <c r="BF99" s="58"/>
      <c r="BG99" s="63"/>
      <c r="BH99" s="64"/>
      <c r="BI99" s="66"/>
      <c r="BK99" s="21" t="str">
        <f t="shared" si="23"/>
        <v>-1</v>
      </c>
      <c r="BM99" s="21"/>
    </row>
    <row r="100" ht="33.75" customHeight="1">
      <c r="A100" s="37"/>
      <c r="B100" s="38">
        <f>IFERROR(__xludf.DUMMYFUNCTION("""COMPUTED_VALUE"""),98.0)</f>
        <v>98</v>
      </c>
      <c r="C100" s="39" t="str">
        <f>IFERROR(__xludf.DUMMYFUNCTION("""COMPUTED_VALUE"""),"Gestión de la administración y fomento")</f>
        <v>Gestión de la administración y fomento</v>
      </c>
      <c r="D100" s="40" t="str">
        <f>IFERROR(__xludf.DUMMYFUNCTION("""COMPUTED_VALUE"""),"Regional Barranquilla")</f>
        <v>Regional Barranquilla</v>
      </c>
      <c r="E100" s="40" t="str">
        <f>IFERROR(__xludf.DUMMYFUNCTION("""COMPUTED_VALUE"""),"Fortalecimiento de la sostenibilidad del sector pesquero y de la acuicultura en el territorio nacional")</f>
        <v>Fortalecimiento de la sostenibilidad del sector pesquero y de la acuicultura en el territorio nacional</v>
      </c>
      <c r="F100" s="40">
        <f>IFERROR(__xludf.DUMMYFUNCTION("""COMPUTED_VALUE"""),2.01901100028E12)</f>
        <v>2019011000280</v>
      </c>
      <c r="G100" s="41" t="str">
        <f>IFERROR(__xludf.DUMMYFUNCTION("""COMPUTED_VALUE"""),"Sostenibilidad")</f>
        <v>Sostenibilidad</v>
      </c>
      <c r="H100" s="40" t="str">
        <f>IFERROR(__xludf.DUMMYFUNCTION("""COMPUTED_VALUE"""),"Mejorar la explotación de los recursos pesqueros y de la acuicultura.")</f>
        <v>Mejorar la explotación de los recursos pesqueros y de la acuicultura.</v>
      </c>
      <c r="I100" s="40" t="str">
        <f>IFERROR(__xludf.DUMMYFUNCTION("""COMPUTED_VALUE"""),"Servicios de administración de los recurso pesqueros y de la acuicultura")</f>
        <v>Servicios de administración de los recurso pesqueros y de la acuicultura</v>
      </c>
      <c r="J100" s="40" t="str">
        <f>IFERROR(__xludf.DUMMYFUNCTION("""COMPUTED_VALUE"""),"Regular el manejo y el ejercicio de la actividad pesquera y de la acuicultura.")</f>
        <v>Regular el manejo y el ejercicio de la actividad pesquera y de la acuicultura.</v>
      </c>
      <c r="K100" s="42" t="str">
        <f>IFERROR(__xludf.DUMMYFUNCTION("""COMPUTED_VALUE"""),"Producto")</f>
        <v>Producto</v>
      </c>
      <c r="L100" s="42" t="str">
        <f>IFERROR(__xludf.DUMMYFUNCTION("""COMPUTED_VALUE"""),"Eficacia")</f>
        <v>Eficacia</v>
      </c>
      <c r="M100" s="42" t="str">
        <f>IFERROR(__xludf.DUMMYFUNCTION("""COMPUTED_VALUE"""),"Número")</f>
        <v>Número</v>
      </c>
      <c r="N100" s="43" t="str">
        <f>IFERROR(__xludf.DUMMYFUNCTION("""COMPUTED_VALUE"""),"Trámites atendidos")</f>
        <v>Trámites atendidos</v>
      </c>
      <c r="O100" s="44"/>
      <c r="P100" s="45">
        <f>IFERROR(__xludf.DUMMYFUNCTION("""COMPUTED_VALUE"""),1000.0)</f>
        <v>1000</v>
      </c>
      <c r="Q100" s="46" t="str">
        <f>IFERROR(__xludf.DUMMYFUNCTION("""COMPUTED_VALUE"""),"Gestionar las solicitudes de los tramites de permisos de para el ejercicio de la pesca y la acuicultura")</f>
        <v>Gestionar las solicitudes de los tramites de permisos de para el ejercicio de la pesca y la acuicultura</v>
      </c>
      <c r="R100" s="47" t="str">
        <f>IFERROR(__xludf.DUMMYFUNCTION("""COMPUTED_VALUE"""),"Trimestral")</f>
        <v>Trimestral</v>
      </c>
      <c r="S100" s="45">
        <f>IFERROR(__xludf.DUMMYFUNCTION("""COMPUTED_VALUE"""),178.0)</f>
        <v>178</v>
      </c>
      <c r="T100" s="45">
        <f>IFERROR(__xludf.DUMMYFUNCTION("""COMPUTED_VALUE"""),260.0)</f>
        <v>260</v>
      </c>
      <c r="U100" s="45">
        <f>IFERROR(__xludf.DUMMYFUNCTION("""COMPUTED_VALUE"""),247.0)</f>
        <v>247</v>
      </c>
      <c r="V100" s="45">
        <f>IFERROR(__xludf.DUMMYFUNCTION("""COMPUTED_VALUE"""),315.0)</f>
        <v>315</v>
      </c>
      <c r="W100" s="48" t="str">
        <f>IFERROR(__xludf.DUMMYFUNCTION("""COMPUTED_VALUE"""),"Regional Barranquilla")</f>
        <v>Regional Barranquilla</v>
      </c>
      <c r="X100" s="49" t="str">
        <f>IFERROR(__xludf.DUMMYFUNCTION("""COMPUTED_VALUE"""),"Jorge Roa")</f>
        <v>Jorge Roa</v>
      </c>
      <c r="Y100" s="39" t="str">
        <f>IFERROR(__xludf.DUMMYFUNCTION("""COMPUTED_VALUE"""),"Director Regional")</f>
        <v>Director Regional</v>
      </c>
      <c r="Z100" s="49" t="str">
        <f>IFERROR(__xludf.DUMMYFUNCTION("""COMPUTED_VALUE"""),"jorge.roa@aunap.gov.co")</f>
        <v>jorge.roa@aunap.gov.co</v>
      </c>
      <c r="AA100" s="39" t="str">
        <f>IFERROR(__xludf.DUMMYFUNCTION("""COMPUTED_VALUE"""),"Humanos, Físicos, Financieros, Tecnológicos")</f>
        <v>Humanos, Físicos, Financieros, Tecnológicos</v>
      </c>
      <c r="AB100" s="39" t="str">
        <f>IFERROR(__xludf.DUMMYFUNCTION("""COMPUTED_VALUE"""),"No asociado")</f>
        <v>No asociado</v>
      </c>
      <c r="AC100" s="39" t="str">
        <f>IFERROR(__xludf.DUMMYFUNCTION("""COMPUTED_VALUE"""),"Propiciar la formalización de la pesca y la acuicultura")</f>
        <v>Propiciar la formalización de la pesca y la acuicultura</v>
      </c>
      <c r="AD100" s="39" t="str">
        <f>IFERROR(__xludf.DUMMYFUNCTION("""COMPUTED_VALUE"""),"Gestión con valores para resultados")</f>
        <v>Gestión con valores para resultados</v>
      </c>
      <c r="AE100" s="39" t="str">
        <f>IFERROR(__xludf.DUMMYFUNCTION("""COMPUTED_VALUE"""),"Fortalecimiento Organizacional y Simplificación de Procesos")</f>
        <v>Fortalecimiento Organizacional y Simplificación de Procesos</v>
      </c>
      <c r="AF100" s="39" t="str">
        <f>IFERROR(__xludf.DUMMYFUNCTION("""COMPUTED_VALUE"""),"12. Producción y consumo responsable")</f>
        <v>12. Producción y consumo responsable</v>
      </c>
      <c r="AG100" s="76">
        <f>IFERROR(__xludf.DUMMYFUNCTION("""COMPUTED_VALUE"""),131.0)</f>
        <v>131</v>
      </c>
      <c r="AH100" s="51" t="str">
        <f>IFERROR(__xludf.DUMMYFUNCTION("""COMPUTED_VALUE"""),"Se realizaron 131 tramites para permisos entre conceptos tecnicos e inspecciones oculares que dieron como resultados resoluciones y carnet de pequeño comerciantes ")</f>
        <v>Se realizaron 131 tramites para permisos entre conceptos tecnicos e inspecciones oculares que dieron como resultados resoluciones y carnet de pequeño comerciantes </v>
      </c>
      <c r="AI100" s="72" t="str">
        <f>IFERROR(__xludf.DUMMYFUNCTION("""COMPUTED_VALUE"""),"https://drive.google.com/drive/folders/1NLOdQGu5O30TyesGLK8OYYO37715_9Z8?usp=sharing")</f>
        <v>https://drive.google.com/drive/folders/1NLOdQGu5O30TyesGLK8OYYO37715_9Z8?usp=sharing</v>
      </c>
      <c r="AJ100" s="52">
        <f>IFERROR(__xludf.DUMMYFUNCTION("""COMPUTED_VALUE"""),44298.0)</f>
        <v>44298</v>
      </c>
      <c r="AK100" s="53" t="str">
        <f>IFERROR(IF((AL100+1)&lt;2,Alertas!$B$2&amp;TEXT(AL100,"0%")&amp;Alertas!$D$2, IF((AL100+1)=2,Alertas!$B$3,IF((AL100+1)&gt;2,Alertas!$B$4&amp;TEXT(AL100,"0%")&amp;Alertas!$D$4,AL100+1))),"Sin meta para el cuarto trimestre")</f>
        <v>La ejecución de la meta registrada se encuentra por debajo de la meta programada en la formulación del plan de acción para el cuarto trimestre, su porcentaje de cumplimiento es 42%, lo cual indica un incumplimiento que puede ser entendido por los entes de control como falencias en el proceso de planeación. se recomienda tomar este antecedente como insumo para disminuir la meta en la próxima vigencia</v>
      </c>
      <c r="AL100" s="54">
        <f t="shared" si="2"/>
        <v>0.4158730159</v>
      </c>
      <c r="AM100" s="53" t="str">
        <f t="shared" si="3"/>
        <v>La ejecución de la meta registrada se encuentra por debajo de la meta programada en la formulación del plan de acción para el cuarto trimestre, su porcentaje de cumplimiento es 42%, lo cual indica un incumplimiento que puede ser entendido por los entes de control como falencias en el proceso de planeación. se recomienda tomar este antecedente como insumo para disminuir la meta en la próxima vigencia.</v>
      </c>
      <c r="AN100" s="55"/>
      <c r="AO100" s="56"/>
      <c r="AP100" s="57"/>
      <c r="AQ100" s="57"/>
      <c r="AR100" s="58"/>
      <c r="AS100" s="59"/>
      <c r="AT100" s="60"/>
      <c r="AU100" s="55"/>
      <c r="AV100" s="56"/>
      <c r="AW100" s="61"/>
      <c r="AX100" s="57"/>
      <c r="AY100" s="62"/>
      <c r="AZ100" s="63"/>
      <c r="BA100" s="64"/>
      <c r="BB100" s="65"/>
      <c r="BC100" s="56"/>
      <c r="BD100" s="61"/>
      <c r="BE100" s="57"/>
      <c r="BF100" s="58"/>
      <c r="BG100" s="63"/>
      <c r="BH100" s="64"/>
      <c r="BI100" s="66"/>
      <c r="BK100" s="21" t="str">
        <f t="shared" si="23"/>
        <v>-1</v>
      </c>
      <c r="BM100" s="21"/>
    </row>
    <row r="101" ht="33.75" customHeight="1">
      <c r="A101" s="37"/>
      <c r="B101" s="38">
        <f>IFERROR(__xludf.DUMMYFUNCTION("""COMPUTED_VALUE"""),99.0)</f>
        <v>99</v>
      </c>
      <c r="C101" s="39" t="str">
        <f>IFERROR(__xludf.DUMMYFUNCTION("""COMPUTED_VALUE"""),"Gestión de la administración y fomento")</f>
        <v>Gestión de la administración y fomento</v>
      </c>
      <c r="D101" s="40" t="str">
        <f>IFERROR(__xludf.DUMMYFUNCTION("""COMPUTED_VALUE"""),"Regional Barranquilla")</f>
        <v>Regional Barranquilla</v>
      </c>
      <c r="E101" s="40" t="str">
        <f>IFERROR(__xludf.DUMMYFUNCTION("""COMPUTED_VALUE"""),"Fortalecimiento de la sostenibilidad del sector pesquero y de la acuicultura en el territorio nacional")</f>
        <v>Fortalecimiento de la sostenibilidad del sector pesquero y de la acuicultura en el territorio nacional</v>
      </c>
      <c r="F101" s="40">
        <f>IFERROR(__xludf.DUMMYFUNCTION("""COMPUTED_VALUE"""),2.01901100028E12)</f>
        <v>2019011000280</v>
      </c>
      <c r="G101" s="41" t="str">
        <f>IFERROR(__xludf.DUMMYFUNCTION("""COMPUTED_VALUE"""),"Sostenibilidad")</f>
        <v>Sostenibilidad</v>
      </c>
      <c r="H101" s="40" t="str">
        <f>IFERROR(__xludf.DUMMYFUNCTION("""COMPUTED_VALUE"""),"Mejorar la explotación de los recursos pesqueros y de la acuicultura.")</f>
        <v>Mejorar la explotación de los recursos pesqueros y de la acuicultura.</v>
      </c>
      <c r="I101" s="40" t="str">
        <f>IFERROR(__xludf.DUMMYFUNCTION("""COMPUTED_VALUE"""),"2-Servicios de apoyo a las estaciones de acuicultura")</f>
        <v>2-Servicios de apoyo a las estaciones de acuicultura</v>
      </c>
      <c r="J101" s="40" t="str">
        <f>IFERROR(__xludf.DUMMYFUNCTION("""COMPUTED_VALUE"""),"Producir alevinos para el sector productivo y/o con fines de repoblamiento.")</f>
        <v>Producir alevinos para el sector productivo y/o con fines de repoblamiento.</v>
      </c>
      <c r="K101" s="42" t="str">
        <f>IFERROR(__xludf.DUMMYFUNCTION("""COMPUTED_VALUE"""),"Producto")</f>
        <v>Producto</v>
      </c>
      <c r="L101" s="42" t="str">
        <f>IFERROR(__xludf.DUMMYFUNCTION("""COMPUTED_VALUE"""),"Eficacia")</f>
        <v>Eficacia</v>
      </c>
      <c r="M101" s="42" t="str">
        <f>IFERROR(__xludf.DUMMYFUNCTION("""COMPUTED_VALUE"""),"Número")</f>
        <v>Número</v>
      </c>
      <c r="N101" s="43" t="str">
        <f>IFERROR(__xludf.DUMMYFUNCTION("""COMPUTED_VALUE"""),"Alevinos producidos")</f>
        <v>Alevinos producidos</v>
      </c>
      <c r="O101" s="44"/>
      <c r="P101" s="45">
        <f>IFERROR(__xludf.DUMMYFUNCTION("""COMPUTED_VALUE"""),1.2E7)</f>
        <v>12000000</v>
      </c>
      <c r="Q101" s="46" t="str">
        <f>IFERROR(__xludf.DUMMYFUNCTION("""COMPUTED_VALUE"""),"Producir alevinos en las estaciones Piscicolas a nivel nacional  en las estaciones y centros de la AUNAP con fines de repoblamiento y fomento de la actividad pesquera y acuicola")</f>
        <v>Producir alevinos en las estaciones Piscicolas a nivel nacional  en las estaciones y centros de la AUNAP con fines de repoblamiento y fomento de la actividad pesquera y acuicola</v>
      </c>
      <c r="R101" s="47" t="str">
        <f>IFERROR(__xludf.DUMMYFUNCTION("""COMPUTED_VALUE"""),"Trimestral")</f>
        <v>Trimestral</v>
      </c>
      <c r="S101" s="45">
        <f>IFERROR(__xludf.DUMMYFUNCTION("""COMPUTED_VALUE"""),100000.0)</f>
        <v>100000</v>
      </c>
      <c r="T101" s="45">
        <f>IFERROR(__xludf.DUMMYFUNCTION("""COMPUTED_VALUE"""),3200000.0)</f>
        <v>3200000</v>
      </c>
      <c r="U101" s="45">
        <f>IFERROR(__xludf.DUMMYFUNCTION("""COMPUTED_VALUE"""),4300000.0)</f>
        <v>4300000</v>
      </c>
      <c r="V101" s="45">
        <f>IFERROR(__xludf.DUMMYFUNCTION("""COMPUTED_VALUE"""),4400000.0)</f>
        <v>4400000</v>
      </c>
      <c r="W101" s="48" t="str">
        <f>IFERROR(__xludf.DUMMYFUNCTION("""COMPUTED_VALUE"""),"Regional Barranquilla")</f>
        <v>Regional Barranquilla</v>
      </c>
      <c r="X101" s="49" t="str">
        <f>IFERROR(__xludf.DUMMYFUNCTION("""COMPUTED_VALUE"""),"Jorge Roa")</f>
        <v>Jorge Roa</v>
      </c>
      <c r="Y101" s="39" t="str">
        <f>IFERROR(__xludf.DUMMYFUNCTION("""COMPUTED_VALUE"""),"Director Regional")</f>
        <v>Director Regional</v>
      </c>
      <c r="Z101" s="49" t="str">
        <f>IFERROR(__xludf.DUMMYFUNCTION("""COMPUTED_VALUE"""),"jorge.roa@aunap.gov.co")</f>
        <v>jorge.roa@aunap.gov.co</v>
      </c>
      <c r="AA101" s="39" t="str">
        <f>IFERROR(__xludf.DUMMYFUNCTION("""COMPUTED_VALUE"""),"Humanos, Físicos, Financieros, Tecnológicos")</f>
        <v>Humanos, Físicos, Financieros, Tecnológicos</v>
      </c>
      <c r="AB101" s="39" t="str">
        <f>IFERROR(__xludf.DUMMYFUNCTION("""COMPUTED_VALUE"""),"No asociado")</f>
        <v>No asociado</v>
      </c>
      <c r="AC101" s="39" t="str">
        <f>IFERROR(__xludf.DUMMYFUNCTION("""COMPUTED_VALUE"""),"Llegar con actividades de pesca y acuicultura a todas las regiones")</f>
        <v>Llegar con actividades de pesca y acuicultura a todas las regiones</v>
      </c>
      <c r="AD101" s="39" t="str">
        <f>IFERROR(__xludf.DUMMYFUNCTION("""COMPUTED_VALUE"""),"Gestión con valores para resultados")</f>
        <v>Gestión con valores para resultados</v>
      </c>
      <c r="AE101" s="39" t="str">
        <f>IFERROR(__xludf.DUMMYFUNCTION("""COMPUTED_VALUE"""),"Fortalecimiento Organizacional y Simplificación de Procesos")</f>
        <v>Fortalecimiento Organizacional y Simplificación de Procesos</v>
      </c>
      <c r="AF101" s="39" t="str">
        <f>IFERROR(__xludf.DUMMYFUNCTION("""COMPUTED_VALUE"""),"12. Producción y consumo responsable")</f>
        <v>12. Producción y consumo responsable</v>
      </c>
      <c r="AG101" s="76">
        <f>IFERROR(__xludf.DUMMYFUNCTION("""COMPUTED_VALUE"""),106000.0)</f>
        <v>106000</v>
      </c>
      <c r="AH101" s="51" t="str">
        <f>IFERROR(__xludf.DUMMYFUNCTION("""COMPUTED_VALUE"""),"Se logro la produccion de 106.000 individuos de diferentes especies ")</f>
        <v>Se logro la produccion de 106.000 individuos de diferentes especies </v>
      </c>
      <c r="AI101" s="72" t="str">
        <f>IFERROR(__xludf.DUMMYFUNCTION("""COMPUTED_VALUE"""),"https://drive.google.com/drive/folders/10Z-f6zaOdZ800I7n5tX4ipyhbMNhDvvQ?usp=sharing")</f>
        <v>https://drive.google.com/drive/folders/10Z-f6zaOdZ800I7n5tX4ipyhbMNhDvvQ?usp=sharing</v>
      </c>
      <c r="AJ101" s="52">
        <f>IFERROR(__xludf.DUMMYFUNCTION("""COMPUTED_VALUE"""),44298.0)</f>
        <v>44298</v>
      </c>
      <c r="AK101" s="53" t="str">
        <f>IFERROR(IF((AL101+1)&lt;2,Alertas!$B$2&amp;TEXT(AL101,"0%")&amp;Alertas!$D$2, IF((AL101+1)=2,Alertas!$B$3,IF((AL101+1)&gt;2,Alertas!$B$4&amp;TEXT(AL101,"0%")&amp;Alertas!$D$4,AL101+1))),"Sin meta para el cuarto trimestre")</f>
        <v>La ejecución de la meta registrada se encuentra por debajo de la meta programada en la formulación del plan de acción para el cuarto trimestre, su porcentaje de cumplimiento es 2%, lo cual indica un incumplimiento que puede ser entendido por los entes de control como falencias en el proceso de planeación. se recomienda tomar este antecedente como insumo para disminuir la meta en la próxima vigencia</v>
      </c>
      <c r="AL101" s="54">
        <f t="shared" si="2"/>
        <v>0.02409090909</v>
      </c>
      <c r="AM101" s="53" t="str">
        <f t="shared" si="3"/>
        <v>La ejecución de la meta registrada se encuentra por debajo de la meta programada en la formulación del plan de acción para el cuarto trimestre, su porcentaje de cumplimiento es 2%, lo cual indica un incumplimiento que puede ser entendido por los entes de control como falencias en el proceso de planeación. se recomienda tomar este antecedente como insumo para disminuir la meta en la próxima vigencia.</v>
      </c>
      <c r="AN101" s="55"/>
      <c r="AO101" s="56"/>
      <c r="AP101" s="57"/>
      <c r="AQ101" s="57"/>
      <c r="AR101" s="58"/>
      <c r="AS101" s="59"/>
      <c r="AT101" s="60"/>
      <c r="AU101" s="55"/>
      <c r="AV101" s="56"/>
      <c r="AW101" s="61"/>
      <c r="AX101" s="57"/>
      <c r="AY101" s="62"/>
      <c r="AZ101" s="63"/>
      <c r="BA101" s="64"/>
      <c r="BB101" s="65"/>
      <c r="BC101" s="56"/>
      <c r="BD101" s="61"/>
      <c r="BE101" s="57"/>
      <c r="BF101" s="58"/>
      <c r="BG101" s="63"/>
      <c r="BH101" s="64"/>
      <c r="BI101" s="66"/>
      <c r="BK101" s="21" t="str">
        <f t="shared" si="23"/>
        <v>-1</v>
      </c>
      <c r="BM101" s="21"/>
    </row>
    <row r="102" ht="33.75" customHeight="1">
      <c r="A102" s="37"/>
      <c r="B102" s="38">
        <f>IFERROR(__xludf.DUMMYFUNCTION("""COMPUTED_VALUE"""),100.0)</f>
        <v>100</v>
      </c>
      <c r="C102" s="39" t="str">
        <f>IFERROR(__xludf.DUMMYFUNCTION("""COMPUTED_VALUE"""),"Gestión de la administración y fomento")</f>
        <v>Gestión de la administración y fomento</v>
      </c>
      <c r="D102" s="40" t="str">
        <f>IFERROR(__xludf.DUMMYFUNCTION("""COMPUTED_VALUE"""),"Regional Barranquilla")</f>
        <v>Regional Barranquilla</v>
      </c>
      <c r="E102" s="40" t="str">
        <f>IFERROR(__xludf.DUMMYFUNCTION("""COMPUTED_VALUE"""),"Fortalecimiento de la sostenibilidad del sector pesquero y de la acuicultura en el territorio nacional")</f>
        <v>Fortalecimiento de la sostenibilidad del sector pesquero y de la acuicultura en el territorio nacional</v>
      </c>
      <c r="F102" s="40">
        <f>IFERROR(__xludf.DUMMYFUNCTION("""COMPUTED_VALUE"""),2.01901100028E12)</f>
        <v>2019011000280</v>
      </c>
      <c r="G102" s="41" t="str">
        <f>IFERROR(__xludf.DUMMYFUNCTION("""COMPUTED_VALUE"""),"Sostenibilidad")</f>
        <v>Sostenibilidad</v>
      </c>
      <c r="H102" s="40" t="str">
        <f>IFERROR(__xludf.DUMMYFUNCTION("""COMPUTED_VALUE"""),"Mejorar la explotación de los recursos pesqueros y de la acuicultura.")</f>
        <v>Mejorar la explotación de los recursos pesqueros y de la acuicultura.</v>
      </c>
      <c r="I102" s="40" t="str">
        <f>IFERROR(__xludf.DUMMYFUNCTION("""COMPUTED_VALUE"""),"Servicios de administración de los recurso pesqueros y de la acuicultura")</f>
        <v>Servicios de administración de los recurso pesqueros y de la acuicultura</v>
      </c>
      <c r="J102" s="40" t="str">
        <f>IFERROR(__xludf.DUMMYFUNCTION("""COMPUTED_VALUE"""),"Producir alevinos para el sector productivo y/o con fines de repoblamiento.")</f>
        <v>Producir alevinos para el sector productivo y/o con fines de repoblamiento.</v>
      </c>
      <c r="K102" s="42" t="str">
        <f>IFERROR(__xludf.DUMMYFUNCTION("""COMPUTED_VALUE"""),"Gestión")</f>
        <v>Gestión</v>
      </c>
      <c r="L102" s="42" t="str">
        <f>IFERROR(__xludf.DUMMYFUNCTION("""COMPUTED_VALUE"""),"Eficacia")</f>
        <v>Eficacia</v>
      </c>
      <c r="M102" s="42" t="str">
        <f>IFERROR(__xludf.DUMMYFUNCTION("""COMPUTED_VALUE"""),"Número")</f>
        <v>Número</v>
      </c>
      <c r="N102" s="43" t="str">
        <f>IFERROR(__xludf.DUMMYFUNCTION("""COMPUTED_VALUE"""),"Número de alevines rescatados y trasladados a areas de guarderias/Número de alevines programados para  rescate y traslado a areas de guarderia")</f>
        <v>Número de alevines rescatados y trasladados a areas de guarderias/Número de alevines programados para  rescate y traslado a areas de guarderia</v>
      </c>
      <c r="O102" s="44"/>
      <c r="P102" s="45">
        <f>IFERROR(__xludf.DUMMYFUNCTION("""COMPUTED_VALUE"""),5600000.0)</f>
        <v>5600000</v>
      </c>
      <c r="Q102" s="46" t="str">
        <f>IFERROR(__xludf.DUMMYFUNCTION("""COMPUTED_VALUE"""),"Rescate y traslado de alevines de las especies migratorias y nativas en temporada de subienda a areas cenagosas dentro de la DRBQ")</f>
        <v>Rescate y traslado de alevines de las especies migratorias y nativas en temporada de subienda a areas cenagosas dentro de la DRBQ</v>
      </c>
      <c r="R102" s="47" t="str">
        <f>IFERROR(__xludf.DUMMYFUNCTION("""COMPUTED_VALUE"""),"Trimestral")</f>
        <v>Trimestral</v>
      </c>
      <c r="S102" s="45">
        <f>IFERROR(__xludf.DUMMYFUNCTION("""COMPUTED_VALUE"""),3000000.0)</f>
        <v>3000000</v>
      </c>
      <c r="T102" s="45">
        <f>IFERROR(__xludf.DUMMYFUNCTION("""COMPUTED_VALUE"""),2000000.0)</f>
        <v>2000000</v>
      </c>
      <c r="U102" s="45">
        <f>IFERROR(__xludf.DUMMYFUNCTION("""COMPUTED_VALUE"""),600000.0)</f>
        <v>600000</v>
      </c>
      <c r="V102" s="45">
        <f>IFERROR(__xludf.DUMMYFUNCTION("""COMPUTED_VALUE"""),0.0)</f>
        <v>0</v>
      </c>
      <c r="W102" s="48" t="str">
        <f>IFERROR(__xludf.DUMMYFUNCTION("""COMPUTED_VALUE"""),"Regional Barranquilla")</f>
        <v>Regional Barranquilla</v>
      </c>
      <c r="X102" s="49" t="str">
        <f>IFERROR(__xludf.DUMMYFUNCTION("""COMPUTED_VALUE"""),"Jorge Roa")</f>
        <v>Jorge Roa</v>
      </c>
      <c r="Y102" s="39" t="str">
        <f>IFERROR(__xludf.DUMMYFUNCTION("""COMPUTED_VALUE"""),"Director Regional")</f>
        <v>Director Regional</v>
      </c>
      <c r="Z102" s="49" t="str">
        <f>IFERROR(__xludf.DUMMYFUNCTION("""COMPUTED_VALUE"""),"jorge.roa@aunap.gov.co")</f>
        <v>jorge.roa@aunap.gov.co</v>
      </c>
      <c r="AA102" s="39" t="str">
        <f>IFERROR(__xludf.DUMMYFUNCTION("""COMPUTED_VALUE"""),"Humanos, Físicos, Financieros, Tecnológicos")</f>
        <v>Humanos, Físicos, Financieros, Tecnológicos</v>
      </c>
      <c r="AB102" s="39" t="str">
        <f>IFERROR(__xludf.DUMMYFUNCTION("""COMPUTED_VALUE"""),"No asociado")</f>
        <v>No asociado</v>
      </c>
      <c r="AC102" s="39" t="str">
        <f>IFERROR(__xludf.DUMMYFUNCTION("""COMPUTED_VALUE"""),"Llegar con actividades de pesca y acuicultura a todas las regiones")</f>
        <v>Llegar con actividades de pesca y acuicultura a todas las regiones</v>
      </c>
      <c r="AD102" s="39" t="str">
        <f>IFERROR(__xludf.DUMMYFUNCTION("""COMPUTED_VALUE"""),"Gestión con valores para resultados")</f>
        <v>Gestión con valores para resultados</v>
      </c>
      <c r="AE102" s="39" t="str">
        <f>IFERROR(__xludf.DUMMYFUNCTION("""COMPUTED_VALUE"""),"Fortalecimiento Organizacional y Simplificación de Procesos")</f>
        <v>Fortalecimiento Organizacional y Simplificación de Procesos</v>
      </c>
      <c r="AF102" s="39" t="str">
        <f>IFERROR(__xludf.DUMMYFUNCTION("""COMPUTED_VALUE"""),"12. Producción y consumo responsable")</f>
        <v>12. Producción y consumo responsable</v>
      </c>
      <c r="AG102" s="76">
        <f>IFERROR(__xludf.DUMMYFUNCTION("""COMPUTED_VALUE"""),9884400.0)</f>
        <v>9884400</v>
      </c>
      <c r="AH102" s="51" t="str">
        <f>IFERROR(__xludf.DUMMYFUNCTION("""COMPUTED_VALUE"""),"Se logro realizar el salvamento y traslado de mas de nueve millones de especies de mugilidos lisa, lebranche, anchovas, asi como de bagre de mar, chivo, robalo y otras especies ")</f>
        <v>Se logro realizar el salvamento y traslado de mas de nueve millones de especies de mugilidos lisa, lebranche, anchovas, asi como de bagre de mar, chivo, robalo y otras especies </v>
      </c>
      <c r="AI102" s="72" t="str">
        <f>IFERROR(__xludf.DUMMYFUNCTION("""COMPUTED_VALUE"""),"https://drive.google.com/drive/folders/1WMLAuc7-Yx_tQoWfuzhAUhsikwNM4Esb?usp=sharing")</f>
        <v>https://drive.google.com/drive/folders/1WMLAuc7-Yx_tQoWfuzhAUhsikwNM4Esb?usp=sharing</v>
      </c>
      <c r="AJ102" s="52">
        <f>IFERROR(__xludf.DUMMYFUNCTION("""COMPUTED_VALUE"""),44298.0)</f>
        <v>44298</v>
      </c>
      <c r="AK102" s="53" t="str">
        <f>IFERROR(IF((AL102+1)&lt;2,Alertas!$B$2&amp;TEXT(AL102,"0%")&amp;Alertas!$D$2, IF((AL102+1)=2,Alertas!$B$3,IF((AL102+1)&gt;2,Alertas!$B$4&amp;TEXT(AL102,"0%")&amp;Alertas!$D$4,AL102+1))),"Sin meta para el cuarto trimestre")</f>
        <v>La ejecución de la meta registrada se encuentra por encima de la meta programada en la formulación del plan de acción para el cuarto trimestre, su porcentaje de cumplimiento es 988440100%, lo cual indica una sobre ejecución que puede ser entendido por los entes de control como falencias en el proceso de planeación. se recomienda tomar este antecedente como insumo para incrementar la meta en la próxima vigencia</v>
      </c>
      <c r="AL102" s="54">
        <f t="shared" si="2"/>
        <v>9884401</v>
      </c>
      <c r="AM102" s="53" t="str">
        <f t="shared" si="3"/>
        <v>La ejecución de la meta registrada se encuentra por encima de la meta programada en la formulación del plan de acción para el cuarto trimestre, su porcentaje de cumplimiento es 988440100%, lo cual indica una sobre ejecución que puede ser entendido por los entes de control como falencias en el proceso de planeación. se recomienda tomar este antecedente como insumo para incrementar la meta en la próxima vigencia.</v>
      </c>
      <c r="AN102" s="55"/>
      <c r="AO102" s="56"/>
      <c r="AP102" s="57"/>
      <c r="AQ102" s="57"/>
      <c r="AR102" s="58"/>
      <c r="AS102" s="59"/>
      <c r="AT102" s="60"/>
      <c r="AU102" s="55"/>
      <c r="AV102" s="56"/>
      <c r="AW102" s="61"/>
      <c r="AX102" s="57"/>
      <c r="AY102" s="62"/>
      <c r="AZ102" s="63"/>
      <c r="BA102" s="64"/>
      <c r="BB102" s="65"/>
      <c r="BC102" s="56"/>
      <c r="BD102" s="61"/>
      <c r="BE102" s="57"/>
      <c r="BF102" s="58"/>
      <c r="BG102" s="63"/>
      <c r="BH102" s="64"/>
      <c r="BI102" s="66"/>
      <c r="BK102" s="21" t="str">
        <f t="shared" si="23"/>
        <v>1</v>
      </c>
      <c r="BM102" s="21"/>
    </row>
    <row r="103" ht="33.75" customHeight="1">
      <c r="A103" s="37"/>
      <c r="B103" s="38">
        <f>IFERROR(__xludf.DUMMYFUNCTION("""COMPUTED_VALUE"""),101.0)</f>
        <v>101</v>
      </c>
      <c r="C103" s="39" t="str">
        <f>IFERROR(__xludf.DUMMYFUNCTION("""COMPUTED_VALUE"""),"Gestión de la administración y fomento")</f>
        <v>Gestión de la administración y fomento</v>
      </c>
      <c r="D103" s="40" t="str">
        <f>IFERROR(__xludf.DUMMYFUNCTION("""COMPUTED_VALUE"""),"Regional Barranquilla")</f>
        <v>Regional Barranquilla</v>
      </c>
      <c r="E103" s="40" t="str">
        <f>IFERROR(__xludf.DUMMYFUNCTION("""COMPUTED_VALUE"""),"Fortalecimiento de la sostenibilidad del sector pesquero y de la acuicultura en el territorio nacional")</f>
        <v>Fortalecimiento de la sostenibilidad del sector pesquero y de la acuicultura en el territorio nacional</v>
      </c>
      <c r="F103" s="40">
        <f>IFERROR(__xludf.DUMMYFUNCTION("""COMPUTED_VALUE"""),2.01901100028E12)</f>
        <v>2019011000280</v>
      </c>
      <c r="G103" s="41" t="str">
        <f>IFERROR(__xludf.DUMMYFUNCTION("""COMPUTED_VALUE"""),"Sostenibilidad")</f>
        <v>Sostenibilidad</v>
      </c>
      <c r="H103" s="40" t="str">
        <f>IFERROR(__xludf.DUMMYFUNCTION("""COMPUTED_VALUE"""),"Mejorar las prácticas de pesca y de acuicultura.")</f>
        <v>Mejorar las prácticas de pesca y de acuicultura.</v>
      </c>
      <c r="I103" s="40" t="str">
        <f>IFERROR(__xludf.DUMMYFUNCTION("""COMPUTED_VALUE"""),"3-Servicios de apoyo a las estaciones de acuicultura")</f>
        <v>3-Servicios de apoyo a las estaciones de acuicultura</v>
      </c>
      <c r="J103" s="40" t="str">
        <f>IFERROR(__xludf.DUMMYFUNCTION("""COMPUTED_VALUE"""),"Desarrollar acciones de extensión rural a través de las estaciones de acuicultura")</f>
        <v>Desarrollar acciones de extensión rural a través de las estaciones de acuicultura</v>
      </c>
      <c r="K103" s="42" t="str">
        <f>IFERROR(__xludf.DUMMYFUNCTION("""COMPUTED_VALUE"""),"Producto")</f>
        <v>Producto</v>
      </c>
      <c r="L103" s="42" t="str">
        <f>IFERROR(__xludf.DUMMYFUNCTION("""COMPUTED_VALUE"""),"Eficacia")</f>
        <v>Eficacia</v>
      </c>
      <c r="M103" s="42" t="str">
        <f>IFERROR(__xludf.DUMMYFUNCTION("""COMPUTED_VALUE"""),"Número")</f>
        <v>Número</v>
      </c>
      <c r="N103" s="43" t="str">
        <f>IFERROR(__xludf.DUMMYFUNCTION("""COMPUTED_VALUE"""),"Campañas divulgativas")</f>
        <v>Campañas divulgativas</v>
      </c>
      <c r="O103" s="44"/>
      <c r="P103" s="45">
        <f>IFERROR(__xludf.DUMMYFUNCTION("""COMPUTED_VALUE"""),6.0)</f>
        <v>6</v>
      </c>
      <c r="Q103" s="46" t="str">
        <f>IFERROR(__xludf.DUMMYFUNCTION("""COMPUTED_VALUE"""),"Apoyar en el desarrollo de campañas informativas y divulgadas de acciones de acuicultura a través de las estaciones ")</f>
        <v>Apoyar en el desarrollo de campañas informativas y divulgadas de acciones de acuicultura a través de las estaciones </v>
      </c>
      <c r="R103" s="47" t="str">
        <f>IFERROR(__xludf.DUMMYFUNCTION("""COMPUTED_VALUE"""),"Trimestral")</f>
        <v>Trimestral</v>
      </c>
      <c r="S103" s="45">
        <f>IFERROR(__xludf.DUMMYFUNCTION("""COMPUTED_VALUE"""),0.0)</f>
        <v>0</v>
      </c>
      <c r="T103" s="45">
        <f>IFERROR(__xludf.DUMMYFUNCTION("""COMPUTED_VALUE"""),2.0)</f>
        <v>2</v>
      </c>
      <c r="U103" s="45">
        <f>IFERROR(__xludf.DUMMYFUNCTION("""COMPUTED_VALUE"""),2.0)</f>
        <v>2</v>
      </c>
      <c r="V103" s="45">
        <f>IFERROR(__xludf.DUMMYFUNCTION("""COMPUTED_VALUE"""),2.0)</f>
        <v>2</v>
      </c>
      <c r="W103" s="48" t="str">
        <f>IFERROR(__xludf.DUMMYFUNCTION("""COMPUTED_VALUE"""),"Regional Barranquilla")</f>
        <v>Regional Barranquilla</v>
      </c>
      <c r="X103" s="49" t="str">
        <f>IFERROR(__xludf.DUMMYFUNCTION("""COMPUTED_VALUE"""),"Jorge Roa")</f>
        <v>Jorge Roa</v>
      </c>
      <c r="Y103" s="39" t="str">
        <f>IFERROR(__xludf.DUMMYFUNCTION("""COMPUTED_VALUE"""),"Director Regional")</f>
        <v>Director Regional</v>
      </c>
      <c r="Z103" s="49" t="str">
        <f>IFERROR(__xludf.DUMMYFUNCTION("""COMPUTED_VALUE"""),"jorge.roa@aunap.gov.co")</f>
        <v>jorge.roa@aunap.gov.co</v>
      </c>
      <c r="AA103" s="39" t="str">
        <f>IFERROR(__xludf.DUMMYFUNCTION("""COMPUTED_VALUE"""),"Humanos, Físicos, Financieros, Tecnológicos")</f>
        <v>Humanos, Físicos, Financieros, Tecnológicos</v>
      </c>
      <c r="AB103" s="39" t="str">
        <f>IFERROR(__xludf.DUMMYFUNCTION("""COMPUTED_VALUE"""),"No asociado")</f>
        <v>No asociado</v>
      </c>
      <c r="AC103" s="39" t="str">
        <f>IFERROR(__xludf.DUMMYFUNCTION("""COMPUTED_VALUE"""),"Llegar con actividades de pesca y acuicultura a todas las regiones")</f>
        <v>Llegar con actividades de pesca y acuicultura a todas las regiones</v>
      </c>
      <c r="AD103" s="39" t="str">
        <f>IFERROR(__xludf.DUMMYFUNCTION("""COMPUTED_VALUE"""),"Gestión con valores para resultados")</f>
        <v>Gestión con valores para resultados</v>
      </c>
      <c r="AE103" s="39" t="str">
        <f>IFERROR(__xludf.DUMMYFUNCTION("""COMPUTED_VALUE"""),"Fortalecimiento Organizacional y Simplificación de Procesos")</f>
        <v>Fortalecimiento Organizacional y Simplificación de Procesos</v>
      </c>
      <c r="AF103" s="39" t="str">
        <f>IFERROR(__xludf.DUMMYFUNCTION("""COMPUTED_VALUE"""),"12. Producción y consumo responsable")</f>
        <v>12. Producción y consumo responsable</v>
      </c>
      <c r="AG103" s="76">
        <f>IFERROR(__xludf.DUMMYFUNCTION("""COMPUTED_VALUE"""),0.0)</f>
        <v>0</v>
      </c>
      <c r="AH103" s="51"/>
      <c r="AI103" s="51"/>
      <c r="AJ103" s="52">
        <f>IFERROR(__xludf.DUMMYFUNCTION("""COMPUTED_VALUE"""),44298.0)</f>
        <v>44298</v>
      </c>
      <c r="AK103" s="53" t="str">
        <f>IFERROR(IF((AL103+1)&lt;2,Alertas!$B$2&amp;TEXT(AL103,"0%")&amp;Alertas!$D$2, IF((AL103+1)=2,Alertas!$B$3,IF((AL103+1)&gt;2,Alertas!$B$4&amp;TEXT(AL103,"0%")&amp;Alertas!$D$4,AL103+1))),"Sin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03" s="54">
        <f t="shared" si="2"/>
        <v>0</v>
      </c>
      <c r="AM103"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03" s="55"/>
      <c r="AO103" s="56"/>
      <c r="AP103" s="57"/>
      <c r="AQ103" s="57"/>
      <c r="AR103" s="58"/>
      <c r="AS103" s="59"/>
      <c r="AT103" s="60"/>
      <c r="AU103" s="55"/>
      <c r="AV103" s="56"/>
      <c r="AW103" s="61"/>
      <c r="AX103" s="57"/>
      <c r="AY103" s="62"/>
      <c r="AZ103" s="63"/>
      <c r="BA103" s="64"/>
      <c r="BB103" s="65"/>
      <c r="BC103" s="56"/>
      <c r="BD103" s="61"/>
      <c r="BE103" s="57"/>
      <c r="BF103" s="58"/>
      <c r="BG103" s="63"/>
      <c r="BH103" s="64"/>
      <c r="BI103" s="66"/>
      <c r="BK103" s="21" t="str">
        <f t="shared" si="23"/>
        <v>-1</v>
      </c>
      <c r="BM103" s="21"/>
    </row>
    <row r="104" ht="33.75" customHeight="1">
      <c r="A104" s="37"/>
      <c r="B104" s="38">
        <f>IFERROR(__xludf.DUMMYFUNCTION("""COMPUTED_VALUE"""),102.0)</f>
        <v>102</v>
      </c>
      <c r="C104" s="39" t="str">
        <f>IFERROR(__xludf.DUMMYFUNCTION("""COMPUTED_VALUE"""),"Gestión de la administración y fomento")</f>
        <v>Gestión de la administración y fomento</v>
      </c>
      <c r="D104" s="40" t="str">
        <f>IFERROR(__xludf.DUMMYFUNCTION("""COMPUTED_VALUE"""),"Regional Barranquilla")</f>
        <v>Regional Barranquilla</v>
      </c>
      <c r="E104" s="40" t="str">
        <f>IFERROR(__xludf.DUMMYFUNCTION("""COMPUTED_VALUE"""),"Fortalecimiento de la sostenibilidad del sector pesquero y de la acuicultura en el territorio nacional")</f>
        <v>Fortalecimiento de la sostenibilidad del sector pesquero y de la acuicultura en el territorio nacional</v>
      </c>
      <c r="F104" s="40">
        <f>IFERROR(__xludf.DUMMYFUNCTION("""COMPUTED_VALUE"""),2.01901100028E12)</f>
        <v>2019011000280</v>
      </c>
      <c r="G104" s="41" t="str">
        <f>IFERROR(__xludf.DUMMYFUNCTION("""COMPUTED_VALUE"""),"Sostenibilidad")</f>
        <v>Sostenibilidad</v>
      </c>
      <c r="H104" s="40" t="str">
        <f>IFERROR(__xludf.DUMMYFUNCTION("""COMPUTED_VALUE"""),"Mejorar las prácticas de pesca y de acuicultura.")</f>
        <v>Mejorar las prácticas de pesca y de acuicultura.</v>
      </c>
      <c r="I104" s="40" t="str">
        <f>IFERROR(__xludf.DUMMYFUNCTION("""COMPUTED_VALUE"""),"Servicios de administración de los recurso pesqueros y de la acuicultura")</f>
        <v>Servicios de administración de los recurso pesqueros y de la acuicultura</v>
      </c>
      <c r="J104" s="40" t="str">
        <f>IFERROR(__xludf.DUMMYFUNCTION("""COMPUTED_VALUE"""),"Realizar acciones de divulgación y formalización de la actividad pesquera y de la acuicultura.")</f>
        <v>Realizar acciones de divulgación y formalización de la actividad pesquera y de la acuicultura.</v>
      </c>
      <c r="K104" s="42" t="str">
        <f>IFERROR(__xludf.DUMMYFUNCTION("""COMPUTED_VALUE"""),"Gestión del área")</f>
        <v>Gestión del área</v>
      </c>
      <c r="L104" s="42" t="str">
        <f>IFERROR(__xludf.DUMMYFUNCTION("""COMPUTED_VALUE"""),"Eficacia")</f>
        <v>Eficacia</v>
      </c>
      <c r="M104" s="42" t="str">
        <f>IFERROR(__xludf.DUMMYFUNCTION("""COMPUTED_VALUE"""),"Número")</f>
        <v>Número</v>
      </c>
      <c r="N104" s="43" t="str">
        <f>IFERROR(__xludf.DUMMYFUNCTION("""COMPUTED_VALUE"""),"Asociaciones instruidas en  buenas practicas pesqueras y acuicolas para el ejercicio de la pesca y la acuicultura y asociatividad")</f>
        <v>Asociaciones instruidas en  buenas practicas pesqueras y acuicolas para el ejercicio de la pesca y la acuicultura y asociatividad</v>
      </c>
      <c r="O104" s="44"/>
      <c r="P104" s="45">
        <f>IFERROR(__xludf.DUMMYFUNCTION("""COMPUTED_VALUE"""),40.0)</f>
        <v>40</v>
      </c>
      <c r="Q104" s="46" t="str">
        <f>IFERROR(__xludf.DUMMYFUNCTION("""COMPUTED_VALUE"""),"Instruir a las comunidades en asociatividad, buenas practicas pesqueras y acuicolas para  el ejercicio de la pesca y la acuicultura")</f>
        <v>Instruir a las comunidades en asociatividad, buenas practicas pesqueras y acuicolas para  el ejercicio de la pesca y la acuicultura</v>
      </c>
      <c r="R104" s="47" t="str">
        <f>IFERROR(__xludf.DUMMYFUNCTION("""COMPUTED_VALUE"""),"Trimestral")</f>
        <v>Trimestral</v>
      </c>
      <c r="S104" s="45">
        <f>IFERROR(__xludf.DUMMYFUNCTION("""COMPUTED_VALUE"""),5.0)</f>
        <v>5</v>
      </c>
      <c r="T104" s="45">
        <f>IFERROR(__xludf.DUMMYFUNCTION("""COMPUTED_VALUE"""),15.0)</f>
        <v>15</v>
      </c>
      <c r="U104" s="45">
        <f>IFERROR(__xludf.DUMMYFUNCTION("""COMPUTED_VALUE"""),10.0)</f>
        <v>10</v>
      </c>
      <c r="V104" s="45">
        <f>IFERROR(__xludf.DUMMYFUNCTION("""COMPUTED_VALUE"""),10.0)</f>
        <v>10</v>
      </c>
      <c r="W104" s="48" t="str">
        <f>IFERROR(__xludf.DUMMYFUNCTION("""COMPUTED_VALUE"""),"Regional Barranquilla")</f>
        <v>Regional Barranquilla</v>
      </c>
      <c r="X104" s="49" t="str">
        <f>IFERROR(__xludf.DUMMYFUNCTION("""COMPUTED_VALUE"""),"Jorge Roa")</f>
        <v>Jorge Roa</v>
      </c>
      <c r="Y104" s="39" t="str">
        <f>IFERROR(__xludf.DUMMYFUNCTION("""COMPUTED_VALUE"""),"Director Regional")</f>
        <v>Director Regional</v>
      </c>
      <c r="Z104" s="49" t="str">
        <f>IFERROR(__xludf.DUMMYFUNCTION("""COMPUTED_VALUE"""),"jorge.roa@aunap.gov.co")</f>
        <v>jorge.roa@aunap.gov.co</v>
      </c>
      <c r="AA104" s="39" t="str">
        <f>IFERROR(__xludf.DUMMYFUNCTION("""COMPUTED_VALUE"""),"Humanos, Físicos, Financieros, Tecnológicos")</f>
        <v>Humanos, Físicos, Financieros, Tecnológicos</v>
      </c>
      <c r="AB104" s="39" t="str">
        <f>IFERROR(__xludf.DUMMYFUNCTION("""COMPUTED_VALUE"""),"No asociado")</f>
        <v>No asociado</v>
      </c>
      <c r="AC104" s="39" t="str">
        <f>IFERROR(__xludf.DUMMYFUNCTION("""COMPUTED_VALUE"""),"Llegar con actividades de pesca y acuicultura a todas las regiones")</f>
        <v>Llegar con actividades de pesca y acuicultura a todas las regiones</v>
      </c>
      <c r="AD104" s="39" t="str">
        <f>IFERROR(__xludf.DUMMYFUNCTION("""COMPUTED_VALUE"""),"Gestión con valores para resultados")</f>
        <v>Gestión con valores para resultados</v>
      </c>
      <c r="AE104" s="39" t="str">
        <f>IFERROR(__xludf.DUMMYFUNCTION("""COMPUTED_VALUE"""),"Fortalecimiento Organizacional y Simplificación de Procesos")</f>
        <v>Fortalecimiento Organizacional y Simplificación de Procesos</v>
      </c>
      <c r="AF104" s="39" t="str">
        <f>IFERROR(__xludf.DUMMYFUNCTION("""COMPUTED_VALUE"""),"12. Producción y consumo responsable")</f>
        <v>12. Producción y consumo responsable</v>
      </c>
      <c r="AG104" s="76">
        <f>IFERROR(__xludf.DUMMYFUNCTION("""COMPUTED_VALUE"""),7.0)</f>
        <v>7</v>
      </c>
      <c r="AH104" s="51" t="str">
        <f>IFERROR(__xludf.DUMMYFUNCTION("""COMPUTED_VALUE"""),"se relaizaron 7 capacitaciones en buenas practicas pesqueras ")</f>
        <v>se relaizaron 7 capacitaciones en buenas practicas pesqueras </v>
      </c>
      <c r="AI104" s="72" t="str">
        <f>IFERROR(__xludf.DUMMYFUNCTION("""COMPUTED_VALUE"""),"https://drive.google.com/drive/folders/1BSRlOVMwffdTwxg9XjChEpNigxipiGrV?usp=sharing")</f>
        <v>https://drive.google.com/drive/folders/1BSRlOVMwffdTwxg9XjChEpNigxipiGrV?usp=sharing</v>
      </c>
      <c r="AJ104" s="52">
        <f>IFERROR(__xludf.DUMMYFUNCTION("""COMPUTED_VALUE"""),44298.0)</f>
        <v>44298</v>
      </c>
      <c r="AK104" s="53" t="str">
        <f>IFERROR(IF((AL104+1)&lt;2,Alertas!$B$2&amp;TEXT(AL104,"0%")&amp;Alertas!$D$2, IF((AL104+1)=2,Alertas!$B$3,IF((AL104+1)&gt;2,Alertas!$B$4&amp;TEXT(AL104,"0%")&amp;Alertas!$D$4,AL104+1))),"Sin meta para el cuarto trimestre")</f>
        <v>La ejecución de la meta registrada se encuentra por debajo de la meta programada en la formulación del plan de acción para el cuarto trimestre, su porcentaje de cumplimiento es 70%, lo cual indica un incumplimiento que puede ser entendido por los entes de control como falencias en el proceso de planeación. se recomienda tomar este antecedente como insumo para disminuir la meta en la próxima vigencia</v>
      </c>
      <c r="AL104" s="54">
        <f t="shared" si="2"/>
        <v>0.7</v>
      </c>
      <c r="AM104" s="53" t="str">
        <f t="shared" si="3"/>
        <v>La ejecución de la meta registrada se encuentra por debajo de la meta programada en la formulación del plan de acción para el cuarto trimestre, su porcentaje de cumplimiento es 70%, lo cual indica un incumplimiento que puede ser entendido por los entes de control como falencias en el proceso de planeación. se recomienda tomar este antecedente como insumo para disminuir la meta en la próxima vigencia.</v>
      </c>
      <c r="AN104" s="55"/>
      <c r="AO104" s="56"/>
      <c r="AP104" s="57"/>
      <c r="AQ104" s="57"/>
      <c r="AR104" s="58"/>
      <c r="AS104" s="59"/>
      <c r="AT104" s="60"/>
      <c r="AU104" s="55"/>
      <c r="AV104" s="56"/>
      <c r="AW104" s="61"/>
      <c r="AX104" s="57"/>
      <c r="AY104" s="62"/>
      <c r="AZ104" s="63"/>
      <c r="BA104" s="64"/>
      <c r="BB104" s="65"/>
      <c r="BC104" s="56"/>
      <c r="BD104" s="61"/>
      <c r="BE104" s="57"/>
      <c r="BF104" s="58"/>
      <c r="BG104" s="63"/>
      <c r="BH104" s="64"/>
      <c r="BI104" s="66"/>
      <c r="BK104" s="21" t="str">
        <f t="shared" si="23"/>
        <v>-1</v>
      </c>
      <c r="BM104" s="21"/>
    </row>
    <row r="105" ht="33.75" customHeight="1">
      <c r="A105" s="37"/>
      <c r="B105" s="38">
        <f>IFERROR(__xludf.DUMMYFUNCTION("""COMPUTED_VALUE"""),103.0)</f>
        <v>103</v>
      </c>
      <c r="C105" s="39" t="str">
        <f>IFERROR(__xludf.DUMMYFUNCTION("""COMPUTED_VALUE"""),"Gestión de la administración y fomento")</f>
        <v>Gestión de la administración y fomento</v>
      </c>
      <c r="D105" s="40" t="str">
        <f>IFERROR(__xludf.DUMMYFUNCTION("""COMPUTED_VALUE"""),"Regional Barranquilla")</f>
        <v>Regional Barranquilla</v>
      </c>
      <c r="E105" s="40" t="str">
        <f>IFERROR(__xludf.DUMMYFUNCTION("""COMPUTED_VALUE"""),"Fortalecimiento de la sostenibilidad del sector pesquero y de la acuicultura en el territorio nacional")</f>
        <v>Fortalecimiento de la sostenibilidad del sector pesquero y de la acuicultura en el territorio nacional</v>
      </c>
      <c r="F105" s="40">
        <f>IFERROR(__xludf.DUMMYFUNCTION("""COMPUTED_VALUE"""),2.01901100028E12)</f>
        <v>2019011000280</v>
      </c>
      <c r="G105" s="41" t="str">
        <f>IFERROR(__xludf.DUMMYFUNCTION("""COMPUTED_VALUE"""),"Sostenibilidad")</f>
        <v>Sostenibilidad</v>
      </c>
      <c r="H105" s="40" t="str">
        <f>IFERROR(__xludf.DUMMYFUNCTION("""COMPUTED_VALUE"""),"Mejorar las prácticas de pesca y de acuicultura.")</f>
        <v>Mejorar las prácticas de pesca y de acuicultura.</v>
      </c>
      <c r="I105" s="40" t="str">
        <f>IFERROR(__xludf.DUMMYFUNCTION("""COMPUTED_VALUE"""),"Servicios de administración de los recurso pesqueros y de la acuicultura")</f>
        <v>Servicios de administración de los recurso pesqueros y de la acuicultura</v>
      </c>
      <c r="J105" s="40" t="str">
        <f>IFERROR(__xludf.DUMMYFUNCTION("""COMPUTED_VALUE"""),"Realizar acciones de divulgación y formalización de la actividad pesquera y de la acuicultura.")</f>
        <v>Realizar acciones de divulgación y formalización de la actividad pesquera y de la acuicultura.</v>
      </c>
      <c r="K105" s="42" t="str">
        <f>IFERROR(__xludf.DUMMYFUNCTION("""COMPUTED_VALUE"""),"Gestión del área")</f>
        <v>Gestión del área</v>
      </c>
      <c r="L105" s="42" t="str">
        <f>IFERROR(__xludf.DUMMYFUNCTION("""COMPUTED_VALUE"""),"Eficacia")</f>
        <v>Eficacia</v>
      </c>
      <c r="M105" s="42" t="str">
        <f>IFERROR(__xludf.DUMMYFUNCTION("""COMPUTED_VALUE"""),"Número")</f>
        <v>Número</v>
      </c>
      <c r="N105" s="43" t="str">
        <f>IFERROR(__xludf.DUMMYFUNCTION("""COMPUTED_VALUE"""),"Grupos de interes instruidos en  buenas practicas pesqueras y acuicolas para el ejercicio de la pesca y la acuicultura y asociatividad")</f>
        <v>Grupos de interes instruidos en  buenas practicas pesqueras y acuicolas para el ejercicio de la pesca y la acuicultura y asociatividad</v>
      </c>
      <c r="O105" s="44"/>
      <c r="P105" s="45">
        <f>IFERROR(__xludf.DUMMYFUNCTION("""COMPUTED_VALUE"""),20.0)</f>
        <v>20</v>
      </c>
      <c r="Q105" s="46" t="str">
        <f>IFERROR(__xludf.DUMMYFUNCTION("""COMPUTED_VALUE"""),"Instruir a grupos de interes en buenas practicas pesqueras y acuicolas para  el ejercicio de la pesca y la acuicultura")</f>
        <v>Instruir a grupos de interes en buenas practicas pesqueras y acuicolas para  el ejercicio de la pesca y la acuicultura</v>
      </c>
      <c r="R105" s="47" t="str">
        <f>IFERROR(__xludf.DUMMYFUNCTION("""COMPUTED_VALUE"""),"Trimestral")</f>
        <v>Trimestral</v>
      </c>
      <c r="S105" s="45">
        <f>IFERROR(__xludf.DUMMYFUNCTION("""COMPUTED_VALUE"""),0.0)</f>
        <v>0</v>
      </c>
      <c r="T105" s="45">
        <f>IFERROR(__xludf.DUMMYFUNCTION("""COMPUTED_VALUE"""),5.0)</f>
        <v>5</v>
      </c>
      <c r="U105" s="45">
        <f>IFERROR(__xludf.DUMMYFUNCTION("""COMPUTED_VALUE"""),10.0)</f>
        <v>10</v>
      </c>
      <c r="V105" s="45">
        <f>IFERROR(__xludf.DUMMYFUNCTION("""COMPUTED_VALUE"""),5.0)</f>
        <v>5</v>
      </c>
      <c r="W105" s="48" t="str">
        <f>IFERROR(__xludf.DUMMYFUNCTION("""COMPUTED_VALUE"""),"Regional Barranquilla")</f>
        <v>Regional Barranquilla</v>
      </c>
      <c r="X105" s="49" t="str">
        <f>IFERROR(__xludf.DUMMYFUNCTION("""COMPUTED_VALUE"""),"Jorge Roa")</f>
        <v>Jorge Roa</v>
      </c>
      <c r="Y105" s="39" t="str">
        <f>IFERROR(__xludf.DUMMYFUNCTION("""COMPUTED_VALUE"""),"Director Regional")</f>
        <v>Director Regional</v>
      </c>
      <c r="Z105" s="49" t="str">
        <f>IFERROR(__xludf.DUMMYFUNCTION("""COMPUTED_VALUE"""),"jorge.roa@aunap.gov.co")</f>
        <v>jorge.roa@aunap.gov.co</v>
      </c>
      <c r="AA105" s="39" t="str">
        <f>IFERROR(__xludf.DUMMYFUNCTION("""COMPUTED_VALUE"""),"Humanos, Físicos, Financieros, Tecnológicos")</f>
        <v>Humanos, Físicos, Financieros, Tecnológicos</v>
      </c>
      <c r="AB105" s="39" t="str">
        <f>IFERROR(__xludf.DUMMYFUNCTION("""COMPUTED_VALUE"""),"No asociado")</f>
        <v>No asociado</v>
      </c>
      <c r="AC105" s="39" t="str">
        <f>IFERROR(__xludf.DUMMYFUNCTION("""COMPUTED_VALUE"""),"Llegar con actividades de pesca y acuicultura a todas las regiones")</f>
        <v>Llegar con actividades de pesca y acuicultura a todas las regiones</v>
      </c>
      <c r="AD105" s="39" t="str">
        <f>IFERROR(__xludf.DUMMYFUNCTION("""COMPUTED_VALUE"""),"Gestión con valores para resultados")</f>
        <v>Gestión con valores para resultados</v>
      </c>
      <c r="AE105" s="39" t="str">
        <f>IFERROR(__xludf.DUMMYFUNCTION("""COMPUTED_VALUE"""),"Fortalecimiento Organizacional y Simplificación de Procesos")</f>
        <v>Fortalecimiento Organizacional y Simplificación de Procesos</v>
      </c>
      <c r="AF105" s="39" t="str">
        <f>IFERROR(__xludf.DUMMYFUNCTION("""COMPUTED_VALUE"""),"12. Producción y consumo responsable")</f>
        <v>12. Producción y consumo responsable</v>
      </c>
      <c r="AG105" s="76">
        <f>IFERROR(__xludf.DUMMYFUNCTION("""COMPUTED_VALUE"""),0.0)</f>
        <v>0</v>
      </c>
      <c r="AH105" s="51"/>
      <c r="AI105" s="51"/>
      <c r="AJ105" s="52">
        <f>IFERROR(__xludf.DUMMYFUNCTION("""COMPUTED_VALUE"""),44298.0)</f>
        <v>44298</v>
      </c>
      <c r="AK105" s="53" t="str">
        <f>IFERROR(IF((AL105+1)&lt;2,Alertas!$B$2&amp;TEXT(AL105,"0%")&amp;Alertas!$D$2, IF((AL105+1)=2,Alertas!$B$3,IF((AL105+1)&gt;2,Alertas!$B$4&amp;TEXT(AL105,"0%")&amp;Alertas!$D$4,AL105+1))),"Sin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05" s="54">
        <f t="shared" si="2"/>
        <v>0</v>
      </c>
      <c r="AM105"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05" s="55"/>
      <c r="AO105" s="56"/>
      <c r="AP105" s="57"/>
      <c r="AQ105" s="57"/>
      <c r="AR105" s="58"/>
      <c r="AS105" s="59"/>
      <c r="AT105" s="60"/>
      <c r="AU105" s="55"/>
      <c r="AV105" s="56"/>
      <c r="AW105" s="61"/>
      <c r="AX105" s="57"/>
      <c r="AY105" s="62"/>
      <c r="AZ105" s="63"/>
      <c r="BA105" s="64"/>
      <c r="BB105" s="65"/>
      <c r="BC105" s="56"/>
      <c r="BD105" s="61"/>
      <c r="BE105" s="57"/>
      <c r="BF105" s="58"/>
      <c r="BG105" s="63"/>
      <c r="BH105" s="64"/>
      <c r="BI105" s="66"/>
      <c r="BK105" s="21" t="str">
        <f t="shared" si="23"/>
        <v>-1</v>
      </c>
      <c r="BM105" s="21"/>
    </row>
    <row r="106" ht="33.75" customHeight="1">
      <c r="A106" s="37"/>
      <c r="B106" s="38">
        <f>IFERROR(__xludf.DUMMYFUNCTION("""COMPUTED_VALUE"""),104.0)</f>
        <v>104</v>
      </c>
      <c r="C106" s="39" t="str">
        <f>IFERROR(__xludf.DUMMYFUNCTION("""COMPUTED_VALUE"""),"Gestión de la administración y fomento")</f>
        <v>Gestión de la administración y fomento</v>
      </c>
      <c r="D106" s="40" t="str">
        <f>IFERROR(__xludf.DUMMYFUNCTION("""COMPUTED_VALUE"""),"Regional Barranquilla")</f>
        <v>Regional Barranquilla</v>
      </c>
      <c r="E106" s="40" t="str">
        <f>IFERROR(__xludf.DUMMYFUNCTION("""COMPUTED_VALUE"""),"Fortalecimiento de la sostenibilidad del sector pesquero y de la acuicultura en el territorio nacional")</f>
        <v>Fortalecimiento de la sostenibilidad del sector pesquero y de la acuicultura en el territorio nacional</v>
      </c>
      <c r="F106" s="40">
        <f>IFERROR(__xludf.DUMMYFUNCTION("""COMPUTED_VALUE"""),2.01901100028E12)</f>
        <v>2019011000280</v>
      </c>
      <c r="G106" s="41" t="str">
        <f>IFERROR(__xludf.DUMMYFUNCTION("""COMPUTED_VALUE"""),"Sostenibilidad")</f>
        <v>Sostenibilidad</v>
      </c>
      <c r="H106" s="40" t="str">
        <f>IFERROR(__xludf.DUMMYFUNCTION("""COMPUTED_VALUE"""),"Mejorar la explotación de los recursos pesqueros y de la acuicultura.")</f>
        <v>Mejorar la explotación de los recursos pesqueros y de la acuicultura.</v>
      </c>
      <c r="I106" s="40" t="str">
        <f>IFERROR(__xludf.DUMMYFUNCTION("""COMPUTED_VALUE"""),"Servicios de administración de los recurso pesqueros y de la acuicultura")</f>
        <v>Servicios de administración de los recurso pesqueros y de la acuicultura</v>
      </c>
      <c r="J106" s="40" t="str">
        <f>IFERROR(__xludf.DUMMYFUNCTION("""COMPUTED_VALUE"""),"Realizar acciones de divulgación y formalización de la actividad pesquera y de la acuicultura.")</f>
        <v>Realizar acciones de divulgación y formalización de la actividad pesquera y de la acuicultura.</v>
      </c>
      <c r="K106" s="42" t="str">
        <f>IFERROR(__xludf.DUMMYFUNCTION("""COMPUTED_VALUE"""),"Gestión del área")</f>
        <v>Gestión del área</v>
      </c>
      <c r="L106" s="42" t="str">
        <f>IFERROR(__xludf.DUMMYFUNCTION("""COMPUTED_VALUE"""),"Eficacia")</f>
        <v>Eficacia</v>
      </c>
      <c r="M106" s="42" t="str">
        <f>IFERROR(__xludf.DUMMYFUNCTION("""COMPUTED_VALUE"""),"Número")</f>
        <v>Número</v>
      </c>
      <c r="N106" s="43" t="str">
        <f>IFERROR(__xludf.DUMMYFUNCTION("""COMPUTED_VALUE"""),"Numero de censo realizados / No municipios visitados")</f>
        <v>Numero de censo realizados / No municipios visitados</v>
      </c>
      <c r="O106" s="44"/>
      <c r="P106" s="45">
        <f>IFERROR(__xludf.DUMMYFUNCTION("""COMPUTED_VALUE"""),30.0)</f>
        <v>30</v>
      </c>
      <c r="Q106" s="46" t="str">
        <f>IFERROR(__xludf.DUMMYFUNCTION("""COMPUTED_VALUE"""),"Realizar censo de embarcaciones y motonaves en algunas comunidades de pescadores de la DRBQ")</f>
        <v>Realizar censo de embarcaciones y motonaves en algunas comunidades de pescadores de la DRBQ</v>
      </c>
      <c r="R106" s="47" t="str">
        <f>IFERROR(__xludf.DUMMYFUNCTION("""COMPUTED_VALUE"""),"Anual")</f>
        <v>Anual</v>
      </c>
      <c r="S106" s="45">
        <f>IFERROR(__xludf.DUMMYFUNCTION("""COMPUTED_VALUE"""),0.0)</f>
        <v>0</v>
      </c>
      <c r="T106" s="45">
        <f>IFERROR(__xludf.DUMMYFUNCTION("""COMPUTED_VALUE"""),0.0)</f>
        <v>0</v>
      </c>
      <c r="U106" s="45">
        <f>IFERROR(__xludf.DUMMYFUNCTION("""COMPUTED_VALUE"""),0.0)</f>
        <v>0</v>
      </c>
      <c r="V106" s="45">
        <f>IFERROR(__xludf.DUMMYFUNCTION("""COMPUTED_VALUE"""),30.0)</f>
        <v>30</v>
      </c>
      <c r="W106" s="48" t="str">
        <f>IFERROR(__xludf.DUMMYFUNCTION("""COMPUTED_VALUE"""),"Regional Barranquilla")</f>
        <v>Regional Barranquilla</v>
      </c>
      <c r="X106" s="49" t="str">
        <f>IFERROR(__xludf.DUMMYFUNCTION("""COMPUTED_VALUE"""),"Jorge Roa")</f>
        <v>Jorge Roa</v>
      </c>
      <c r="Y106" s="39" t="str">
        <f>IFERROR(__xludf.DUMMYFUNCTION("""COMPUTED_VALUE"""),"Director Regional")</f>
        <v>Director Regional</v>
      </c>
      <c r="Z106" s="49" t="str">
        <f>IFERROR(__xludf.DUMMYFUNCTION("""COMPUTED_VALUE"""),"jorge.roa@aunap.gov.co")</f>
        <v>jorge.roa@aunap.gov.co</v>
      </c>
      <c r="AA106" s="39" t="str">
        <f>IFERROR(__xludf.DUMMYFUNCTION("""COMPUTED_VALUE"""),"Humanos, Físicos, Financieros, Tecnológicos")</f>
        <v>Humanos, Físicos, Financieros, Tecnológicos</v>
      </c>
      <c r="AB106" s="39" t="str">
        <f>IFERROR(__xludf.DUMMYFUNCTION("""COMPUTED_VALUE"""),"No asociado")</f>
        <v>No asociado</v>
      </c>
      <c r="AC106"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06" s="39" t="str">
        <f>IFERROR(__xludf.DUMMYFUNCTION("""COMPUTED_VALUE"""),"Gestión con valores para resultados")</f>
        <v>Gestión con valores para resultados</v>
      </c>
      <c r="AE106" s="39" t="str">
        <f>IFERROR(__xludf.DUMMYFUNCTION("""COMPUTED_VALUE"""),"Fortalecimiento Organizacional y Simplificación de Procesos")</f>
        <v>Fortalecimiento Organizacional y Simplificación de Procesos</v>
      </c>
      <c r="AF106" s="39" t="str">
        <f>IFERROR(__xludf.DUMMYFUNCTION("""COMPUTED_VALUE"""),"12. Producción y consumo responsable")</f>
        <v>12. Producción y consumo responsable</v>
      </c>
      <c r="AG106" s="76">
        <f>IFERROR(__xludf.DUMMYFUNCTION("""COMPUTED_VALUE"""),0.0)</f>
        <v>0</v>
      </c>
      <c r="AH106" s="51"/>
      <c r="AI106" s="51"/>
      <c r="AJ106" s="52">
        <f>IFERROR(__xludf.DUMMYFUNCTION("""COMPUTED_VALUE"""),44298.0)</f>
        <v>44298</v>
      </c>
      <c r="AK106" s="53" t="str">
        <f>IFERROR(IF((AL106+1)&lt;2,Alertas!$B$2&amp;TEXT(AL106,"0%")&amp;Alertas!$D$2, IF((AL106+1)=2,Alertas!$B$3,IF((AL106+1)&gt;2,Alertas!$B$4&amp;TEXT(AL106,"0%")&amp;Alertas!$D$4,AL106+1))),"Sin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06" s="54">
        <f t="shared" si="2"/>
        <v>0</v>
      </c>
      <c r="AM106"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06" s="55"/>
      <c r="AO106" s="56"/>
      <c r="AP106" s="57"/>
      <c r="AQ106" s="57"/>
      <c r="AR106" s="58"/>
      <c r="AS106" s="59"/>
      <c r="AT106" s="60"/>
      <c r="AU106" s="55"/>
      <c r="AV106" s="56"/>
      <c r="AW106" s="61"/>
      <c r="AX106" s="57"/>
      <c r="AY106" s="62"/>
      <c r="AZ106" s="63"/>
      <c r="BA106" s="64"/>
      <c r="BB106" s="65"/>
      <c r="BC106" s="56"/>
      <c r="BD106" s="61"/>
      <c r="BE106" s="57"/>
      <c r="BF106" s="58"/>
      <c r="BG106" s="63"/>
      <c r="BH106" s="64"/>
      <c r="BI106" s="66"/>
      <c r="BK106" s="21" t="str">
        <f t="shared" si="23"/>
        <v>-1</v>
      </c>
      <c r="BM106" s="21"/>
    </row>
    <row r="107" ht="33.75" customHeight="1">
      <c r="A107" s="37"/>
      <c r="B107" s="38">
        <f>IFERROR(__xludf.DUMMYFUNCTION("""COMPUTED_VALUE"""),105.0)</f>
        <v>105</v>
      </c>
      <c r="C107" s="39" t="str">
        <f>IFERROR(__xludf.DUMMYFUNCTION("""COMPUTED_VALUE"""),"Gestión de la administración y fomento")</f>
        <v>Gestión de la administración y fomento</v>
      </c>
      <c r="D107" s="40" t="str">
        <f>IFERROR(__xludf.DUMMYFUNCTION("""COMPUTED_VALUE"""),"Regional Barranquilla")</f>
        <v>Regional Barranquilla</v>
      </c>
      <c r="E107" s="40" t="str">
        <f>IFERROR(__xludf.DUMMYFUNCTION("""COMPUTED_VALUE"""),"Fortalecimiento de la sostenibilidad del sector pesquero y de la acuicultura en el territorio nacional")</f>
        <v>Fortalecimiento de la sostenibilidad del sector pesquero y de la acuicultura en el territorio nacional</v>
      </c>
      <c r="F107" s="40">
        <f>IFERROR(__xludf.DUMMYFUNCTION("""COMPUTED_VALUE"""),2.01901100028E12)</f>
        <v>2019011000280</v>
      </c>
      <c r="G107" s="41" t="str">
        <f>IFERROR(__xludf.DUMMYFUNCTION("""COMPUTED_VALUE"""),"Sostenibilidad")</f>
        <v>Sostenibilidad</v>
      </c>
      <c r="H107" s="40" t="str">
        <f>IFERROR(__xludf.DUMMYFUNCTION("""COMPUTED_VALUE"""),"Mejorar la explotación de los recursos pesqueros y de la acuicultura.")</f>
        <v>Mejorar la explotación de los recursos pesqueros y de la acuicultura.</v>
      </c>
      <c r="I107" s="40" t="str">
        <f>IFERROR(__xludf.DUMMYFUNCTION("""COMPUTED_VALUE"""),"Servicios de administración de los recurso pesqueros y de la acuicultura")</f>
        <v>Servicios de administración de los recurso pesqueros y de la acuicultura</v>
      </c>
      <c r="J107" s="40" t="str">
        <f>IFERROR(__xludf.DUMMYFUNCTION("""COMPUTED_VALUE"""),"Realizar acciones de divulgación y formalización de la actividad pesquera y de la acuicultura.")</f>
        <v>Realizar acciones de divulgación y formalización de la actividad pesquera y de la acuicultura.</v>
      </c>
      <c r="K107" s="42" t="str">
        <f>IFERROR(__xludf.DUMMYFUNCTION("""COMPUTED_VALUE"""),"Gestión")</f>
        <v>Gestión</v>
      </c>
      <c r="L107" s="42" t="str">
        <f>IFERROR(__xludf.DUMMYFUNCTION("""COMPUTED_VALUE"""),"Eficacia")</f>
        <v>Eficacia</v>
      </c>
      <c r="M107" s="42" t="str">
        <f>IFERROR(__xludf.DUMMYFUNCTION("""COMPUTED_VALUE"""),"Número")</f>
        <v>Número</v>
      </c>
      <c r="N107" s="43" t="str">
        <f>IFERROR(__xludf.DUMMYFUNCTION("""COMPUTED_VALUE"""),"Numero de censo realizados / No municipios visitados")</f>
        <v>Numero de censo realizados / No municipios visitados</v>
      </c>
      <c r="O107" s="44"/>
      <c r="P107" s="45">
        <f>IFERROR(__xludf.DUMMYFUNCTION("""COMPUTED_VALUE"""),15.0)</f>
        <v>15</v>
      </c>
      <c r="Q107" s="46" t="str">
        <f>IFERROR(__xludf.DUMMYFUNCTION("""COMPUTED_VALUE"""),"realizar censo de cultivos en algunos municipios de los departamentos de la region Caribe")</f>
        <v>realizar censo de cultivos en algunos municipios de los departamentos de la region Caribe</v>
      </c>
      <c r="R107" s="47" t="str">
        <f>IFERROR(__xludf.DUMMYFUNCTION("""COMPUTED_VALUE"""),"Anual")</f>
        <v>Anual</v>
      </c>
      <c r="S107" s="45">
        <f>IFERROR(__xludf.DUMMYFUNCTION("""COMPUTED_VALUE"""),0.0)</f>
        <v>0</v>
      </c>
      <c r="T107" s="45">
        <f>IFERROR(__xludf.DUMMYFUNCTION("""COMPUTED_VALUE"""),0.0)</f>
        <v>0</v>
      </c>
      <c r="U107" s="45">
        <f>IFERROR(__xludf.DUMMYFUNCTION("""COMPUTED_VALUE"""),0.0)</f>
        <v>0</v>
      </c>
      <c r="V107" s="45">
        <f>IFERROR(__xludf.DUMMYFUNCTION("""COMPUTED_VALUE"""),15.0)</f>
        <v>15</v>
      </c>
      <c r="W107" s="48" t="str">
        <f>IFERROR(__xludf.DUMMYFUNCTION("""COMPUTED_VALUE"""),"Regional Barranquilla")</f>
        <v>Regional Barranquilla</v>
      </c>
      <c r="X107" s="49" t="str">
        <f>IFERROR(__xludf.DUMMYFUNCTION("""COMPUTED_VALUE"""),"Jorge Roa")</f>
        <v>Jorge Roa</v>
      </c>
      <c r="Y107" s="39" t="str">
        <f>IFERROR(__xludf.DUMMYFUNCTION("""COMPUTED_VALUE"""),"Director Regional")</f>
        <v>Director Regional</v>
      </c>
      <c r="Z107" s="49" t="str">
        <f>IFERROR(__xludf.DUMMYFUNCTION("""COMPUTED_VALUE"""),"jorge.roa@aunap.gov.co")</f>
        <v>jorge.roa@aunap.gov.co</v>
      </c>
      <c r="AA107" s="39" t="str">
        <f>IFERROR(__xludf.DUMMYFUNCTION("""COMPUTED_VALUE"""),"Humanos, Físicos, Financieros, Tecnológicos")</f>
        <v>Humanos, Físicos, Financieros, Tecnológicos</v>
      </c>
      <c r="AB107" s="39" t="str">
        <f>IFERROR(__xludf.DUMMYFUNCTION("""COMPUTED_VALUE"""),"No asociado")</f>
        <v>No asociado</v>
      </c>
      <c r="AC107"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07" s="39" t="str">
        <f>IFERROR(__xludf.DUMMYFUNCTION("""COMPUTED_VALUE"""),"Gestión con valores para resultados")</f>
        <v>Gestión con valores para resultados</v>
      </c>
      <c r="AE107" s="39" t="str">
        <f>IFERROR(__xludf.DUMMYFUNCTION("""COMPUTED_VALUE"""),"Fortalecimiento Organizacional y Simplificación de Procesos")</f>
        <v>Fortalecimiento Organizacional y Simplificación de Procesos</v>
      </c>
      <c r="AF107" s="39" t="str">
        <f>IFERROR(__xludf.DUMMYFUNCTION("""COMPUTED_VALUE"""),"12. Producción y consumo responsable")</f>
        <v>12. Producción y consumo responsable</v>
      </c>
      <c r="AG107" s="76">
        <f>IFERROR(__xludf.DUMMYFUNCTION("""COMPUTED_VALUE"""),0.0)</f>
        <v>0</v>
      </c>
      <c r="AH107" s="51"/>
      <c r="AI107" s="51"/>
      <c r="AJ107" s="52">
        <f>IFERROR(__xludf.DUMMYFUNCTION("""COMPUTED_VALUE"""),44298.0)</f>
        <v>44298</v>
      </c>
      <c r="AK107" s="53" t="str">
        <f>IFERROR(IF((AL107+1)&lt;2,Alertas!$B$2&amp;TEXT(AL107,"0%")&amp;Alertas!$D$2, IF((AL107+1)=2,Alertas!$B$3,IF((AL107+1)&gt;2,Alertas!$B$4&amp;TEXT(AL107,"0%")&amp;Alertas!$D$4,AL107+1))),"Sin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07" s="54">
        <f t="shared" si="2"/>
        <v>0</v>
      </c>
      <c r="AM107"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07" s="55"/>
      <c r="AO107" s="56"/>
      <c r="AP107" s="57"/>
      <c r="AQ107" s="57"/>
      <c r="AR107" s="58"/>
      <c r="AS107" s="59"/>
      <c r="AT107" s="60"/>
      <c r="AU107" s="55"/>
      <c r="AV107" s="56"/>
      <c r="AW107" s="61"/>
      <c r="AX107" s="57"/>
      <c r="AY107" s="62"/>
      <c r="AZ107" s="63"/>
      <c r="BA107" s="64"/>
      <c r="BB107" s="65"/>
      <c r="BC107" s="56"/>
      <c r="BD107" s="61"/>
      <c r="BE107" s="57"/>
      <c r="BF107" s="58"/>
      <c r="BG107" s="63"/>
      <c r="BH107" s="64"/>
      <c r="BI107" s="66"/>
      <c r="BK107" s="21" t="str">
        <f t="shared" si="23"/>
        <v>-1</v>
      </c>
      <c r="BM107" s="21"/>
    </row>
    <row r="108" ht="33.75" customHeight="1">
      <c r="A108" s="37"/>
      <c r="B108" s="38">
        <f>IFERROR(__xludf.DUMMYFUNCTION("""COMPUTED_VALUE"""),106.0)</f>
        <v>106</v>
      </c>
      <c r="C108" s="39" t="str">
        <f>IFERROR(__xludf.DUMMYFUNCTION("""COMPUTED_VALUE"""),"Gestión de la administración y fomento")</f>
        <v>Gestión de la administración y fomento</v>
      </c>
      <c r="D108" s="40" t="str">
        <f>IFERROR(__xludf.DUMMYFUNCTION("""COMPUTED_VALUE"""),"Regional Barranquilla")</f>
        <v>Regional Barranquilla</v>
      </c>
      <c r="E108" s="40" t="str">
        <f>IFERROR(__xludf.DUMMYFUNCTION("""COMPUTED_VALUE"""),"Fortalecimiento de la sostenibilidad del sector pesquero y de la acuicultura en el territorio nacional")</f>
        <v>Fortalecimiento de la sostenibilidad del sector pesquero y de la acuicultura en el territorio nacional</v>
      </c>
      <c r="F108" s="40">
        <f>IFERROR(__xludf.DUMMYFUNCTION("""COMPUTED_VALUE"""),2.01901100028E12)</f>
        <v>2019011000280</v>
      </c>
      <c r="G108" s="41" t="str">
        <f>IFERROR(__xludf.DUMMYFUNCTION("""COMPUTED_VALUE"""),"Sostenibilidad")</f>
        <v>Sostenibilidad</v>
      </c>
      <c r="H108" s="40" t="str">
        <f>IFERROR(__xludf.DUMMYFUNCTION("""COMPUTED_VALUE"""),"Mejorar las prácticas de pesca y de acuicultura.")</f>
        <v>Mejorar las prácticas de pesca y de acuicultura.</v>
      </c>
      <c r="I108" s="40" t="str">
        <f>IFERROR(__xludf.DUMMYFUNCTION("""COMPUTED_VALUE"""),"Servicios de apoyo al fomento de la pesca y la acuicultura")</f>
        <v>Servicios de apoyo al fomento de la pesca y la acuicultura</v>
      </c>
      <c r="J108" s="40" t="str">
        <f>IFERROR(__xludf.DUMMYFUNCTION("""COMPUTED_VALUE"""),"Generar acciones de fomento para la pesca, la acuicultura y sus actividades conexas.")</f>
        <v>Generar acciones de fomento para la pesca, la acuicultura y sus actividades conexas.</v>
      </c>
      <c r="K108" s="42" t="str">
        <f>IFERROR(__xludf.DUMMYFUNCTION("""COMPUTED_VALUE"""),"Gestión del área")</f>
        <v>Gestión del área</v>
      </c>
      <c r="L108" s="42" t="str">
        <f>IFERROR(__xludf.DUMMYFUNCTION("""COMPUTED_VALUE"""),"Eficacia")</f>
        <v>Eficacia</v>
      </c>
      <c r="M108" s="42" t="str">
        <f>IFERROR(__xludf.DUMMYFUNCTION("""COMPUTED_VALUE"""),"Número")</f>
        <v>Número</v>
      </c>
      <c r="N108" s="43" t="str">
        <f>IFERROR(__xludf.DUMMYFUNCTION("""COMPUTED_VALUE"""),"Número de acuerdos pesqueros gestionados/Número de acuerdos pesqueros programados para ser gestionados")</f>
        <v>Número de acuerdos pesqueros gestionados/Número de acuerdos pesqueros programados para ser gestionados</v>
      </c>
      <c r="O108" s="44"/>
      <c r="P108" s="45">
        <f>IFERROR(__xludf.DUMMYFUNCTION("""COMPUTED_VALUE"""),3.0)</f>
        <v>3</v>
      </c>
      <c r="Q108" s="46" t="str">
        <f>IFERROR(__xludf.DUMMYFUNCTION("""COMPUTED_VALUE"""),"Impulsar la construccion y/o actuaizar e implementar los acuerdo pesqueros en algunos sistemas hidricos de")</f>
        <v>Impulsar la construccion y/o actuaizar e implementar los acuerdo pesqueros en algunos sistemas hidricos de</v>
      </c>
      <c r="R108" s="47" t="str">
        <f>IFERROR(__xludf.DUMMYFUNCTION("""COMPUTED_VALUE"""),"Anual")</f>
        <v>Anual</v>
      </c>
      <c r="S108" s="45">
        <f>IFERROR(__xludf.DUMMYFUNCTION("""COMPUTED_VALUE"""),0.0)</f>
        <v>0</v>
      </c>
      <c r="T108" s="45">
        <f>IFERROR(__xludf.DUMMYFUNCTION("""COMPUTED_VALUE"""),0.0)</f>
        <v>0</v>
      </c>
      <c r="U108" s="45">
        <f>IFERROR(__xludf.DUMMYFUNCTION("""COMPUTED_VALUE"""),0.0)</f>
        <v>0</v>
      </c>
      <c r="V108" s="45">
        <f>IFERROR(__xludf.DUMMYFUNCTION("""COMPUTED_VALUE"""),3.0)</f>
        <v>3</v>
      </c>
      <c r="W108" s="48" t="str">
        <f>IFERROR(__xludf.DUMMYFUNCTION("""COMPUTED_VALUE"""),"Regional Barranquilla")</f>
        <v>Regional Barranquilla</v>
      </c>
      <c r="X108" s="49" t="str">
        <f>IFERROR(__xludf.DUMMYFUNCTION("""COMPUTED_VALUE"""),"Jorge Roa")</f>
        <v>Jorge Roa</v>
      </c>
      <c r="Y108" s="39" t="str">
        <f>IFERROR(__xludf.DUMMYFUNCTION("""COMPUTED_VALUE"""),"Director Regional")</f>
        <v>Director Regional</v>
      </c>
      <c r="Z108" s="49" t="str">
        <f>IFERROR(__xludf.DUMMYFUNCTION("""COMPUTED_VALUE"""),"jorge.roa@aunap.gov.co")</f>
        <v>jorge.roa@aunap.gov.co</v>
      </c>
      <c r="AA108" s="39" t="str">
        <f>IFERROR(__xludf.DUMMYFUNCTION("""COMPUTED_VALUE"""),"Humanos, Físicos, Financieros, Tecnológicos")</f>
        <v>Humanos, Físicos, Financieros, Tecnológicos</v>
      </c>
      <c r="AB108" s="39" t="str">
        <f>IFERROR(__xludf.DUMMYFUNCTION("""COMPUTED_VALUE"""),"No asociado")</f>
        <v>No asociado</v>
      </c>
      <c r="AC108"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08" s="39" t="str">
        <f>IFERROR(__xludf.DUMMYFUNCTION("""COMPUTED_VALUE"""),"Gestión con valores para resultados")</f>
        <v>Gestión con valores para resultados</v>
      </c>
      <c r="AE108" s="39" t="str">
        <f>IFERROR(__xludf.DUMMYFUNCTION("""COMPUTED_VALUE"""),"Fortalecimiento Organizacional y Simplificación de Procesos")</f>
        <v>Fortalecimiento Organizacional y Simplificación de Procesos</v>
      </c>
      <c r="AF108" s="39" t="str">
        <f>IFERROR(__xludf.DUMMYFUNCTION("""COMPUTED_VALUE"""),"12. Producción y consumo responsable")</f>
        <v>12. Producción y consumo responsable</v>
      </c>
      <c r="AG108" s="76">
        <f>IFERROR(__xludf.DUMMYFUNCTION("""COMPUTED_VALUE"""),0.0)</f>
        <v>0</v>
      </c>
      <c r="AH108" s="51"/>
      <c r="AI108" s="51"/>
      <c r="AJ108" s="52">
        <f>IFERROR(__xludf.DUMMYFUNCTION("""COMPUTED_VALUE"""),44298.0)</f>
        <v>44298</v>
      </c>
      <c r="AK108" s="53" t="str">
        <f>IFERROR(IF((AL108+1)&lt;2,Alertas!$B$2&amp;TEXT(AL108,"0%")&amp;Alertas!$D$2, IF((AL108+1)=2,Alertas!$B$3,IF((AL108+1)&gt;2,Alertas!$B$4&amp;TEXT(AL108,"0%")&amp;Alertas!$D$4,AL108+1))),"Sin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08" s="54">
        <f t="shared" si="2"/>
        <v>0</v>
      </c>
      <c r="AM108"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08" s="55"/>
      <c r="AO108" s="56"/>
      <c r="AP108" s="57"/>
      <c r="AQ108" s="57"/>
      <c r="AR108" s="58"/>
      <c r="AS108" s="59"/>
      <c r="AT108" s="60"/>
      <c r="AU108" s="55"/>
      <c r="AV108" s="56"/>
      <c r="AW108" s="61"/>
      <c r="AX108" s="57"/>
      <c r="AY108" s="62"/>
      <c r="AZ108" s="63"/>
      <c r="BA108" s="64"/>
      <c r="BB108" s="65"/>
      <c r="BC108" s="56"/>
      <c r="BD108" s="61"/>
      <c r="BE108" s="57"/>
      <c r="BF108" s="58"/>
      <c r="BG108" s="63"/>
      <c r="BH108" s="64"/>
      <c r="BI108" s="66"/>
      <c r="BK108" s="21" t="str">
        <f t="shared" si="23"/>
        <v>-1</v>
      </c>
      <c r="BM108" s="21"/>
    </row>
    <row r="109" ht="33.75" customHeight="1">
      <c r="A109" s="37"/>
      <c r="B109" s="38">
        <f>IFERROR(__xludf.DUMMYFUNCTION("""COMPUTED_VALUE"""),107.0)</f>
        <v>107</v>
      </c>
      <c r="C109" s="39" t="str">
        <f>IFERROR(__xludf.DUMMYFUNCTION("""COMPUTED_VALUE"""),"Gestión de la administración y fomento")</f>
        <v>Gestión de la administración y fomento</v>
      </c>
      <c r="D109" s="40" t="str">
        <f>IFERROR(__xludf.DUMMYFUNCTION("""COMPUTED_VALUE"""),"Regional Barranquilla")</f>
        <v>Regional Barranquilla</v>
      </c>
      <c r="E109" s="40" t="str">
        <f>IFERROR(__xludf.DUMMYFUNCTION("""COMPUTED_VALUE"""),"Fortalecimiento de la sostenibilidad del sector pesquero y de la acuicultura en el territorio nacional")</f>
        <v>Fortalecimiento de la sostenibilidad del sector pesquero y de la acuicultura en el territorio nacional</v>
      </c>
      <c r="F109" s="40">
        <f>IFERROR(__xludf.DUMMYFUNCTION("""COMPUTED_VALUE"""),2.01901100028E12)</f>
        <v>2019011000280</v>
      </c>
      <c r="G109" s="41" t="str">
        <f>IFERROR(__xludf.DUMMYFUNCTION("""COMPUTED_VALUE"""),"Sostenibilidad")</f>
        <v>Sostenibilidad</v>
      </c>
      <c r="H109" s="40" t="str">
        <f>IFERROR(__xludf.DUMMYFUNCTION("""COMPUTED_VALUE"""),"Mejorar las prácticas de pesca y de acuicultura.")</f>
        <v>Mejorar las prácticas de pesca y de acuicultura.</v>
      </c>
      <c r="I109" s="40" t="str">
        <f>IFERROR(__xludf.DUMMYFUNCTION("""COMPUTED_VALUE"""),"Servicios de apoyo al fomento de la pesca y la acuicultura")</f>
        <v>Servicios de apoyo al fomento de la pesca y la acuicultura</v>
      </c>
      <c r="J109" s="40" t="str">
        <f>IFERROR(__xludf.DUMMYFUNCTION("""COMPUTED_VALUE"""),"Generar acciones de fomento para la pesca, la acuicultura y sus actividades conexas.")</f>
        <v>Generar acciones de fomento para la pesca, la acuicultura y sus actividades conexas.</v>
      </c>
      <c r="K109" s="42" t="str">
        <f>IFERROR(__xludf.DUMMYFUNCTION("""COMPUTED_VALUE"""),"Producto")</f>
        <v>Producto</v>
      </c>
      <c r="L109" s="42" t="str">
        <f>IFERROR(__xludf.DUMMYFUNCTION("""COMPUTED_VALUE"""),"Eficacia")</f>
        <v>Eficacia</v>
      </c>
      <c r="M109" s="42" t="str">
        <f>IFERROR(__xludf.DUMMYFUNCTION("""COMPUTED_VALUE"""),"Número")</f>
        <v>Número</v>
      </c>
      <c r="N109" s="43" t="str">
        <f>IFERROR(__xludf.DUMMYFUNCTION("""COMPUTED_VALUE"""),"Número de vallas informativas en relación a normatividad de pesca y acuicultura en puertos, muelles de desembarques marinas y áreas de pesca implementadas/Número de vallas programadas para informativar en relación a normatividad de pesca y acuicultura en "&amp;"puertos, muelles de desembarques marinas y áreas de pesca implementadas.")</f>
        <v>Número de vallas informativas en relación a normatividad de pesca y acuicultura en puertos, muelles de desembarques marinas y áreas de pesca implementadas/Número de vallas programadas para informativar en relación a normatividad de pesca y acuicultura en puertos, muelles de desembarques marinas y áreas de pesca implementadas.</v>
      </c>
      <c r="O109" s="44"/>
      <c r="P109" s="45">
        <f>IFERROR(__xludf.DUMMYFUNCTION("""COMPUTED_VALUE"""),1.0)</f>
        <v>1</v>
      </c>
      <c r="Q109" s="46" t="str">
        <f>IFERROR(__xludf.DUMMYFUNCTION("""COMPUTED_VALUE"""),"Implementar vayas informativas en relacion a normatividad de pesca y acuicultra en puertos, mulles de desembarques marinas y areas de pesca")</f>
        <v>Implementar vayas informativas en relacion a normatividad de pesca y acuicultra en puertos, mulles de desembarques marinas y areas de pesca</v>
      </c>
      <c r="R109" s="47" t="str">
        <f>IFERROR(__xludf.DUMMYFUNCTION("""COMPUTED_VALUE"""),"Trimestral")</f>
        <v>Trimestral</v>
      </c>
      <c r="S109" s="45">
        <f>IFERROR(__xludf.DUMMYFUNCTION("""COMPUTED_VALUE"""),1.0)</f>
        <v>1</v>
      </c>
      <c r="T109" s="45">
        <f>IFERROR(__xludf.DUMMYFUNCTION("""COMPUTED_VALUE"""),0.0)</f>
        <v>0</v>
      </c>
      <c r="U109" s="45">
        <f>IFERROR(__xludf.DUMMYFUNCTION("""COMPUTED_VALUE"""),0.0)</f>
        <v>0</v>
      </c>
      <c r="V109" s="45">
        <f>IFERROR(__xludf.DUMMYFUNCTION("""COMPUTED_VALUE"""),0.0)</f>
        <v>0</v>
      </c>
      <c r="W109" s="48" t="str">
        <f>IFERROR(__xludf.DUMMYFUNCTION("""COMPUTED_VALUE"""),"Regional Barranquilla")</f>
        <v>Regional Barranquilla</v>
      </c>
      <c r="X109" s="49" t="str">
        <f>IFERROR(__xludf.DUMMYFUNCTION("""COMPUTED_VALUE"""),"Jorge Roa")</f>
        <v>Jorge Roa</v>
      </c>
      <c r="Y109" s="39" t="str">
        <f>IFERROR(__xludf.DUMMYFUNCTION("""COMPUTED_VALUE"""),"Director Regional")</f>
        <v>Director Regional</v>
      </c>
      <c r="Z109" s="49" t="str">
        <f>IFERROR(__xludf.DUMMYFUNCTION("""COMPUTED_VALUE"""),"jorge.roa@aunap.gov.co")</f>
        <v>jorge.roa@aunap.gov.co</v>
      </c>
      <c r="AA109" s="39" t="str">
        <f>IFERROR(__xludf.DUMMYFUNCTION("""COMPUTED_VALUE"""),"Humanos, Físicos, Financieros, Tecnológicos")</f>
        <v>Humanos, Físicos, Financieros, Tecnológicos</v>
      </c>
      <c r="AB109" s="39" t="str">
        <f>IFERROR(__xludf.DUMMYFUNCTION("""COMPUTED_VALUE"""),"No asociado")</f>
        <v>No asociado</v>
      </c>
      <c r="AC109"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09" s="39" t="str">
        <f>IFERROR(__xludf.DUMMYFUNCTION("""COMPUTED_VALUE"""),"Gestión con valores para resultados")</f>
        <v>Gestión con valores para resultados</v>
      </c>
      <c r="AE109" s="39" t="str">
        <f>IFERROR(__xludf.DUMMYFUNCTION("""COMPUTED_VALUE"""),"Fortalecimiento Organizacional y Simplificación de Procesos")</f>
        <v>Fortalecimiento Organizacional y Simplificación de Procesos</v>
      </c>
      <c r="AF109" s="39" t="str">
        <f>IFERROR(__xludf.DUMMYFUNCTION("""COMPUTED_VALUE"""),"12. Producción y consumo responsable")</f>
        <v>12. Producción y consumo responsable</v>
      </c>
      <c r="AG109" s="76">
        <f>IFERROR(__xludf.DUMMYFUNCTION("""COMPUTED_VALUE"""),1.0)</f>
        <v>1</v>
      </c>
      <c r="AH109" s="51" t="str">
        <f>IFERROR(__xludf.DUMMYFUNCTION("""COMPUTED_VALUE"""),"Se realizo la implementacion de vallas informativa sobre normatividad de tallas ")</f>
        <v>Se realizo la implementacion de vallas informativa sobre normatividad de tallas </v>
      </c>
      <c r="AI109" s="72" t="str">
        <f>IFERROR(__xludf.DUMMYFUNCTION("""COMPUTED_VALUE"""),"https://drive.google.com/drive/folders/1JSqC2JKpfv7xDqTIIIt-gVXtCNuYR608?usp=sharing")</f>
        <v>https://drive.google.com/drive/folders/1JSqC2JKpfv7xDqTIIIt-gVXtCNuYR608?usp=sharing</v>
      </c>
      <c r="AJ109" s="52">
        <f>IFERROR(__xludf.DUMMYFUNCTION("""COMPUTED_VALUE"""),44298.0)</f>
        <v>44298</v>
      </c>
      <c r="AK109" s="53" t="str">
        <f>IFERROR(IF((AL109+1)&lt;2,Alertas!$B$2&amp;TEXT(AL109,"0%")&amp;Alertas!$D$2, IF((AL109+1)=2,Alertas!$B$3,IF((AL109+1)&gt;2,Alertas!$B$4&amp;TEXT(AL109,"0%")&amp;Alertas!$D$4,AL109+1))),"Sin meta para el cuarto trimestre")</f>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L109" s="54">
        <f t="shared" si="2"/>
        <v>2</v>
      </c>
      <c r="AM109" s="53" t="str">
        <f t="shared" si="3"/>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N109" s="55"/>
      <c r="AO109" s="56"/>
      <c r="AP109" s="57"/>
      <c r="AQ109" s="57"/>
      <c r="AR109" s="58"/>
      <c r="AS109" s="59"/>
      <c r="AT109" s="60"/>
      <c r="AU109" s="55"/>
      <c r="AV109" s="56"/>
      <c r="AW109" s="61"/>
      <c r="AX109" s="57"/>
      <c r="AY109" s="62"/>
      <c r="AZ109" s="63"/>
      <c r="BA109" s="64"/>
      <c r="BB109" s="65"/>
      <c r="BC109" s="56"/>
      <c r="BD109" s="61"/>
      <c r="BE109" s="57"/>
      <c r="BF109" s="58"/>
      <c r="BG109" s="63"/>
      <c r="BH109" s="64"/>
      <c r="BI109" s="66"/>
      <c r="BK109" s="21" t="str">
        <f t="shared" si="23"/>
        <v>1</v>
      </c>
      <c r="BM109" s="21"/>
    </row>
    <row r="110" ht="33.75" customHeight="1">
      <c r="A110" s="37"/>
      <c r="B110" s="38">
        <f>IFERROR(__xludf.DUMMYFUNCTION("""COMPUTED_VALUE"""),108.0)</f>
        <v>108</v>
      </c>
      <c r="C110" s="39" t="str">
        <f>IFERROR(__xludf.DUMMYFUNCTION("""COMPUTED_VALUE"""),"Gestión de la administración y fomento")</f>
        <v>Gestión de la administración y fomento</v>
      </c>
      <c r="D110" s="40" t="str">
        <f>IFERROR(__xludf.DUMMYFUNCTION("""COMPUTED_VALUE"""),"Regional Barranquilla")</f>
        <v>Regional Barranquilla</v>
      </c>
      <c r="E110" s="40" t="str">
        <f>IFERROR(__xludf.DUMMYFUNCTION("""COMPUTED_VALUE"""),"Fortalecimiento de la sostenibilidad del sector pesquero y de la acuicultura en el territorio nacional")</f>
        <v>Fortalecimiento de la sostenibilidad del sector pesquero y de la acuicultura en el territorio nacional</v>
      </c>
      <c r="F110" s="40">
        <f>IFERROR(__xludf.DUMMYFUNCTION("""COMPUTED_VALUE"""),2.01901100028E12)</f>
        <v>2019011000280</v>
      </c>
      <c r="G110" s="41" t="str">
        <f>IFERROR(__xludf.DUMMYFUNCTION("""COMPUTED_VALUE"""),"Sostenibilidad")</f>
        <v>Sostenibilidad</v>
      </c>
      <c r="H110" s="40" t="str">
        <f>IFERROR(__xludf.DUMMYFUNCTION("""COMPUTED_VALUE"""),"Mejorar la explotación de los recursos pesqueros y de la acuicultura.")</f>
        <v>Mejorar la explotación de los recursos pesqueros y de la acuicultura.</v>
      </c>
      <c r="I110" s="40" t="str">
        <f>IFERROR(__xludf.DUMMYFUNCTION("""COMPUTED_VALUE"""),"Servicios de administración de los recurso pesqueros y de la acuicultura")</f>
        <v>Servicios de administración de los recurso pesqueros y de la acuicultura</v>
      </c>
      <c r="J110" s="40" t="str">
        <f>IFERROR(__xludf.DUMMYFUNCTION("""COMPUTED_VALUE"""),"Realizar acciones de divulgación y formalización de la actividad pesquera y de la acuicultura.")</f>
        <v>Realizar acciones de divulgación y formalización de la actividad pesquera y de la acuicultura.</v>
      </c>
      <c r="K110" s="42" t="str">
        <f>IFERROR(__xludf.DUMMYFUNCTION("""COMPUTED_VALUE"""),"Gestión")</f>
        <v>Gestión</v>
      </c>
      <c r="L110" s="42" t="str">
        <f>IFERROR(__xludf.DUMMYFUNCTION("""COMPUTED_VALUE"""),"Eficacia")</f>
        <v>Eficacia</v>
      </c>
      <c r="M110" s="42" t="str">
        <f>IFERROR(__xludf.DUMMYFUNCTION("""COMPUTED_VALUE"""),"Número")</f>
        <v>Número</v>
      </c>
      <c r="N110" s="43" t="str">
        <f>IFERROR(__xludf.DUMMYFUNCTION("""COMPUTED_VALUE"""),"Registro de desembarcos")</f>
        <v>Registro de desembarcos</v>
      </c>
      <c r="O110" s="44"/>
      <c r="P110" s="45">
        <f>IFERROR(__xludf.DUMMYFUNCTION("""COMPUTED_VALUE"""),1.0)</f>
        <v>1</v>
      </c>
      <c r="Q110" s="46" t="str">
        <f>IFERROR(__xludf.DUMMYFUNCTION("""COMPUTED_VALUE"""),"Realizar el registro de desembarco de algunas de las asociaciones pesquera que estan dentro de la jurisdiccion de la Regional Barranquilla")</f>
        <v>Realizar el registro de desembarco de algunas de las asociaciones pesquera que estan dentro de la jurisdiccion de la Regional Barranquilla</v>
      </c>
      <c r="R110" s="47" t="str">
        <f>IFERROR(__xludf.DUMMYFUNCTION("""COMPUTED_VALUE"""),"Trimestral")</f>
        <v>Trimestral</v>
      </c>
      <c r="S110" s="45">
        <f>IFERROR(__xludf.DUMMYFUNCTION("""COMPUTED_VALUE"""),1.0)</f>
        <v>1</v>
      </c>
      <c r="T110" s="45">
        <f>IFERROR(__xludf.DUMMYFUNCTION("""COMPUTED_VALUE"""),1.0)</f>
        <v>1</v>
      </c>
      <c r="U110" s="45">
        <f>IFERROR(__xludf.DUMMYFUNCTION("""COMPUTED_VALUE"""),1.0)</f>
        <v>1</v>
      </c>
      <c r="V110" s="45">
        <f>IFERROR(__xludf.DUMMYFUNCTION("""COMPUTED_VALUE"""),1.0)</f>
        <v>1</v>
      </c>
      <c r="W110" s="48" t="str">
        <f>IFERROR(__xludf.DUMMYFUNCTION("""COMPUTED_VALUE"""),"Regional Barranquilla")</f>
        <v>Regional Barranquilla</v>
      </c>
      <c r="X110" s="49" t="str">
        <f>IFERROR(__xludf.DUMMYFUNCTION("""COMPUTED_VALUE"""),"Jorge Roa")</f>
        <v>Jorge Roa</v>
      </c>
      <c r="Y110" s="39" t="str">
        <f>IFERROR(__xludf.DUMMYFUNCTION("""COMPUTED_VALUE"""),"Director Regional")</f>
        <v>Director Regional</v>
      </c>
      <c r="Z110" s="49" t="str">
        <f>IFERROR(__xludf.DUMMYFUNCTION("""COMPUTED_VALUE"""),"jorge.roa@aunap.gov.co")</f>
        <v>jorge.roa@aunap.gov.co</v>
      </c>
      <c r="AA110" s="39" t="str">
        <f>IFERROR(__xludf.DUMMYFUNCTION("""COMPUTED_VALUE"""),"Humanos, Físicos, Financieros, Tecnológicos")</f>
        <v>Humanos, Físicos, Financieros, Tecnológicos</v>
      </c>
      <c r="AB110" s="39" t="str">
        <f>IFERROR(__xludf.DUMMYFUNCTION("""COMPUTED_VALUE"""),"No asociado")</f>
        <v>No asociado</v>
      </c>
      <c r="AC110"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10" s="39" t="str">
        <f>IFERROR(__xludf.DUMMYFUNCTION("""COMPUTED_VALUE"""),"Gestión con valores para resultados")</f>
        <v>Gestión con valores para resultados</v>
      </c>
      <c r="AE110" s="39" t="str">
        <f>IFERROR(__xludf.DUMMYFUNCTION("""COMPUTED_VALUE"""),"Fortalecimiento Organizacional y Simplificación de Procesos")</f>
        <v>Fortalecimiento Organizacional y Simplificación de Procesos</v>
      </c>
      <c r="AF110" s="39" t="str">
        <f>IFERROR(__xludf.DUMMYFUNCTION("""COMPUTED_VALUE"""),"12. Producción y consumo responsable")</f>
        <v>12. Producción y consumo responsable</v>
      </c>
      <c r="AG110" s="76">
        <f>IFERROR(__xludf.DUMMYFUNCTION("""COMPUTED_VALUE"""),0.0)</f>
        <v>0</v>
      </c>
      <c r="AH110" s="51"/>
      <c r="AI110" s="51"/>
      <c r="AJ110" s="52">
        <f>IFERROR(__xludf.DUMMYFUNCTION("""COMPUTED_VALUE"""),44298.0)</f>
        <v>44298</v>
      </c>
      <c r="AK110" s="53" t="str">
        <f>IFERROR(IF((AL110+1)&lt;2,Alertas!$B$2&amp;TEXT(AL110,"0%")&amp;Alertas!$D$2, IF((AL110+1)=2,Alertas!$B$3,IF((AL110+1)&gt;2,Alertas!$B$4&amp;TEXT(AL110,"0%")&amp;Alertas!$D$4,AL110+1))),"Sin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10" s="54">
        <f t="shared" si="2"/>
        <v>0</v>
      </c>
      <c r="AM110"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10" s="55"/>
      <c r="AO110" s="56"/>
      <c r="AP110" s="57"/>
      <c r="AQ110" s="57"/>
      <c r="AR110" s="58"/>
      <c r="AS110" s="59"/>
      <c r="AT110" s="60"/>
      <c r="AU110" s="55"/>
      <c r="AV110" s="56"/>
      <c r="AW110" s="61"/>
      <c r="AX110" s="57"/>
      <c r="AY110" s="62"/>
      <c r="AZ110" s="63"/>
      <c r="BA110" s="64"/>
      <c r="BB110" s="65"/>
      <c r="BC110" s="56"/>
      <c r="BD110" s="61"/>
      <c r="BE110" s="57"/>
      <c r="BF110" s="58"/>
      <c r="BG110" s="63"/>
      <c r="BH110" s="64"/>
      <c r="BI110" s="66"/>
      <c r="BK110" s="21" t="str">
        <f t="shared" si="23"/>
        <v>-1</v>
      </c>
      <c r="BM110" s="21"/>
    </row>
    <row r="111" ht="33.75" customHeight="1">
      <c r="A111" s="37"/>
      <c r="B111" s="38">
        <f>IFERROR(__xludf.DUMMYFUNCTION("""COMPUTED_VALUE"""),109.0)</f>
        <v>109</v>
      </c>
      <c r="C111" s="39" t="str">
        <f>IFERROR(__xludf.DUMMYFUNCTION("""COMPUTED_VALUE"""),"Gestión de la administración y fomento")</f>
        <v>Gestión de la administración y fomento</v>
      </c>
      <c r="D111" s="40" t="str">
        <f>IFERROR(__xludf.DUMMYFUNCTION("""COMPUTED_VALUE"""),"Regional Barranquilla")</f>
        <v>Regional Barranquilla</v>
      </c>
      <c r="E111" s="40" t="str">
        <f>IFERROR(__xludf.DUMMYFUNCTION("""COMPUTED_VALUE"""),"Fortalecimiento de la sostenibilidad del sector pesquero y de la acuicultura en el territorio nacional")</f>
        <v>Fortalecimiento de la sostenibilidad del sector pesquero y de la acuicultura en el territorio nacional</v>
      </c>
      <c r="F111" s="40">
        <f>IFERROR(__xludf.DUMMYFUNCTION("""COMPUTED_VALUE"""),2.01901100028E12)</f>
        <v>2019011000280</v>
      </c>
      <c r="G111" s="41" t="str">
        <f>IFERROR(__xludf.DUMMYFUNCTION("""COMPUTED_VALUE"""),"Sostenibilidad")</f>
        <v>Sostenibilidad</v>
      </c>
      <c r="H111" s="40" t="str">
        <f>IFERROR(__xludf.DUMMYFUNCTION("""COMPUTED_VALUE"""),"Mejorar las prácticas de pesca y de acuicultura.")</f>
        <v>Mejorar las prácticas de pesca y de acuicultura.</v>
      </c>
      <c r="I111" s="40" t="str">
        <f>IFERROR(__xludf.DUMMYFUNCTION("""COMPUTED_VALUE"""),"Servicios de apoyo al fomento de la pesca y la acuicultura")</f>
        <v>Servicios de apoyo al fomento de la pesca y la acuicultura</v>
      </c>
      <c r="J111" s="40" t="str">
        <f>IFERROR(__xludf.DUMMYFUNCTION("""COMPUTED_VALUE"""),"Generar acciones de fomento para la pesca, la acuicultura y sus actividades conexas.")</f>
        <v>Generar acciones de fomento para la pesca, la acuicultura y sus actividades conexas.</v>
      </c>
      <c r="K111" s="42" t="str">
        <f>IFERROR(__xludf.DUMMYFUNCTION("""COMPUTED_VALUE"""),"Gestión del área")</f>
        <v>Gestión del área</v>
      </c>
      <c r="L111" s="42" t="str">
        <f>IFERROR(__xludf.DUMMYFUNCTION("""COMPUTED_VALUE"""),"Eficacia")</f>
        <v>Eficacia</v>
      </c>
      <c r="M111" s="42" t="str">
        <f>IFERROR(__xludf.DUMMYFUNCTION("""COMPUTED_VALUE"""),"Número")</f>
        <v>Número</v>
      </c>
      <c r="N111" s="43" t="str">
        <f>IFERROR(__xludf.DUMMYFUNCTION("""COMPUTED_VALUE"""),"Entrega de elemento e insumos a las asociaciones")</f>
        <v>Entrega de elemento e insumos a las asociaciones</v>
      </c>
      <c r="O111" s="44"/>
      <c r="P111" s="45">
        <f>IFERROR(__xludf.DUMMYFUNCTION("""COMPUTED_VALUE"""),50.0)</f>
        <v>50</v>
      </c>
      <c r="Q111" s="46" t="str">
        <f>IFERROR(__xludf.DUMMYFUNCTION("""COMPUTED_VALUE"""),"Apoyar en la entregas de insumos y elementos a asociones de pescadores y acuicultores")</f>
        <v>Apoyar en la entregas de insumos y elementos a asociones de pescadores y acuicultores</v>
      </c>
      <c r="R111" s="47" t="str">
        <f>IFERROR(__xludf.DUMMYFUNCTION("""COMPUTED_VALUE"""),"Anual")</f>
        <v>Anual</v>
      </c>
      <c r="S111" s="45">
        <f>IFERROR(__xludf.DUMMYFUNCTION("""COMPUTED_VALUE"""),0.0)</f>
        <v>0</v>
      </c>
      <c r="T111" s="45">
        <f>IFERROR(__xludf.DUMMYFUNCTION("""COMPUTED_VALUE"""),0.0)</f>
        <v>0</v>
      </c>
      <c r="U111" s="45">
        <f>IFERROR(__xludf.DUMMYFUNCTION("""COMPUTED_VALUE"""),0.0)</f>
        <v>0</v>
      </c>
      <c r="V111" s="45">
        <f>IFERROR(__xludf.DUMMYFUNCTION("""COMPUTED_VALUE"""),50.0)</f>
        <v>50</v>
      </c>
      <c r="W111" s="48" t="str">
        <f>IFERROR(__xludf.DUMMYFUNCTION("""COMPUTED_VALUE"""),"Regional Barranquilla")</f>
        <v>Regional Barranquilla</v>
      </c>
      <c r="X111" s="49" t="str">
        <f>IFERROR(__xludf.DUMMYFUNCTION("""COMPUTED_VALUE"""),"Jorge Roa")</f>
        <v>Jorge Roa</v>
      </c>
      <c r="Y111" s="39" t="str">
        <f>IFERROR(__xludf.DUMMYFUNCTION("""COMPUTED_VALUE"""),"Director Regional")</f>
        <v>Director Regional</v>
      </c>
      <c r="Z111" s="49" t="str">
        <f>IFERROR(__xludf.DUMMYFUNCTION("""COMPUTED_VALUE"""),"jorge.roa@aunap.gov.co")</f>
        <v>jorge.roa@aunap.gov.co</v>
      </c>
      <c r="AA111" s="39" t="str">
        <f>IFERROR(__xludf.DUMMYFUNCTION("""COMPUTED_VALUE"""),"Humanos, Físicos, Financieros, Tecnológicos")</f>
        <v>Humanos, Físicos, Financieros, Tecnológicos</v>
      </c>
      <c r="AB111" s="39" t="str">
        <f>IFERROR(__xludf.DUMMYFUNCTION("""COMPUTED_VALUE"""),"No asociado")</f>
        <v>No asociado</v>
      </c>
      <c r="AC111" s="39" t="str">
        <f>IFERROR(__xludf.DUMMYFUNCTION("""COMPUTED_VALUE"""),"Llegar con actividades de pesca y acuicultura a todas las regiones")</f>
        <v>Llegar con actividades de pesca y acuicultura a todas las regiones</v>
      </c>
      <c r="AD111" s="39" t="str">
        <f>IFERROR(__xludf.DUMMYFUNCTION("""COMPUTED_VALUE"""),"Gestión con valores para resultados")</f>
        <v>Gestión con valores para resultados</v>
      </c>
      <c r="AE111" s="39" t="str">
        <f>IFERROR(__xludf.DUMMYFUNCTION("""COMPUTED_VALUE"""),"Fortalecimiento Organizacional y Simplificación de Procesos")</f>
        <v>Fortalecimiento Organizacional y Simplificación de Procesos</v>
      </c>
      <c r="AF111" s="39" t="str">
        <f>IFERROR(__xludf.DUMMYFUNCTION("""COMPUTED_VALUE"""),"12. Producción y consumo responsable")</f>
        <v>12. Producción y consumo responsable</v>
      </c>
      <c r="AG111" s="76">
        <f>IFERROR(__xludf.DUMMYFUNCTION("""COMPUTED_VALUE"""),0.0)</f>
        <v>0</v>
      </c>
      <c r="AH111" s="51"/>
      <c r="AI111" s="51"/>
      <c r="AJ111" s="52">
        <f>IFERROR(__xludf.DUMMYFUNCTION("""COMPUTED_VALUE"""),44298.0)</f>
        <v>44298</v>
      </c>
      <c r="AK111" s="53" t="str">
        <f>IFERROR(IF((AL111+1)&lt;2,Alertas!$B$2&amp;TEXT(AL111,"0%")&amp;Alertas!$D$2, IF((AL111+1)=2,Alertas!$B$3,IF((AL111+1)&gt;2,Alertas!$B$4&amp;TEXT(AL111,"0%")&amp;Alertas!$D$4,AL111+1))),"Sin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11" s="54">
        <f t="shared" si="2"/>
        <v>0</v>
      </c>
      <c r="AM111" s="53" t="str">
        <f t="shared" si="3"/>
        <v>No reporto justificación de avance. 
No reporto evidencia.
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11" s="55"/>
      <c r="AO111" s="56"/>
      <c r="AP111" s="57"/>
      <c r="AQ111" s="57"/>
      <c r="AR111" s="58"/>
      <c r="AS111" s="59"/>
      <c r="AT111" s="60"/>
      <c r="AU111" s="55"/>
      <c r="AV111" s="56"/>
      <c r="AW111" s="61"/>
      <c r="AX111" s="57"/>
      <c r="AY111" s="62"/>
      <c r="AZ111" s="63"/>
      <c r="BA111" s="64"/>
      <c r="BB111" s="65"/>
      <c r="BC111" s="56"/>
      <c r="BD111" s="61"/>
      <c r="BE111" s="57"/>
      <c r="BF111" s="58"/>
      <c r="BG111" s="63"/>
      <c r="BH111" s="64"/>
      <c r="BI111" s="66"/>
      <c r="BK111" s="21" t="str">
        <f t="shared" si="23"/>
        <v>-1</v>
      </c>
      <c r="BM111" s="21"/>
    </row>
    <row r="112" ht="33.75" customHeight="1">
      <c r="A112" s="37"/>
      <c r="B112" s="38">
        <f>IFERROR(__xludf.DUMMYFUNCTION("""COMPUTED_VALUE"""),110.0)</f>
        <v>110</v>
      </c>
      <c r="C112" s="39" t="str">
        <f>IFERROR(__xludf.DUMMYFUNCTION("""COMPUTED_VALUE"""),"Gestión de la administración y fomento")</f>
        <v>Gestión de la administración y fomento</v>
      </c>
      <c r="D112" s="40" t="str">
        <f>IFERROR(__xludf.DUMMYFUNCTION("""COMPUTED_VALUE"""),"Regional Barranquilla")</f>
        <v>Regional Barranquilla</v>
      </c>
      <c r="E112" s="40" t="str">
        <f>IFERROR(__xludf.DUMMYFUNCTION("""COMPUTED_VALUE"""),"Fortalecimiento de la sostenibilidad del sector pesquero y de la acuicultura en el territorio nacional")</f>
        <v>Fortalecimiento de la sostenibilidad del sector pesquero y de la acuicultura en el territorio nacional</v>
      </c>
      <c r="F112" s="40">
        <f>IFERROR(__xludf.DUMMYFUNCTION("""COMPUTED_VALUE"""),2.01901100028E12)</f>
        <v>2019011000280</v>
      </c>
      <c r="G112" s="41" t="str">
        <f>IFERROR(__xludf.DUMMYFUNCTION("""COMPUTED_VALUE"""),"Sostenibilidad")</f>
        <v>Sostenibilidad</v>
      </c>
      <c r="H112" s="40" t="str">
        <f>IFERROR(__xludf.DUMMYFUNCTION("""COMPUTED_VALUE"""),"Mejorar la explotación de los recursos pesqueros y de la acuicultura.")</f>
        <v>Mejorar la explotación de los recursos pesqueros y de la acuicultura.</v>
      </c>
      <c r="I112" s="40" t="str">
        <f>IFERROR(__xludf.DUMMYFUNCTION("""COMPUTED_VALUE"""),"Servicios de administración de los recurso pesqueros y de la acuicultura")</f>
        <v>Servicios de administración de los recurso pesqueros y de la acuicultura</v>
      </c>
      <c r="J112" s="40" t="str">
        <f>IFERROR(__xludf.DUMMYFUNCTION("""COMPUTED_VALUE"""),"Regular el manejo y el ejercicio de la actividad pesquera y de la acuicultura.")</f>
        <v>Regular el manejo y el ejercicio de la actividad pesquera y de la acuicultura.</v>
      </c>
      <c r="K112" s="42" t="str">
        <f>IFERROR(__xludf.DUMMYFUNCTION("""COMPUTED_VALUE"""),"Gestión del área")</f>
        <v>Gestión del área</v>
      </c>
      <c r="L112" s="42" t="str">
        <f>IFERROR(__xludf.DUMMYFUNCTION("""COMPUTED_VALUE"""),"Eficacia")</f>
        <v>Eficacia</v>
      </c>
      <c r="M112" s="42" t="str">
        <f>IFERROR(__xludf.DUMMYFUNCTION("""COMPUTED_VALUE"""),"Número")</f>
        <v>Número</v>
      </c>
      <c r="N112" s="43" t="str">
        <f>IFERROR(__xludf.DUMMYFUNCTION("""COMPUTED_VALUE"""),"Numero pescadores artesanales formalizados/ No de pescadores")</f>
        <v>Numero pescadores artesanales formalizados/ No de pescadores</v>
      </c>
      <c r="O112" s="44"/>
      <c r="P112" s="45">
        <f>IFERROR(__xludf.DUMMYFUNCTION("""COMPUTED_VALUE"""),5000.0)</f>
        <v>5000</v>
      </c>
      <c r="Q112" s="46" t="str">
        <f>IFERROR(__xludf.DUMMYFUNCTION("""COMPUTED_VALUE"""),"Expedir carnets, para el ejercicio de la actividad pesquera")</f>
        <v>Expedir carnets, para el ejercicio de la actividad pesquera</v>
      </c>
      <c r="R112" s="47" t="str">
        <f>IFERROR(__xludf.DUMMYFUNCTION("""COMPUTED_VALUE"""),"Trimestral")</f>
        <v>Trimestral</v>
      </c>
      <c r="S112" s="45">
        <f>IFERROR(__xludf.DUMMYFUNCTION("""COMPUTED_VALUE"""),700.0)</f>
        <v>700</v>
      </c>
      <c r="T112" s="45">
        <f>IFERROR(__xludf.DUMMYFUNCTION("""COMPUTED_VALUE"""),1000.0)</f>
        <v>1000</v>
      </c>
      <c r="U112" s="45">
        <f>IFERROR(__xludf.DUMMYFUNCTION("""COMPUTED_VALUE"""),1800.0)</f>
        <v>1800</v>
      </c>
      <c r="V112" s="45">
        <f>IFERROR(__xludf.DUMMYFUNCTION("""COMPUTED_VALUE"""),1500.0)</f>
        <v>1500</v>
      </c>
      <c r="W112" s="48" t="str">
        <f>IFERROR(__xludf.DUMMYFUNCTION("""COMPUTED_VALUE"""),"Regional Barranquilla")</f>
        <v>Regional Barranquilla</v>
      </c>
      <c r="X112" s="49" t="str">
        <f>IFERROR(__xludf.DUMMYFUNCTION("""COMPUTED_VALUE"""),"Jorge Roa")</f>
        <v>Jorge Roa</v>
      </c>
      <c r="Y112" s="39" t="str">
        <f>IFERROR(__xludf.DUMMYFUNCTION("""COMPUTED_VALUE"""),"Director Regional")</f>
        <v>Director Regional</v>
      </c>
      <c r="Z112" s="49" t="str">
        <f>IFERROR(__xludf.DUMMYFUNCTION("""COMPUTED_VALUE"""),"jorge.roa@aunap.gov.co")</f>
        <v>jorge.roa@aunap.gov.co</v>
      </c>
      <c r="AA112" s="39" t="str">
        <f>IFERROR(__xludf.DUMMYFUNCTION("""COMPUTED_VALUE"""),"Humanos, Físicos, Financieros, Tecnológicos")</f>
        <v>Humanos, Físicos, Financieros, Tecnológicos</v>
      </c>
      <c r="AB112" s="39" t="str">
        <f>IFERROR(__xludf.DUMMYFUNCTION("""COMPUTED_VALUE"""),"No asociado")</f>
        <v>No asociado</v>
      </c>
      <c r="AC112" s="39" t="str">
        <f>IFERROR(__xludf.DUMMYFUNCTION("""COMPUTED_VALUE"""),"Propiciar la formalización de la pesca y la acuicultura")</f>
        <v>Propiciar la formalización de la pesca y la acuicultura</v>
      </c>
      <c r="AD112" s="39" t="str">
        <f>IFERROR(__xludf.DUMMYFUNCTION("""COMPUTED_VALUE"""),"Gestión con valores para resultados")</f>
        <v>Gestión con valores para resultados</v>
      </c>
      <c r="AE112" s="39" t="str">
        <f>IFERROR(__xludf.DUMMYFUNCTION("""COMPUTED_VALUE"""),"Fortalecimiento Organizacional y Simplificación de Procesos")</f>
        <v>Fortalecimiento Organizacional y Simplificación de Procesos</v>
      </c>
      <c r="AF112" s="39" t="str">
        <f>IFERROR(__xludf.DUMMYFUNCTION("""COMPUTED_VALUE"""),"12. Producción y consumo responsable")</f>
        <v>12. Producción y consumo responsable</v>
      </c>
      <c r="AG112" s="76">
        <f>IFERROR(__xludf.DUMMYFUNCTION("""COMPUTED_VALUE"""),2802.0)</f>
        <v>2802</v>
      </c>
      <c r="AH112" s="51" t="str">
        <f>IFERROR(__xludf.DUMMYFUNCTION("""COMPUTED_VALUE"""),"Se relizaron mas de 2800 carnet esto por relacion de la solicitudes y volumenes que tenia represado el PNUD ademas del aumento de solicitud dado que el periodo de vigencia en la mayoria se ha vencido por lo que se estan haciendo las renovaciones ")</f>
        <v>Se relizaron mas de 2800 carnet esto por relacion de la solicitudes y volumenes que tenia represado el PNUD ademas del aumento de solicitud dado que el periodo de vigencia en la mayoria se ha vencido por lo que se estan haciendo las renovaciones </v>
      </c>
      <c r="AI112" s="72" t="str">
        <f>IFERROR(__xludf.DUMMYFUNCTION("""COMPUTED_VALUE"""),"https://drive.google.com/drive/folders/1436rpEgDQn8lDUZxH00qw5VfUvTFd9zJ?usp=sharing")</f>
        <v>https://drive.google.com/drive/folders/1436rpEgDQn8lDUZxH00qw5VfUvTFd9zJ?usp=sharing</v>
      </c>
      <c r="AJ112" s="52">
        <f>IFERROR(__xludf.DUMMYFUNCTION("""COMPUTED_VALUE"""),44298.0)</f>
        <v>44298</v>
      </c>
      <c r="AK112" s="53" t="str">
        <f>IFERROR(IF((AL112+1)&lt;2,Alertas!$B$2&amp;TEXT(AL112,"0%")&amp;Alertas!$D$2, IF((AL112+1)=2,Alertas!$B$3,IF((AL112+1)&gt;2,Alertas!$B$4&amp;TEXT(AL112,"0%")&amp;Alertas!$D$4,AL112+1))),"Sin meta para el cuarto trimestre")</f>
        <v>La ejecución de la meta registrada se encuentra por encima de la meta programada en la formulación del plan de acción para el cuarto trimestre, su porcentaje de cumplimiento es 187%, lo cual indica una sobre ejecución que puede ser entendido por los entes de control como falencias en el proceso de planeación. se recomienda tomar este antecedente como insumo para incrementar la meta en la próxima vigencia</v>
      </c>
      <c r="AL112" s="54">
        <f t="shared" si="2"/>
        <v>1.868</v>
      </c>
      <c r="AM112" s="53" t="str">
        <f t="shared" si="3"/>
        <v>La ejecución de la meta registrada se encuentra por encima de la meta programada en la formulación del plan de acción para el cuarto trimestre, su porcentaje de cumplimiento es 187%, lo cual indica una sobre ejecución que puede ser entendido por los entes de control como falencias en el proceso de planeación. se recomienda tomar este antecedente como insumo para incrementar la meta en la próxima vigencia.</v>
      </c>
      <c r="AN112" s="55"/>
      <c r="AO112" s="56"/>
      <c r="AP112" s="57"/>
      <c r="AQ112" s="57"/>
      <c r="AR112" s="58"/>
      <c r="AS112" s="59"/>
      <c r="AT112" s="60"/>
      <c r="AU112" s="55"/>
      <c r="AV112" s="56"/>
      <c r="AW112" s="61"/>
      <c r="AX112" s="57"/>
      <c r="AY112" s="62"/>
      <c r="AZ112" s="63"/>
      <c r="BA112" s="64"/>
      <c r="BB112" s="65"/>
      <c r="BC112" s="56"/>
      <c r="BD112" s="61"/>
      <c r="BE112" s="57"/>
      <c r="BF112" s="58"/>
      <c r="BG112" s="63"/>
      <c r="BH112" s="64"/>
      <c r="BI112" s="66"/>
      <c r="BK112" s="21" t="str">
        <f t="shared" si="23"/>
        <v>1</v>
      </c>
      <c r="BM112" s="21"/>
    </row>
    <row r="113" ht="33.75" customHeight="1">
      <c r="A113" s="37"/>
      <c r="B113" s="38">
        <f>IFERROR(__xludf.DUMMYFUNCTION("""COMPUTED_VALUE"""),111.0)</f>
        <v>111</v>
      </c>
      <c r="C113" s="39" t="str">
        <f>IFERROR(__xludf.DUMMYFUNCTION("""COMPUTED_VALUE"""),"Gestión de la inspección y vigilancia")</f>
        <v>Gestión de la inspección y vigilancia</v>
      </c>
      <c r="D113" s="40" t="str">
        <f>IFERROR(__xludf.DUMMYFUNCTION("""COMPUTED_VALUE"""),"Regional Barranquilla")</f>
        <v>Regional Barranquilla</v>
      </c>
      <c r="E113"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13" s="40">
        <f>IFERROR(__xludf.DUMMYFUNCTION("""COMPUTED_VALUE"""),2.019011000276E12)</f>
        <v>2019011000276</v>
      </c>
      <c r="G113" s="41" t="str">
        <f>IFERROR(__xludf.DUMMYFUNCTION("""COMPUTED_VALUE"""),"Inspección")</f>
        <v>Inspección</v>
      </c>
      <c r="H113" s="40" t="str">
        <f>IFERROR(__xludf.DUMMYFUNCTION("""COMPUTED_VALUE"""),"Fortalecer los mecanismos de seguimiento y control de la actividad pesquera y de la acuicultura.")</f>
        <v>Fortalecer los mecanismos de seguimiento y control de la actividad pesquera y de la acuicultura.</v>
      </c>
      <c r="I113" s="40" t="str">
        <f>IFERROR(__xludf.DUMMYFUNCTION("""COMPUTED_VALUE"""),"Servicio de inspección, vigilancia y control de la pesca y la acuicultura")</f>
        <v>Servicio de inspección, vigilancia y control de la pesca y la acuicultura</v>
      </c>
      <c r="J113" s="40" t="str">
        <f>IFERROR(__xludf.DUMMYFUNCTION("""COMPUTED_VALUE"""),"Realizar los operativos de inspección, vigilancia y control.")</f>
        <v>Realizar los operativos de inspección, vigilancia y control.</v>
      </c>
      <c r="K113" s="42" t="str">
        <f>IFERROR(__xludf.DUMMYFUNCTION("""COMPUTED_VALUE"""),"Gestión del área")</f>
        <v>Gestión del área</v>
      </c>
      <c r="L113" s="42" t="str">
        <f>IFERROR(__xludf.DUMMYFUNCTION("""COMPUTED_VALUE"""),"Eficacia")</f>
        <v>Eficacia</v>
      </c>
      <c r="M113" s="42" t="str">
        <f>IFERROR(__xludf.DUMMYFUNCTION("""COMPUTED_VALUE"""),"Número")</f>
        <v>Número</v>
      </c>
      <c r="N113" s="43" t="str">
        <f>IFERROR(__xludf.DUMMYFUNCTION("""COMPUTED_VALUE"""),"Numero de operativos de control a la actividad pesquera y acuicola realizados")</f>
        <v>Numero de operativos de control a la actividad pesquera y acuicola realizados</v>
      </c>
      <c r="O113" s="44"/>
      <c r="P113" s="45">
        <f>IFERROR(__xludf.DUMMYFUNCTION("""COMPUTED_VALUE"""),1000.0)</f>
        <v>1000</v>
      </c>
      <c r="Q113" s="46" t="str">
        <f>IFERROR(__xludf.DUMMYFUNCTION("""COMPUTED_VALUE"""),"Realizar acciones de sensibilizacion (operativos) para el ejercio de las actividades de pesca y acuicultura dentro de la normatividad")</f>
        <v>Realizar acciones de sensibilizacion (operativos) para el ejercio de las actividades de pesca y acuicultura dentro de la normatividad</v>
      </c>
      <c r="R113" s="47" t="str">
        <f>IFERROR(__xludf.DUMMYFUNCTION("""COMPUTED_VALUE"""),"Trimestral")</f>
        <v>Trimestral</v>
      </c>
      <c r="S113" s="45">
        <f>IFERROR(__xludf.DUMMYFUNCTION("""COMPUTED_VALUE"""),130.0)</f>
        <v>130</v>
      </c>
      <c r="T113" s="45">
        <f>IFERROR(__xludf.DUMMYFUNCTION("""COMPUTED_VALUE"""),300.0)</f>
        <v>300</v>
      </c>
      <c r="U113" s="45">
        <f>IFERROR(__xludf.DUMMYFUNCTION("""COMPUTED_VALUE"""),300.0)</f>
        <v>300</v>
      </c>
      <c r="V113" s="45">
        <f>IFERROR(__xludf.DUMMYFUNCTION("""COMPUTED_VALUE"""),270.0)</f>
        <v>270</v>
      </c>
      <c r="W113" s="48" t="str">
        <f>IFERROR(__xludf.DUMMYFUNCTION("""COMPUTED_VALUE"""),"Regional Barranquilla")</f>
        <v>Regional Barranquilla</v>
      </c>
      <c r="X113" s="49" t="str">
        <f>IFERROR(__xludf.DUMMYFUNCTION("""COMPUTED_VALUE"""),"Jorge Roa")</f>
        <v>Jorge Roa</v>
      </c>
      <c r="Y113" s="39" t="str">
        <f>IFERROR(__xludf.DUMMYFUNCTION("""COMPUTED_VALUE"""),"Director Regional")</f>
        <v>Director Regional</v>
      </c>
      <c r="Z113" s="49" t="str">
        <f>IFERROR(__xludf.DUMMYFUNCTION("""COMPUTED_VALUE"""),"jorge.roa@aunap.gov.co")</f>
        <v>jorge.roa@aunap.gov.co</v>
      </c>
      <c r="AA113" s="39" t="str">
        <f>IFERROR(__xludf.DUMMYFUNCTION("""COMPUTED_VALUE"""),"Humanos, Físicos, Financieros, Tecnológicos")</f>
        <v>Humanos, Físicos, Financieros, Tecnológicos</v>
      </c>
      <c r="AB113" s="39" t="str">
        <f>IFERROR(__xludf.DUMMYFUNCTION("""COMPUTED_VALUE"""),"No asociado")</f>
        <v>No asociado</v>
      </c>
      <c r="AC11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13" s="39" t="str">
        <f>IFERROR(__xludf.DUMMYFUNCTION("""COMPUTED_VALUE"""),"Gestión con valores para resultados")</f>
        <v>Gestión con valores para resultados</v>
      </c>
      <c r="AE113" s="39" t="str">
        <f>IFERROR(__xludf.DUMMYFUNCTION("""COMPUTED_VALUE"""),"Fortalecimiento Organizacional y Simplificación de Procesos")</f>
        <v>Fortalecimiento Organizacional y Simplificación de Procesos</v>
      </c>
      <c r="AF113" s="39" t="str">
        <f>IFERROR(__xludf.DUMMYFUNCTION("""COMPUTED_VALUE"""),"12. Producción y consumo responsable")</f>
        <v>12. Producción y consumo responsable</v>
      </c>
      <c r="AG113" s="76">
        <f>IFERROR(__xludf.DUMMYFUNCTION("""COMPUTED_VALUE"""),292.0)</f>
        <v>292</v>
      </c>
      <c r="AH113" s="51" t="str">
        <f>IFERROR(__xludf.DUMMYFUNCTION("""COMPUTED_VALUE"""),"Por el tema semana santa se supero la meta establecida ")</f>
        <v>Por el tema semana santa se supero la meta establecida </v>
      </c>
      <c r="AI113" s="72" t="str">
        <f>IFERROR(__xludf.DUMMYFUNCTION("""COMPUTED_VALUE"""),"https://drive.google.com/drive/folders/1xIVOjTQ96sf3wmCeRxVDY7qn-qNb2b8z?usp=sharing")</f>
        <v>https://drive.google.com/drive/folders/1xIVOjTQ96sf3wmCeRxVDY7qn-qNb2b8z?usp=sharing</v>
      </c>
      <c r="AJ113" s="52">
        <f>IFERROR(__xludf.DUMMYFUNCTION("""COMPUTED_VALUE"""),44298.0)</f>
        <v>44298</v>
      </c>
      <c r="AK113" s="53" t="str">
        <f>IFERROR(IF((AL113+1)&lt;2,Alertas!$B$2&amp;TEXT(AL113,"0%")&amp;Alertas!$D$2, IF((AL113+1)=2,Alertas!$B$3,IF((AL113+1)&gt;2,Alertas!$B$4&amp;TEXT(AL113,"0%")&amp;Alertas!$D$4,AL113+1))),"Sin meta para el cuarto trimestre")</f>
        <v>La ejecución de la meta registrada se encuentra por encima de la meta programada en la formulación del plan de acción para el cuarto trimestre, su porcentaje de cumplimiento es 108%, lo cual indica una sobre ejecución que puede ser entendido por los entes de control como falencias en el proceso de planeación. se recomienda tomar este antecedente como insumo para incrementar la meta en la próxima vigencia</v>
      </c>
      <c r="AL113" s="54">
        <f t="shared" si="2"/>
        <v>1.081481481</v>
      </c>
      <c r="AM113" s="53" t="str">
        <f t="shared" si="3"/>
        <v>La ejecución de la meta registrada se encuentra por encima de la meta programada en la formulación del plan de acción para el cuarto trimestre, su porcentaje de cumplimiento es 108%, lo cual indica una sobre ejecución que puede ser entendido por los entes de control como falencias en el proceso de planeación. se recomienda tomar este antecedente como insumo para incrementar la meta en la próxima vigencia.</v>
      </c>
      <c r="AN113" s="55"/>
      <c r="AO113" s="56"/>
      <c r="AP113" s="57"/>
      <c r="AQ113" s="57"/>
      <c r="AR113" s="58"/>
      <c r="AS113" s="59"/>
      <c r="AT113" s="60"/>
      <c r="AU113" s="55"/>
      <c r="AV113" s="56"/>
      <c r="AW113" s="61"/>
      <c r="AX113" s="57"/>
      <c r="AY113" s="62"/>
      <c r="AZ113" s="63"/>
      <c r="BA113" s="64"/>
      <c r="BB113" s="65"/>
      <c r="BC113" s="56"/>
      <c r="BD113" s="61"/>
      <c r="BE113" s="57"/>
      <c r="BF113" s="58"/>
      <c r="BG113" s="63"/>
      <c r="BH113" s="64"/>
      <c r="BI113" s="66"/>
      <c r="BK113" s="21" t="str">
        <f t="shared" si="23"/>
        <v>1</v>
      </c>
      <c r="BM113" s="21"/>
    </row>
    <row r="114" ht="33.75" customHeight="1">
      <c r="A114" s="37"/>
      <c r="B114" s="38">
        <f>IFERROR(__xludf.DUMMYFUNCTION("""COMPUTED_VALUE"""),112.0)</f>
        <v>112</v>
      </c>
      <c r="C114" s="39" t="str">
        <f>IFERROR(__xludf.DUMMYFUNCTION("""COMPUTED_VALUE"""),"Gestión de la inspección y vigilancia")</f>
        <v>Gestión de la inspección y vigilancia</v>
      </c>
      <c r="D114" s="40" t="str">
        <f>IFERROR(__xludf.DUMMYFUNCTION("""COMPUTED_VALUE"""),"Regional Barranquilla")</f>
        <v>Regional Barranquilla</v>
      </c>
      <c r="E114"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14" s="40">
        <f>IFERROR(__xludf.DUMMYFUNCTION("""COMPUTED_VALUE"""),2.019011000276E12)</f>
        <v>2019011000276</v>
      </c>
      <c r="G114" s="41" t="str">
        <f>IFERROR(__xludf.DUMMYFUNCTION("""COMPUTED_VALUE"""),"Inspección")</f>
        <v>Inspección</v>
      </c>
      <c r="H114" s="40" t="str">
        <f>IFERROR(__xludf.DUMMYFUNCTION("""COMPUTED_VALUE"""),"Fortalecer los mecanismos de seguimiento y control de la actividad pesquera y de la acuicultura.")</f>
        <v>Fortalecer los mecanismos de seguimiento y control de la actividad pesquera y de la acuicultura.</v>
      </c>
      <c r="I114" s="40" t="str">
        <f>IFERROR(__xludf.DUMMYFUNCTION("""COMPUTED_VALUE"""),"Servicio de inspección, vigilancia y control de la pesca y la acuicultura")</f>
        <v>Servicio de inspección, vigilancia y control de la pesca y la acuicultura</v>
      </c>
      <c r="J114" s="40" t="str">
        <f>IFERROR(__xludf.DUMMYFUNCTION("""COMPUTED_VALUE"""),"Realizar los operativos de inspección, vigilancia y control.")</f>
        <v>Realizar los operativos de inspección, vigilancia y control.</v>
      </c>
      <c r="K114" s="42" t="str">
        <f>IFERROR(__xludf.DUMMYFUNCTION("""COMPUTED_VALUE"""),"Gestión")</f>
        <v>Gestión</v>
      </c>
      <c r="L114" s="42" t="str">
        <f>IFERROR(__xludf.DUMMYFUNCTION("""COMPUTED_VALUE"""),"Eficacia")</f>
        <v>Eficacia</v>
      </c>
      <c r="M114" s="42" t="str">
        <f>IFERROR(__xludf.DUMMYFUNCTION("""COMPUTED_VALUE"""),"Número")</f>
        <v>Número</v>
      </c>
      <c r="N114" s="43" t="str">
        <f>IFERROR(__xludf.DUMMYFUNCTION("""COMPUTED_VALUE"""),"No seguimientos a entrega de elementos")</f>
        <v>No seguimientos a entrega de elementos</v>
      </c>
      <c r="O114" s="44"/>
      <c r="P114" s="45">
        <f>IFERROR(__xludf.DUMMYFUNCTION("""COMPUTED_VALUE"""),25.0)</f>
        <v>25</v>
      </c>
      <c r="Q114" s="46" t="str">
        <f>IFERROR(__xludf.DUMMYFUNCTION("""COMPUTED_VALUE"""),"Realizar acciones para verificacion del buen uso de los elementos, equipos e insumos entregados a las asociaciones")</f>
        <v>Realizar acciones para verificacion del buen uso de los elementos, equipos e insumos entregados a las asociaciones</v>
      </c>
      <c r="R114" s="47" t="str">
        <f>IFERROR(__xludf.DUMMYFUNCTION("""COMPUTED_VALUE"""),"Trimestral")</f>
        <v>Trimestral</v>
      </c>
      <c r="S114" s="45">
        <f>IFERROR(__xludf.DUMMYFUNCTION("""COMPUTED_VALUE"""),5.0)</f>
        <v>5</v>
      </c>
      <c r="T114" s="45">
        <f>IFERROR(__xludf.DUMMYFUNCTION("""COMPUTED_VALUE"""),7.0)</f>
        <v>7</v>
      </c>
      <c r="U114" s="45">
        <f>IFERROR(__xludf.DUMMYFUNCTION("""COMPUTED_VALUE"""),7.0)</f>
        <v>7</v>
      </c>
      <c r="V114" s="45">
        <f>IFERROR(__xludf.DUMMYFUNCTION("""COMPUTED_VALUE"""),6.0)</f>
        <v>6</v>
      </c>
      <c r="W114" s="48" t="str">
        <f>IFERROR(__xludf.DUMMYFUNCTION("""COMPUTED_VALUE"""),"Regional Barranquilla")</f>
        <v>Regional Barranquilla</v>
      </c>
      <c r="X114" s="49" t="str">
        <f>IFERROR(__xludf.DUMMYFUNCTION("""COMPUTED_VALUE"""),"Jorge Roa")</f>
        <v>Jorge Roa</v>
      </c>
      <c r="Y114" s="39" t="str">
        <f>IFERROR(__xludf.DUMMYFUNCTION("""COMPUTED_VALUE"""),"Director Regional")</f>
        <v>Director Regional</v>
      </c>
      <c r="Z114" s="49" t="str">
        <f>IFERROR(__xludf.DUMMYFUNCTION("""COMPUTED_VALUE"""),"jorge.roa@aunap.gov.co")</f>
        <v>jorge.roa@aunap.gov.co</v>
      </c>
      <c r="AA114" s="39" t="str">
        <f>IFERROR(__xludf.DUMMYFUNCTION("""COMPUTED_VALUE"""),"Humanos, Físicos, Financieros, Tecnológicos")</f>
        <v>Humanos, Físicos, Financieros, Tecnológicos</v>
      </c>
      <c r="AB114" s="39" t="str">
        <f>IFERROR(__xludf.DUMMYFUNCTION("""COMPUTED_VALUE"""),"No asociado")</f>
        <v>No asociado</v>
      </c>
      <c r="AC11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14" s="39" t="str">
        <f>IFERROR(__xludf.DUMMYFUNCTION("""COMPUTED_VALUE"""),"Gestión con valores para resultados")</f>
        <v>Gestión con valores para resultados</v>
      </c>
      <c r="AE114" s="39" t="str">
        <f>IFERROR(__xludf.DUMMYFUNCTION("""COMPUTED_VALUE"""),"Fortalecimiento Organizacional y Simplificación de Procesos")</f>
        <v>Fortalecimiento Organizacional y Simplificación de Procesos</v>
      </c>
      <c r="AF114" s="39" t="str">
        <f>IFERROR(__xludf.DUMMYFUNCTION("""COMPUTED_VALUE"""),"12. Producción y consumo responsable")</f>
        <v>12. Producción y consumo responsable</v>
      </c>
      <c r="AG114" s="76">
        <f>IFERROR(__xludf.DUMMYFUNCTION("""COMPUTED_VALUE"""),5.0)</f>
        <v>5</v>
      </c>
      <c r="AH114" s="51" t="str">
        <f>IFERROR(__xludf.DUMMYFUNCTION("""COMPUTED_VALUE"""),"Se realizo el seguimiento a los beneficiados establecidos")</f>
        <v>Se realizo el seguimiento a los beneficiados establecidos</v>
      </c>
      <c r="AI114" s="72" t="str">
        <f>IFERROR(__xludf.DUMMYFUNCTION("""COMPUTED_VALUE"""),"https://drive.google.com/drive/folders/1CS31yWr5VVz87_U1ppvPqznWDC-TqZyz?usp=sharing")</f>
        <v>https://drive.google.com/drive/folders/1CS31yWr5VVz87_U1ppvPqznWDC-TqZyz?usp=sharing</v>
      </c>
      <c r="AJ114" s="52">
        <f>IFERROR(__xludf.DUMMYFUNCTION("""COMPUTED_VALUE"""),44298.0)</f>
        <v>44298</v>
      </c>
      <c r="AK114" s="53" t="str">
        <f>IFERROR(IF((AL114+1)&lt;2,Alertas!$B$2&amp;TEXT(AL114,"0%")&amp;Alertas!$D$2, IF((AL114+1)=2,Alertas!$B$3,IF((AL114+1)&gt;2,Alertas!$B$4&amp;TEXT(AL114,"0%")&amp;Alertas!$D$4,AL114+1))),"Sin meta para el cuarto trimestre")</f>
        <v>La ejecución de la meta registrada se encuentra por debajo de la meta programada en la formulación del plan de acción para el cuarto trimestre, su porcentaje de cumplimiento es 83%, lo cual indica un incumplimiento que puede ser entendido por los entes de control como falencias en el proceso de planeación. se recomienda tomar este antecedente como insumo para disminuir la meta en la próxima vigencia</v>
      </c>
      <c r="AL114" s="54">
        <f t="shared" si="2"/>
        <v>0.8333333333</v>
      </c>
      <c r="AM114" s="53" t="str">
        <f t="shared" si="3"/>
        <v>La ejecución de la meta registrada se encuentra por debajo de la meta programada en la formulación del plan de acción para el cuarto trimestre, su porcentaje de cumplimiento es 83%, lo cual indica un incumplimiento que puede ser entendido por los entes de control como falencias en el proceso de planeación. se recomienda tomar este antecedente como insumo para disminuir la meta en la próxima vigencia.</v>
      </c>
      <c r="AN114" s="55"/>
      <c r="AO114" s="56"/>
      <c r="AP114" s="57"/>
      <c r="AQ114" s="57"/>
      <c r="AR114" s="58"/>
      <c r="AS114" s="59"/>
      <c r="AT114" s="60"/>
      <c r="AU114" s="55"/>
      <c r="AV114" s="56"/>
      <c r="AW114" s="61"/>
      <c r="AX114" s="57"/>
      <c r="AY114" s="62"/>
      <c r="AZ114" s="63"/>
      <c r="BA114" s="64"/>
      <c r="BB114" s="65"/>
      <c r="BC114" s="56"/>
      <c r="BD114" s="61"/>
      <c r="BE114" s="57"/>
      <c r="BF114" s="58"/>
      <c r="BG114" s="63"/>
      <c r="BH114" s="64"/>
      <c r="BI114" s="66"/>
      <c r="BK114" s="21" t="str">
        <f t="shared" si="23"/>
        <v>-1</v>
      </c>
      <c r="BM114" s="21"/>
    </row>
    <row r="115" ht="33.75" customHeight="1">
      <c r="A115" s="37"/>
      <c r="B115" s="38">
        <f>IFERROR(__xludf.DUMMYFUNCTION("""COMPUTED_VALUE"""),113.0)</f>
        <v>113</v>
      </c>
      <c r="C115" s="39" t="str">
        <f>IFERROR(__xludf.DUMMYFUNCTION("""COMPUTED_VALUE"""),"Gestión de la inspección y vigilancia")</f>
        <v>Gestión de la inspección y vigilancia</v>
      </c>
      <c r="D115" s="40" t="str">
        <f>IFERROR(__xludf.DUMMYFUNCTION("""COMPUTED_VALUE"""),"Regional Barranquilla")</f>
        <v>Regional Barranquilla</v>
      </c>
      <c r="E115"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15" s="40">
        <f>IFERROR(__xludf.DUMMYFUNCTION("""COMPUTED_VALUE"""),2.019011000276E12)</f>
        <v>2019011000276</v>
      </c>
      <c r="G115" s="41" t="str">
        <f>IFERROR(__xludf.DUMMYFUNCTION("""COMPUTED_VALUE"""),"Inspección")</f>
        <v>Inspección</v>
      </c>
      <c r="H115" s="40" t="str">
        <f>IFERROR(__xludf.DUMMYFUNCTION("""COMPUTED_VALUE"""),"Aumentar el conocimiento de la normatividad pesquera y de la acuicultura por parte de la comunidad.")</f>
        <v>Aumentar el conocimiento de la normatividad pesquera y de la acuicultura por parte de la comunidad.</v>
      </c>
      <c r="I115" s="40" t="str">
        <f>IFERROR(__xludf.DUMMYFUNCTION("""COMPUTED_VALUE"""),"Servicio de divulgación y socialización")</f>
        <v>Servicio de divulgación y socialización</v>
      </c>
      <c r="J115" s="40" t="str">
        <f>IFERROR(__xludf.DUMMYFUNCTION("""COMPUTED_VALUE"""),"Implementar las estrategias de socialización y Divulgación a la comunidad")</f>
        <v>Implementar las estrategias de socialización y Divulgación a la comunidad</v>
      </c>
      <c r="K115" s="42" t="str">
        <f>IFERROR(__xludf.DUMMYFUNCTION("""COMPUTED_VALUE"""),"Gestión del área")</f>
        <v>Gestión del área</v>
      </c>
      <c r="L115" s="42" t="str">
        <f>IFERROR(__xludf.DUMMYFUNCTION("""COMPUTED_VALUE"""),"Eficacia")</f>
        <v>Eficacia</v>
      </c>
      <c r="M115" s="42" t="str">
        <f>IFERROR(__xludf.DUMMYFUNCTION("""COMPUTED_VALUE"""),"Número")</f>
        <v>Número</v>
      </c>
      <c r="N115" s="43" t="str">
        <f>IFERROR(__xludf.DUMMYFUNCTION("""COMPUTED_VALUE"""),"Asociaciones instruidas en implementacion de normatividad pesqueras y acuicola")</f>
        <v>Asociaciones instruidas en implementacion de normatividad pesqueras y acuicola</v>
      </c>
      <c r="O115" s="44"/>
      <c r="P115" s="45">
        <f>IFERROR(__xludf.DUMMYFUNCTION("""COMPUTED_VALUE"""),30.0)</f>
        <v>30</v>
      </c>
      <c r="Q115" s="46" t="str">
        <f>IFERROR(__xludf.DUMMYFUNCTION("""COMPUTED_VALUE"""),"Instruir a las asociaciones en el conocimiento y aplicación de la normatividad pesquera y acuicola del pais para el ejercicio de la pesca y la acuicultura")</f>
        <v>Instruir a las asociaciones en el conocimiento y aplicación de la normatividad pesquera y acuicola del pais para el ejercicio de la pesca y la acuicultura</v>
      </c>
      <c r="R115" s="47" t="str">
        <f>IFERROR(__xludf.DUMMYFUNCTION("""COMPUTED_VALUE"""),"Trimestral")</f>
        <v>Trimestral</v>
      </c>
      <c r="S115" s="45">
        <f>IFERROR(__xludf.DUMMYFUNCTION("""COMPUTED_VALUE"""),5.0)</f>
        <v>5</v>
      </c>
      <c r="T115" s="45">
        <f>IFERROR(__xludf.DUMMYFUNCTION("""COMPUTED_VALUE"""),10.0)</f>
        <v>10</v>
      </c>
      <c r="U115" s="45">
        <f>IFERROR(__xludf.DUMMYFUNCTION("""COMPUTED_VALUE"""),10.0)</f>
        <v>10</v>
      </c>
      <c r="V115" s="45">
        <f>IFERROR(__xludf.DUMMYFUNCTION("""COMPUTED_VALUE"""),5.0)</f>
        <v>5</v>
      </c>
      <c r="W115" s="48" t="str">
        <f>IFERROR(__xludf.DUMMYFUNCTION("""COMPUTED_VALUE"""),"Regional Barranquilla")</f>
        <v>Regional Barranquilla</v>
      </c>
      <c r="X115" s="49" t="str">
        <f>IFERROR(__xludf.DUMMYFUNCTION("""COMPUTED_VALUE"""),"Jorge Roa")</f>
        <v>Jorge Roa</v>
      </c>
      <c r="Y115" s="39" t="str">
        <f>IFERROR(__xludf.DUMMYFUNCTION("""COMPUTED_VALUE"""),"Director Regional")</f>
        <v>Director Regional</v>
      </c>
      <c r="Z115" s="49" t="str">
        <f>IFERROR(__xludf.DUMMYFUNCTION("""COMPUTED_VALUE"""),"jorge.roa@aunap.gov.co")</f>
        <v>jorge.roa@aunap.gov.co</v>
      </c>
      <c r="AA115" s="39" t="str">
        <f>IFERROR(__xludf.DUMMYFUNCTION("""COMPUTED_VALUE"""),"Humanos, Físicos, Financieros, Tecnológicos")</f>
        <v>Humanos, Físicos, Financieros, Tecnológicos</v>
      </c>
      <c r="AB115" s="39" t="str">
        <f>IFERROR(__xludf.DUMMYFUNCTION("""COMPUTED_VALUE"""),"No asociado")</f>
        <v>No asociado</v>
      </c>
      <c r="AC115" s="39" t="str">
        <f>IFERROR(__xludf.DUMMYFUNCTION("""COMPUTED_VALUE"""),"Propiciar la formalización de la pesca y la acuicultura")</f>
        <v>Propiciar la formalización de la pesca y la acuicultura</v>
      </c>
      <c r="AD115" s="39" t="str">
        <f>IFERROR(__xludf.DUMMYFUNCTION("""COMPUTED_VALUE"""),"Gestión con valores para resultados")</f>
        <v>Gestión con valores para resultados</v>
      </c>
      <c r="AE115" s="39" t="str">
        <f>IFERROR(__xludf.DUMMYFUNCTION("""COMPUTED_VALUE"""),"Fortalecimiento Organizacional y Simplificación de Procesos")</f>
        <v>Fortalecimiento Organizacional y Simplificación de Procesos</v>
      </c>
      <c r="AF115" s="39" t="str">
        <f>IFERROR(__xludf.DUMMYFUNCTION("""COMPUTED_VALUE"""),"12. Producción y consumo responsable")</f>
        <v>12. Producción y consumo responsable</v>
      </c>
      <c r="AG115" s="76">
        <f>IFERROR(__xludf.DUMMYFUNCTION("""COMPUTED_VALUE"""),7.0)</f>
        <v>7</v>
      </c>
      <c r="AH115" s="51" t="str">
        <f>IFERROR(__xludf.DUMMYFUNCTION("""COMPUTED_VALUE"""),"Se realizo la capacitaciones a comunidades en torno a los temas establecidos")</f>
        <v>Se realizo la capacitaciones a comunidades en torno a los temas establecidos</v>
      </c>
      <c r="AI115" s="72" t="str">
        <f>IFERROR(__xludf.DUMMYFUNCTION("""COMPUTED_VALUE"""),"https://drive.google.com/drive/folders/1TIio7jOkYbj3hY_tPxKL74c6h_MY-J8x?usp=sharing")</f>
        <v>https://drive.google.com/drive/folders/1TIio7jOkYbj3hY_tPxKL74c6h_MY-J8x?usp=sharing</v>
      </c>
      <c r="AJ115" s="52">
        <f>IFERROR(__xludf.DUMMYFUNCTION("""COMPUTED_VALUE"""),44298.0)</f>
        <v>44298</v>
      </c>
      <c r="AK115" s="53" t="str">
        <f>IFERROR(IF((AL115+1)&lt;2,Alertas!$B$2&amp;TEXT(AL115,"0%")&amp;Alertas!$D$2, IF((AL115+1)=2,Alertas!$B$3,IF((AL115+1)&gt;2,Alertas!$B$4&amp;TEXT(AL115,"0%")&amp;Alertas!$D$4,AL115+1))),"Sin meta para el cuarto trimestre")</f>
        <v>La ejecución de la meta registrada se encuentra por encima de la meta programada en la formulación del plan de acción para el cuarto trimestre, su porcentaje de cumplimiento es 140%, lo cual indica una sobre ejecución que puede ser entendido por los entes de control como falencias en el proceso de planeación. se recomienda tomar este antecedente como insumo para incrementar la meta en la próxima vigencia</v>
      </c>
      <c r="AL115" s="54">
        <f t="shared" si="2"/>
        <v>1.4</v>
      </c>
      <c r="AM115" s="53" t="str">
        <f t="shared" si="3"/>
        <v>La ejecución de la meta registrada se encuentra por encima de la meta programada en la formulación del plan de acción para el cuarto trimestre, su porcentaje de cumplimiento es 140%, lo cual indica una sobre ejecución que puede ser entendido por los entes de control como falencias en el proceso de planeación. se recomienda tomar este antecedente como insumo para incrementar la meta en la próxima vigencia.</v>
      </c>
      <c r="AN115" s="55"/>
      <c r="AO115" s="56"/>
      <c r="AP115" s="57"/>
      <c r="AQ115" s="57"/>
      <c r="AR115" s="58"/>
      <c r="AS115" s="59"/>
      <c r="AT115" s="60"/>
      <c r="AU115" s="55"/>
      <c r="AV115" s="56"/>
      <c r="AW115" s="61"/>
      <c r="AX115" s="57"/>
      <c r="AY115" s="62"/>
      <c r="AZ115" s="63"/>
      <c r="BA115" s="64"/>
      <c r="BB115" s="65"/>
      <c r="BC115" s="56"/>
      <c r="BD115" s="61"/>
      <c r="BE115" s="57"/>
      <c r="BF115" s="58"/>
      <c r="BG115" s="63"/>
      <c r="BH115" s="64"/>
      <c r="BI115" s="66"/>
      <c r="BK115" s="21" t="str">
        <f t="shared" si="23"/>
        <v>1</v>
      </c>
      <c r="BM115" s="21"/>
    </row>
    <row r="116" ht="33.75" customHeight="1">
      <c r="A116" s="37"/>
      <c r="B116" s="38">
        <f>IFERROR(__xludf.DUMMYFUNCTION("""COMPUTED_VALUE"""),114.0)</f>
        <v>114</v>
      </c>
      <c r="C116" s="39" t="str">
        <f>IFERROR(__xludf.DUMMYFUNCTION("""COMPUTED_VALUE"""),"Gestión de la inspección y vigilancia")</f>
        <v>Gestión de la inspección y vigilancia</v>
      </c>
      <c r="D116" s="40" t="str">
        <f>IFERROR(__xludf.DUMMYFUNCTION("""COMPUTED_VALUE"""),"Regional Barranquilla")</f>
        <v>Regional Barranquilla</v>
      </c>
      <c r="E116"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16" s="40">
        <f>IFERROR(__xludf.DUMMYFUNCTION("""COMPUTED_VALUE"""),2.019011000276E12)</f>
        <v>2019011000276</v>
      </c>
      <c r="G116" s="41" t="str">
        <f>IFERROR(__xludf.DUMMYFUNCTION("""COMPUTED_VALUE"""),"Inspección")</f>
        <v>Inspección</v>
      </c>
      <c r="H116" s="40" t="str">
        <f>IFERROR(__xludf.DUMMYFUNCTION("""COMPUTED_VALUE"""),"Aumentar el conocimiento de la normatividad pesquera y de la acuicultura por parte de la comunidad.")</f>
        <v>Aumentar el conocimiento de la normatividad pesquera y de la acuicultura por parte de la comunidad.</v>
      </c>
      <c r="I116" s="40" t="str">
        <f>IFERROR(__xludf.DUMMYFUNCTION("""COMPUTED_VALUE"""),"Servicio de divulgación y socialización")</f>
        <v>Servicio de divulgación y socialización</v>
      </c>
      <c r="J116" s="40" t="str">
        <f>IFERROR(__xludf.DUMMYFUNCTION("""COMPUTED_VALUE"""),"Implementar las estrategias de socialización y Divulgación a la comunidad")</f>
        <v>Implementar las estrategias de socialización y Divulgación a la comunidad</v>
      </c>
      <c r="K116" s="42" t="str">
        <f>IFERROR(__xludf.DUMMYFUNCTION("""COMPUTED_VALUE"""),"Gestión del área")</f>
        <v>Gestión del área</v>
      </c>
      <c r="L116" s="42" t="str">
        <f>IFERROR(__xludf.DUMMYFUNCTION("""COMPUTED_VALUE"""),"Eficacia")</f>
        <v>Eficacia</v>
      </c>
      <c r="M116" s="42" t="str">
        <f>IFERROR(__xludf.DUMMYFUNCTION("""COMPUTED_VALUE"""),"Número")</f>
        <v>Número</v>
      </c>
      <c r="N116" s="43" t="str">
        <f>IFERROR(__xludf.DUMMYFUNCTION("""COMPUTED_VALUE"""),"Grupo de interes instruidas en implementacion de normatividad pesqueras y acuicola")</f>
        <v>Grupo de interes instruidas en implementacion de normatividad pesqueras y acuicola</v>
      </c>
      <c r="O116" s="44"/>
      <c r="P116" s="45">
        <f>IFERROR(__xludf.DUMMYFUNCTION("""COMPUTED_VALUE"""),30.0)</f>
        <v>30</v>
      </c>
      <c r="Q116" s="46" t="str">
        <f>IFERROR(__xludf.DUMMYFUNCTION("""COMPUTED_VALUE"""),"Instruir a los grupos de interes en el conocimiento y aplicación de la normatividad pesquera y acuicola del pais para el ejercicio de la pesca y la acuicultura")</f>
        <v>Instruir a los grupos de interes en el conocimiento y aplicación de la normatividad pesquera y acuicola del pais para el ejercicio de la pesca y la acuicultura</v>
      </c>
      <c r="R116" s="47" t="str">
        <f>IFERROR(__xludf.DUMMYFUNCTION("""COMPUTED_VALUE"""),"Trimestral")</f>
        <v>Trimestral</v>
      </c>
      <c r="S116" s="45">
        <f>IFERROR(__xludf.DUMMYFUNCTION("""COMPUTED_VALUE"""),5.0)</f>
        <v>5</v>
      </c>
      <c r="T116" s="45">
        <f>IFERROR(__xludf.DUMMYFUNCTION("""COMPUTED_VALUE"""),10.0)</f>
        <v>10</v>
      </c>
      <c r="U116" s="45">
        <f>IFERROR(__xludf.DUMMYFUNCTION("""COMPUTED_VALUE"""),10.0)</f>
        <v>10</v>
      </c>
      <c r="V116" s="45">
        <f>IFERROR(__xludf.DUMMYFUNCTION("""COMPUTED_VALUE"""),5.0)</f>
        <v>5</v>
      </c>
      <c r="W116" s="48" t="str">
        <f>IFERROR(__xludf.DUMMYFUNCTION("""COMPUTED_VALUE"""),"Regional Barranquilla")</f>
        <v>Regional Barranquilla</v>
      </c>
      <c r="X116" s="49" t="str">
        <f>IFERROR(__xludf.DUMMYFUNCTION("""COMPUTED_VALUE"""),"Jorge Roa")</f>
        <v>Jorge Roa</v>
      </c>
      <c r="Y116" s="39" t="str">
        <f>IFERROR(__xludf.DUMMYFUNCTION("""COMPUTED_VALUE"""),"Director Regional")</f>
        <v>Director Regional</v>
      </c>
      <c r="Z116" s="49" t="str">
        <f>IFERROR(__xludf.DUMMYFUNCTION("""COMPUTED_VALUE"""),"jorge.roa@aunap.gov.co")</f>
        <v>jorge.roa@aunap.gov.co</v>
      </c>
      <c r="AA116" s="39" t="str">
        <f>IFERROR(__xludf.DUMMYFUNCTION("""COMPUTED_VALUE"""),"Humanos, Físicos, Financieros, Tecnológicos")</f>
        <v>Humanos, Físicos, Financieros, Tecnológicos</v>
      </c>
      <c r="AB116" s="39" t="str">
        <f>IFERROR(__xludf.DUMMYFUNCTION("""COMPUTED_VALUE"""),"No asociado")</f>
        <v>No asociado</v>
      </c>
      <c r="AC116" s="39" t="str">
        <f>IFERROR(__xludf.DUMMYFUNCTION("""COMPUTED_VALUE"""),"Propiciar la formalización de la pesca y la acuicultura")</f>
        <v>Propiciar la formalización de la pesca y la acuicultura</v>
      </c>
      <c r="AD116" s="39" t="str">
        <f>IFERROR(__xludf.DUMMYFUNCTION("""COMPUTED_VALUE"""),"Gestión con valores para resultados")</f>
        <v>Gestión con valores para resultados</v>
      </c>
      <c r="AE116" s="39" t="str">
        <f>IFERROR(__xludf.DUMMYFUNCTION("""COMPUTED_VALUE"""),"Fortalecimiento Organizacional y Simplificación de Procesos")</f>
        <v>Fortalecimiento Organizacional y Simplificación de Procesos</v>
      </c>
      <c r="AF116" s="39" t="str">
        <f>IFERROR(__xludf.DUMMYFUNCTION("""COMPUTED_VALUE"""),"12. Producción y consumo responsable")</f>
        <v>12. Producción y consumo responsable</v>
      </c>
      <c r="AG116" s="76">
        <f>IFERROR(__xludf.DUMMYFUNCTION("""COMPUTED_VALUE"""),1.0)</f>
        <v>1</v>
      </c>
      <c r="AH116" s="51" t="str">
        <f>IFERROR(__xludf.DUMMYFUNCTION("""COMPUTED_VALUE"""),"Dada la situacion de pandemia las capacitaciones a las grupos de interes escuelas, universidades y sena entre otras se han visto disminuida ")</f>
        <v>Dada la situacion de pandemia las capacitaciones a las grupos de interes escuelas, universidades y sena entre otras se han visto disminuida </v>
      </c>
      <c r="AI116" s="72" t="str">
        <f>IFERROR(__xludf.DUMMYFUNCTION("""COMPUTED_VALUE"""),"https://drive.google.com/drive/folders/118Ruwcu_YuB0TJCQ_krB9jTo4Z8JeVUf?usp=sharing")</f>
        <v>https://drive.google.com/drive/folders/118Ruwcu_YuB0TJCQ_krB9jTo4Z8JeVUf?usp=sharing</v>
      </c>
      <c r="AJ116" s="52">
        <f>IFERROR(__xludf.DUMMYFUNCTION("""COMPUTED_VALUE"""),44298.0)</f>
        <v>44298</v>
      </c>
      <c r="AK116" s="53" t="str">
        <f>IFERROR(IF((AL116+1)&lt;2,Alertas!$B$2&amp;TEXT(AL116,"0%")&amp;Alertas!$D$2, IF((AL116+1)=2,Alertas!$B$3,IF((AL116+1)&gt;2,Alertas!$B$4&amp;TEXT(AL116,"0%")&amp;Alertas!$D$4,AL116+1))),"Sin meta para el cuarto trimestre")</f>
        <v>La ejecución de la meta registrada se encuentra por debajo de la meta programada en la formulación del plan de acción para el cuarto trimestre, su porcentaje de cumplimiento es 20%, lo cual indica un incumplimiento que puede ser entendido por los entes de control como falencias en el proceso de planeación. se recomienda tomar este antecedente como insumo para disminuir la meta en la próxima vigencia</v>
      </c>
      <c r="AL116" s="54">
        <f t="shared" si="2"/>
        <v>0.2</v>
      </c>
      <c r="AM116" s="53" t="str">
        <f t="shared" si="3"/>
        <v>La ejecución de la meta registrada se encuentra por debajo de la meta programada en la formulación del plan de acción para el cuarto trimestre, su porcentaje de cumplimiento es 20%, lo cual indica un incumplimiento que puede ser entendido por los entes de control como falencias en el proceso de planeación. se recomienda tomar este antecedente como insumo para disminuir la meta en la próxima vigencia.</v>
      </c>
      <c r="AN116" s="55"/>
      <c r="AO116" s="56"/>
      <c r="AP116" s="57"/>
      <c r="AQ116" s="57"/>
      <c r="AR116" s="58"/>
      <c r="AS116" s="59"/>
      <c r="AT116" s="60"/>
      <c r="AU116" s="55"/>
      <c r="AV116" s="56"/>
      <c r="AW116" s="61"/>
      <c r="AX116" s="57"/>
      <c r="AY116" s="62"/>
      <c r="AZ116" s="63"/>
      <c r="BA116" s="64"/>
      <c r="BB116" s="65"/>
      <c r="BC116" s="56"/>
      <c r="BD116" s="61"/>
      <c r="BE116" s="57"/>
      <c r="BF116" s="58"/>
      <c r="BG116" s="63"/>
      <c r="BH116" s="64"/>
      <c r="BI116" s="66"/>
      <c r="BK116" s="21" t="str">
        <f t="shared" si="23"/>
        <v>-1</v>
      </c>
      <c r="BM116" s="21"/>
    </row>
    <row r="117" ht="33.75" customHeight="1">
      <c r="A117" s="37"/>
      <c r="B117" s="38">
        <f>IFERROR(__xludf.DUMMYFUNCTION("""COMPUTED_VALUE"""),115.0)</f>
        <v>115</v>
      </c>
      <c r="C117" s="39" t="str">
        <f>IFERROR(__xludf.DUMMYFUNCTION("""COMPUTED_VALUE"""),"Gestión de la inspección y vigilancia")</f>
        <v>Gestión de la inspección y vigilancia</v>
      </c>
      <c r="D117" s="40" t="str">
        <f>IFERROR(__xludf.DUMMYFUNCTION("""COMPUTED_VALUE"""),"Regional Bogotá")</f>
        <v>Regional Bogotá</v>
      </c>
      <c r="E117" s="40" t="str">
        <f>IFERROR(__xludf.DUMMYFUNCTION("""COMPUTED_VALUE"""),"Fortalecimiento de la sostenibilidad del sector pesquero y de la acuicultura en el territorio nacional")</f>
        <v>Fortalecimiento de la sostenibilidad del sector pesquero y de la acuicultura en el territorio nacional</v>
      </c>
      <c r="F117" s="40">
        <f>IFERROR(__xludf.DUMMYFUNCTION("""COMPUTED_VALUE"""),2.01901100028E12)</f>
        <v>2019011000280</v>
      </c>
      <c r="G117" s="41" t="str">
        <f>IFERROR(__xludf.DUMMYFUNCTION("""COMPUTED_VALUE"""),"Sostenibilidad")</f>
        <v>Sostenibilidad</v>
      </c>
      <c r="H117" s="40" t="str">
        <f>IFERROR(__xludf.DUMMYFUNCTION("""COMPUTED_VALUE"""),"Mejorar la explotación de los recursos pesqueros y de la acuicultura.")</f>
        <v>Mejorar la explotación de los recursos pesqueros y de la acuicultura.</v>
      </c>
      <c r="I117" s="40" t="str">
        <f>IFERROR(__xludf.DUMMYFUNCTION("""COMPUTED_VALUE"""),"Servicios de administración de los recurso pesqueros y de la acuicultura")</f>
        <v>Servicios de administración de los recurso pesqueros y de la acuicultura</v>
      </c>
      <c r="J117" s="40" t="str">
        <f>IFERROR(__xludf.DUMMYFUNCTION("""COMPUTED_VALUE"""),"Regular el manejo y el ejercicio de la actividad pesquera y de la acuicultura.")</f>
        <v>Regular el manejo y el ejercicio de la actividad pesquera y de la acuicultura.</v>
      </c>
      <c r="K117" s="42" t="str">
        <f>IFERROR(__xludf.DUMMYFUNCTION("""COMPUTED_VALUE"""),"Producto")</f>
        <v>Producto</v>
      </c>
      <c r="L117" s="42" t="str">
        <f>IFERROR(__xludf.DUMMYFUNCTION("""COMPUTED_VALUE"""),"Eficacia")</f>
        <v>Eficacia</v>
      </c>
      <c r="M117" s="42" t="str">
        <f>IFERROR(__xludf.DUMMYFUNCTION("""COMPUTED_VALUE"""),"Número")</f>
        <v>Número</v>
      </c>
      <c r="N117" s="43" t="str">
        <f>IFERROR(__xludf.DUMMYFUNCTION("""COMPUTED_VALUE"""),"Trámites atendidos")</f>
        <v>Trámites atendidos</v>
      </c>
      <c r="O117" s="44"/>
      <c r="P117" s="45">
        <f>IFERROR(__xludf.DUMMYFUNCTION("""COMPUTED_VALUE"""),750.0)</f>
        <v>750</v>
      </c>
      <c r="Q117" s="46" t="str">
        <f>IFERROR(__xludf.DUMMYFUNCTION("""COMPUTED_VALUE"""),"Atender los Trámites")</f>
        <v>Atender los Trámites</v>
      </c>
      <c r="R117" s="47" t="str">
        <f>IFERROR(__xludf.DUMMYFUNCTION("""COMPUTED_VALUE"""),"Trimestral")</f>
        <v>Trimestral</v>
      </c>
      <c r="S117" s="45">
        <f>IFERROR(__xludf.DUMMYFUNCTION("""COMPUTED_VALUE"""),120.0)</f>
        <v>120</v>
      </c>
      <c r="T117" s="45">
        <f>IFERROR(__xludf.DUMMYFUNCTION("""COMPUTED_VALUE"""),110.0)</f>
        <v>110</v>
      </c>
      <c r="U117" s="45">
        <f>IFERROR(__xludf.DUMMYFUNCTION("""COMPUTED_VALUE"""),260.0)</f>
        <v>260</v>
      </c>
      <c r="V117" s="45">
        <f>IFERROR(__xludf.DUMMYFUNCTION("""COMPUTED_VALUE"""),260.0)</f>
        <v>260</v>
      </c>
      <c r="W117" s="48" t="str">
        <f>IFERROR(__xludf.DUMMYFUNCTION("""COMPUTED_VALUE"""),"Regional Bogota")</f>
        <v>Regional Bogota</v>
      </c>
      <c r="X117" s="49" t="str">
        <f>IFERROR(__xludf.DUMMYFUNCTION("""COMPUTED_VALUE"""),"Carlos Augusto Borda Rodriguez")</f>
        <v>Carlos Augusto Borda Rodriguez</v>
      </c>
      <c r="Y117" s="39" t="str">
        <f>IFERROR(__xludf.DUMMYFUNCTION("""COMPUTED_VALUE"""),"Director Regional Bogotá")</f>
        <v>Director Regional Bogotá</v>
      </c>
      <c r="Z117" s="49" t="str">
        <f>IFERROR(__xludf.DUMMYFUNCTION("""COMPUTED_VALUE"""),"carlos.borda@aunap.gov.co")</f>
        <v>carlos.borda@aunap.gov.co</v>
      </c>
      <c r="AA117" s="39" t="str">
        <f>IFERROR(__xludf.DUMMYFUNCTION("""COMPUTED_VALUE"""),"Humanos, Físicos, Financieros, Tecnológicos")</f>
        <v>Humanos, Físicos, Financieros, Tecnológicos</v>
      </c>
      <c r="AB117" s="39" t="str">
        <f>IFERROR(__xludf.DUMMYFUNCTION("""COMPUTED_VALUE"""),"No asociado")</f>
        <v>No asociado</v>
      </c>
      <c r="AC117" s="39" t="str">
        <f>IFERROR(__xludf.DUMMYFUNCTION("""COMPUTED_VALUE"""),"Llegar con actividades de pesca y acuicultura a todas las regiones")</f>
        <v>Llegar con actividades de pesca y acuicultura a todas las regiones</v>
      </c>
      <c r="AD117" s="39" t="str">
        <f>IFERROR(__xludf.DUMMYFUNCTION("""COMPUTED_VALUE"""),"Gestión con valores para resultados")</f>
        <v>Gestión con valores para resultados</v>
      </c>
      <c r="AE117" s="39" t="str">
        <f>IFERROR(__xludf.DUMMYFUNCTION("""COMPUTED_VALUE"""),"Fortalecimiento Organizacional y Simplificación de Procesos")</f>
        <v>Fortalecimiento Organizacional y Simplificación de Procesos</v>
      </c>
      <c r="AF117" s="39" t="str">
        <f>IFERROR(__xludf.DUMMYFUNCTION("""COMPUTED_VALUE"""),"12. Producción y consumo responsable")</f>
        <v>12. Producción y consumo responsable</v>
      </c>
      <c r="AG117" s="76">
        <f>IFERROR(__xludf.DUMMYFUNCTION("""COMPUTED_VALUE"""),57.0)</f>
        <v>57</v>
      </c>
      <c r="AH117" s="51" t="str">
        <f>IFERROR(__xludf.DUMMYFUNCTION("""COMPUTED_VALUE"""),"La gestion de tramites, especialmente en region se vio afectada por la demora en el proceso de contratación de los contratistas")</f>
        <v>La gestion de tramites, especialmente en region se vio afectada por la demora en el proceso de contratación de los contratistas</v>
      </c>
      <c r="AI117" s="72" t="str">
        <f>IFERROR(__xludf.DUMMYFUNCTION("""COMPUTED_VALUE"""),"https://drive.google.com/drive/folders/1k_0LKjHzDRDwTQMiLw5rSUAp3KfLmBcm")</f>
        <v>https://drive.google.com/drive/folders/1k_0LKjHzDRDwTQMiLw5rSUAp3KfLmBcm</v>
      </c>
      <c r="AJ117" s="52">
        <f>IFERROR(__xludf.DUMMYFUNCTION("""COMPUTED_VALUE"""),44298.0)</f>
        <v>44298</v>
      </c>
      <c r="AK117" s="53" t="str">
        <f>IFERROR(IF((AL117+1)&lt;2,Alertas!$B$2&amp;TEXT(AL117,"0%")&amp;Alertas!$D$2, IF((AL117+1)=2,Alertas!$B$3,IF((AL117+1)&gt;2,Alertas!$B$4&amp;TEXT(AL117,"0%")&amp;Alertas!$D$4,AL117+1))),"Sin meta para el cuarto trimestre")</f>
        <v>La ejecución de la meta registrada se encuentra por debajo de la meta programada en la formulación del plan de acción para el cuarto trimestre, su porcentaje de cumplimiento es 22%, lo cual indica un incumplimiento que puede ser entendido por los entes de control como falencias en el proceso de planeación. se recomienda tomar este antecedente como insumo para disminuir la meta en la próxima vigencia</v>
      </c>
      <c r="AL117" s="54">
        <f t="shared" si="2"/>
        <v>0.2192307692</v>
      </c>
      <c r="AM117" s="53" t="str">
        <f t="shared" si="3"/>
        <v>La ejecución de la meta registrada se encuentra por debajo de la meta programada en la formulación del plan de acción para el cuarto trimestre, su porcentaje de cumplimiento es 22%, lo cual indica un incumplimiento que puede ser entendido por los entes de control como falencias en el proceso de planeación. se recomienda tomar este antecedente como insumo para disminuir la meta en la próxima vigencia.</v>
      </c>
      <c r="AN117" s="55"/>
      <c r="AO117" s="56"/>
      <c r="AP117" s="57"/>
      <c r="AQ117" s="57"/>
      <c r="AR117" s="58"/>
      <c r="AS117" s="59"/>
      <c r="AT117" s="60"/>
      <c r="AU117" s="55"/>
      <c r="AV117" s="56"/>
      <c r="AW117" s="61"/>
      <c r="AX117" s="57"/>
      <c r="AY117" s="62"/>
      <c r="AZ117" s="63"/>
      <c r="BA117" s="64"/>
      <c r="BB117" s="65"/>
      <c r="BC117" s="56"/>
      <c r="BD117" s="61"/>
      <c r="BE117" s="57"/>
      <c r="BF117" s="58"/>
      <c r="BG117" s="63"/>
      <c r="BH117" s="64"/>
      <c r="BI117" s="66"/>
      <c r="BK117" s="21" t="str">
        <f t="shared" si="23"/>
        <v>-1</v>
      </c>
      <c r="BM117" s="21"/>
    </row>
    <row r="118" ht="33.75" customHeight="1">
      <c r="A118" s="37"/>
      <c r="B118" s="38">
        <f>IFERROR(__xludf.DUMMYFUNCTION("""COMPUTED_VALUE"""),116.0)</f>
        <v>116</v>
      </c>
      <c r="C118" s="39" t="str">
        <f>IFERROR(__xludf.DUMMYFUNCTION("""COMPUTED_VALUE"""),"Gestión de la inspección y vigilancia")</f>
        <v>Gestión de la inspección y vigilancia</v>
      </c>
      <c r="D118" s="40" t="str">
        <f>IFERROR(__xludf.DUMMYFUNCTION("""COMPUTED_VALUE"""),"Regional Bogotá")</f>
        <v>Regional Bogotá</v>
      </c>
      <c r="E118" s="40" t="str">
        <f>IFERROR(__xludf.DUMMYFUNCTION("""COMPUTED_VALUE"""),"Fortalecimiento de la sostenibilidad del sector pesquero y de la acuicultura en el territorio nacional")</f>
        <v>Fortalecimiento de la sostenibilidad del sector pesquero y de la acuicultura en el territorio nacional</v>
      </c>
      <c r="F118" s="40">
        <f>IFERROR(__xludf.DUMMYFUNCTION("""COMPUTED_VALUE"""),2.01901100028E12)</f>
        <v>2019011000280</v>
      </c>
      <c r="G118" s="41" t="str">
        <f>IFERROR(__xludf.DUMMYFUNCTION("""COMPUTED_VALUE"""),"Sostenibilidad")</f>
        <v>Sostenibilidad</v>
      </c>
      <c r="H118" s="40" t="str">
        <f>IFERROR(__xludf.DUMMYFUNCTION("""COMPUTED_VALUE"""),"Mejorar la explotación de los recursos pesqueros y de la acuicultura.")</f>
        <v>Mejorar la explotación de los recursos pesqueros y de la acuicultura.</v>
      </c>
      <c r="I118" s="40" t="str">
        <f>IFERROR(__xludf.DUMMYFUNCTION("""COMPUTED_VALUE"""),"2-Servicios de apoyo a las estaciones de acuicultura")</f>
        <v>2-Servicios de apoyo a las estaciones de acuicultura</v>
      </c>
      <c r="J118" s="40" t="str">
        <f>IFERROR(__xludf.DUMMYFUNCTION("""COMPUTED_VALUE"""),"Producir alevinos para el sector productivo y/o con fines de repoblamiento.")</f>
        <v>Producir alevinos para el sector productivo y/o con fines de repoblamiento.</v>
      </c>
      <c r="K118" s="42" t="str">
        <f>IFERROR(__xludf.DUMMYFUNCTION("""COMPUTED_VALUE"""),"Producto")</f>
        <v>Producto</v>
      </c>
      <c r="L118" s="42" t="str">
        <f>IFERROR(__xludf.DUMMYFUNCTION("""COMPUTED_VALUE"""),"Eficacia")</f>
        <v>Eficacia</v>
      </c>
      <c r="M118" s="42" t="str">
        <f>IFERROR(__xludf.DUMMYFUNCTION("""COMPUTED_VALUE"""),"Número")</f>
        <v>Número</v>
      </c>
      <c r="N118" s="43" t="str">
        <f>IFERROR(__xludf.DUMMYFUNCTION("""COMPUTED_VALUE"""),"Alevinos producidos")</f>
        <v>Alevinos producidos</v>
      </c>
      <c r="O118" s="44"/>
      <c r="P118" s="45">
        <f>IFERROR(__xludf.DUMMYFUNCTION("""COMPUTED_VALUE"""),6100000.0)</f>
        <v>6100000</v>
      </c>
      <c r="Q118" s="46" t="str">
        <f>IFERROR(__xludf.DUMMYFUNCTION("""COMPUTED_VALUE"""),"Producir Alevinos")</f>
        <v>Producir Alevinos</v>
      </c>
      <c r="R118" s="47" t="str">
        <f>IFERROR(__xludf.DUMMYFUNCTION("""COMPUTED_VALUE"""),"Trimestral")</f>
        <v>Trimestral</v>
      </c>
      <c r="S118" s="45">
        <f>IFERROR(__xludf.DUMMYFUNCTION("""COMPUTED_VALUE"""),600000.0)</f>
        <v>600000</v>
      </c>
      <c r="T118" s="45">
        <f>IFERROR(__xludf.DUMMYFUNCTION("""COMPUTED_VALUE"""),1500000.0)</f>
        <v>1500000</v>
      </c>
      <c r="U118" s="45">
        <f>IFERROR(__xludf.DUMMYFUNCTION("""COMPUTED_VALUE"""),2000000.0)</f>
        <v>2000000</v>
      </c>
      <c r="V118" s="45">
        <f>IFERROR(__xludf.DUMMYFUNCTION("""COMPUTED_VALUE"""),2000000.0)</f>
        <v>2000000</v>
      </c>
      <c r="W118" s="48" t="str">
        <f>IFERROR(__xludf.DUMMYFUNCTION("""COMPUTED_VALUE"""),"Regional Bogota")</f>
        <v>Regional Bogota</v>
      </c>
      <c r="X118" s="49" t="str">
        <f>IFERROR(__xludf.DUMMYFUNCTION("""COMPUTED_VALUE"""),"Carlos Augusto Borda Rodriguez")</f>
        <v>Carlos Augusto Borda Rodriguez</v>
      </c>
      <c r="Y118" s="39" t="str">
        <f>IFERROR(__xludf.DUMMYFUNCTION("""COMPUTED_VALUE"""),"Director Regional Bogotá")</f>
        <v>Director Regional Bogotá</v>
      </c>
      <c r="Z118" s="49" t="str">
        <f>IFERROR(__xludf.DUMMYFUNCTION("""COMPUTED_VALUE"""),"carlos.borda@aunap.gov.co")</f>
        <v>carlos.borda@aunap.gov.co</v>
      </c>
      <c r="AA118" s="39" t="str">
        <f>IFERROR(__xludf.DUMMYFUNCTION("""COMPUTED_VALUE"""),"Humanos, Físicos, Financieros, Tecnológicos")</f>
        <v>Humanos, Físicos, Financieros, Tecnológicos</v>
      </c>
      <c r="AB118" s="39" t="str">
        <f>IFERROR(__xludf.DUMMYFUNCTION("""COMPUTED_VALUE"""),"No asociado")</f>
        <v>No asociado</v>
      </c>
      <c r="AC118" s="39" t="str">
        <f>IFERROR(__xludf.DUMMYFUNCTION("""COMPUTED_VALUE"""),"Propiciar la formalización de la pesca y la acuicultura")</f>
        <v>Propiciar la formalización de la pesca y la acuicultura</v>
      </c>
      <c r="AD118" s="39" t="str">
        <f>IFERROR(__xludf.DUMMYFUNCTION("""COMPUTED_VALUE"""),"Gestión con valores para resultados")</f>
        <v>Gestión con valores para resultados</v>
      </c>
      <c r="AE118" s="39" t="str">
        <f>IFERROR(__xludf.DUMMYFUNCTION("""COMPUTED_VALUE"""),"Fortalecimiento Organizacional y Simplificación de Procesos")</f>
        <v>Fortalecimiento Organizacional y Simplificación de Procesos</v>
      </c>
      <c r="AF118" s="39" t="str">
        <f>IFERROR(__xludf.DUMMYFUNCTION("""COMPUTED_VALUE"""),"12. Producción y consumo responsable")</f>
        <v>12. Producción y consumo responsable</v>
      </c>
      <c r="AG118" s="76">
        <f>IFERROR(__xludf.DUMMYFUNCTION("""COMPUTED_VALUE"""),0.0)</f>
        <v>0</v>
      </c>
      <c r="AH118" s="51" t="str">
        <f>IFERROR(__xludf.DUMMYFUNCTION("""COMPUTED_VALUE"""),"A la fecha se estan adelantando los tramites para la generacipon del convenio para el suministro de alimento e insumos para el correcto desempeño de la estación")</f>
        <v>A la fecha se estan adelantando los tramites para la generacipon del convenio para el suministro de alimento e insumos para el correcto desempeño de la estación</v>
      </c>
      <c r="AI118" s="72" t="str">
        <f>IFERROR(__xludf.DUMMYFUNCTION("""COMPUTED_VALUE"""),"https://drive.google.com/drive/folders/1k_0LKjHzDRDwTQMiLw5rSUAp3KfLmBcm")</f>
        <v>https://drive.google.com/drive/folders/1k_0LKjHzDRDwTQMiLw5rSUAp3KfLmBcm</v>
      </c>
      <c r="AJ118" s="52">
        <f>IFERROR(__xludf.DUMMYFUNCTION("""COMPUTED_VALUE"""),44298.0)</f>
        <v>44298</v>
      </c>
      <c r="AK118" s="53" t="str">
        <f>IFERROR(IF((AL118+1)&lt;2,Alertas!$B$2&amp;TEXT(AL118,"0%")&amp;Alertas!$D$2, IF((AL118+1)=2,Alertas!$B$3,IF((AL118+1)&gt;2,Alertas!$B$4&amp;TEXT(AL118,"0%")&amp;Alertas!$D$4,AL118+1))),"Sin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18" s="54">
        <f t="shared" si="2"/>
        <v>0</v>
      </c>
      <c r="AM118"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18" s="55"/>
      <c r="AO118" s="56"/>
      <c r="AP118" s="57"/>
      <c r="AQ118" s="57"/>
      <c r="AR118" s="58"/>
      <c r="AS118" s="59"/>
      <c r="AT118" s="60"/>
      <c r="AU118" s="55"/>
      <c r="AV118" s="56"/>
      <c r="AW118" s="61"/>
      <c r="AX118" s="57"/>
      <c r="AY118" s="62"/>
      <c r="AZ118" s="63"/>
      <c r="BA118" s="64"/>
      <c r="BB118" s="65"/>
      <c r="BC118" s="56"/>
      <c r="BD118" s="61"/>
      <c r="BE118" s="57"/>
      <c r="BF118" s="58"/>
      <c r="BG118" s="63"/>
      <c r="BH118" s="64"/>
      <c r="BI118" s="66"/>
      <c r="BK118" s="21" t="str">
        <f t="shared" si="23"/>
        <v>-1</v>
      </c>
      <c r="BM118" s="21"/>
    </row>
    <row r="119" ht="33.75" customHeight="1">
      <c r="A119" s="37"/>
      <c r="B119" s="38">
        <f>IFERROR(__xludf.DUMMYFUNCTION("""COMPUTED_VALUE"""),117.0)</f>
        <v>117</v>
      </c>
      <c r="C119" s="39" t="str">
        <f>IFERROR(__xludf.DUMMYFUNCTION("""COMPUTED_VALUE"""),"Gestión de la inspección y vigilancia")</f>
        <v>Gestión de la inspección y vigilancia</v>
      </c>
      <c r="D119" s="40" t="str">
        <f>IFERROR(__xludf.DUMMYFUNCTION("""COMPUTED_VALUE"""),"Regional Bogotá")</f>
        <v>Regional Bogotá</v>
      </c>
      <c r="E119" s="40" t="str">
        <f>IFERROR(__xludf.DUMMYFUNCTION("""COMPUTED_VALUE"""),"Fortalecimiento de la sostenibilidad del sector pesquero y de la acuicultura en el territorio nacional")</f>
        <v>Fortalecimiento de la sostenibilidad del sector pesquero y de la acuicultura en el territorio nacional</v>
      </c>
      <c r="F119" s="40">
        <f>IFERROR(__xludf.DUMMYFUNCTION("""COMPUTED_VALUE"""),2.01901100028E12)</f>
        <v>2019011000280</v>
      </c>
      <c r="G119" s="41" t="str">
        <f>IFERROR(__xludf.DUMMYFUNCTION("""COMPUTED_VALUE"""),"Sostenibilidad")</f>
        <v>Sostenibilidad</v>
      </c>
      <c r="H119" s="40" t="str">
        <f>IFERROR(__xludf.DUMMYFUNCTION("""COMPUTED_VALUE"""),"Mejorar la explotación de los recursos pesqueros y de la acuicultura.")</f>
        <v>Mejorar la explotación de los recursos pesqueros y de la acuicultura.</v>
      </c>
      <c r="I119" s="40" t="str">
        <f>IFERROR(__xludf.DUMMYFUNCTION("""COMPUTED_VALUE"""),"3-Servicios de apoyo a las estaciones de acuicultura")</f>
        <v>3-Servicios de apoyo a las estaciones de acuicultura</v>
      </c>
      <c r="J119" s="40" t="str">
        <f>IFERROR(__xludf.DUMMYFUNCTION("""COMPUTED_VALUE"""),"Desarrollar acciones de extensión rural a través de las estaciones de acuicultura")</f>
        <v>Desarrollar acciones de extensión rural a través de las estaciones de acuicultura</v>
      </c>
      <c r="K119" s="42" t="str">
        <f>IFERROR(__xludf.DUMMYFUNCTION("""COMPUTED_VALUE"""),"Producto")</f>
        <v>Producto</v>
      </c>
      <c r="L119" s="42" t="str">
        <f>IFERROR(__xludf.DUMMYFUNCTION("""COMPUTED_VALUE"""),"Eficacia")</f>
        <v>Eficacia</v>
      </c>
      <c r="M119" s="42" t="str">
        <f>IFERROR(__xludf.DUMMYFUNCTION("""COMPUTED_VALUE"""),"Número")</f>
        <v>Número</v>
      </c>
      <c r="N119" s="43" t="str">
        <f>IFERROR(__xludf.DUMMYFUNCTION("""COMPUTED_VALUE"""),"Eventos realizados")</f>
        <v>Eventos realizados</v>
      </c>
      <c r="O119" s="44"/>
      <c r="P119" s="45">
        <f>IFERROR(__xludf.DUMMYFUNCTION("""COMPUTED_VALUE"""),7.0)</f>
        <v>7</v>
      </c>
      <c r="Q119" s="46" t="str">
        <f>IFERROR(__xludf.DUMMYFUNCTION("""COMPUTED_VALUE"""),"Realizar Eventos de Extención Rural")</f>
        <v>Realizar Eventos de Extención Rural</v>
      </c>
      <c r="R119" s="47" t="str">
        <f>IFERROR(__xludf.DUMMYFUNCTION("""COMPUTED_VALUE"""),"Trimestral")</f>
        <v>Trimestral</v>
      </c>
      <c r="S119" s="45">
        <f>IFERROR(__xludf.DUMMYFUNCTION("""COMPUTED_VALUE"""),1.0)</f>
        <v>1</v>
      </c>
      <c r="T119" s="45">
        <f>IFERROR(__xludf.DUMMYFUNCTION("""COMPUTED_VALUE"""),1.0)</f>
        <v>1</v>
      </c>
      <c r="U119" s="45">
        <f>IFERROR(__xludf.DUMMYFUNCTION("""COMPUTED_VALUE"""),2.0)</f>
        <v>2</v>
      </c>
      <c r="V119" s="45">
        <f>IFERROR(__xludf.DUMMYFUNCTION("""COMPUTED_VALUE"""),3.0)</f>
        <v>3</v>
      </c>
      <c r="W119" s="48" t="str">
        <f>IFERROR(__xludf.DUMMYFUNCTION("""COMPUTED_VALUE"""),"Regional Bogota")</f>
        <v>Regional Bogota</v>
      </c>
      <c r="X119" s="49" t="str">
        <f>IFERROR(__xludf.DUMMYFUNCTION("""COMPUTED_VALUE"""),"Carlos Augusto Borda Rodriguez")</f>
        <v>Carlos Augusto Borda Rodriguez</v>
      </c>
      <c r="Y119" s="39" t="str">
        <f>IFERROR(__xludf.DUMMYFUNCTION("""COMPUTED_VALUE"""),"Director Regional Bogotá")</f>
        <v>Director Regional Bogotá</v>
      </c>
      <c r="Z119" s="49" t="str">
        <f>IFERROR(__xludf.DUMMYFUNCTION("""COMPUTED_VALUE"""),"carlos.borda@aunap.gov.co")</f>
        <v>carlos.borda@aunap.gov.co</v>
      </c>
      <c r="AA119" s="39" t="str">
        <f>IFERROR(__xludf.DUMMYFUNCTION("""COMPUTED_VALUE"""),"Humanos, Físicos, Financieros, Tecnológicos")</f>
        <v>Humanos, Físicos, Financieros, Tecnológicos</v>
      </c>
      <c r="AB119" s="39" t="str">
        <f>IFERROR(__xludf.DUMMYFUNCTION("""COMPUTED_VALUE"""),"No asociado")</f>
        <v>No asociado</v>
      </c>
      <c r="AC119" s="39" t="str">
        <f>IFERROR(__xludf.DUMMYFUNCTION("""COMPUTED_VALUE"""),"Llegar con actividades de pesca y acuicultura a todas las regiones")</f>
        <v>Llegar con actividades de pesca y acuicultura a todas las regiones</v>
      </c>
      <c r="AD119" s="39" t="str">
        <f>IFERROR(__xludf.DUMMYFUNCTION("""COMPUTED_VALUE"""),"Gestión con valores para resultados")</f>
        <v>Gestión con valores para resultados</v>
      </c>
      <c r="AE119" s="39" t="str">
        <f>IFERROR(__xludf.DUMMYFUNCTION("""COMPUTED_VALUE"""),"Fortalecimiento Organizacional y Simplificación de Procesos")</f>
        <v>Fortalecimiento Organizacional y Simplificación de Procesos</v>
      </c>
      <c r="AF119" s="39" t="str">
        <f>IFERROR(__xludf.DUMMYFUNCTION("""COMPUTED_VALUE"""),"12. Producción y consumo responsable")</f>
        <v>12. Producción y consumo responsable</v>
      </c>
      <c r="AG119" s="76">
        <f>IFERROR(__xludf.DUMMYFUNCTION("""COMPUTED_VALUE"""),0.0)</f>
        <v>0</v>
      </c>
      <c r="AH119" s="51" t="str">
        <f>IFERROR(__xludf.DUMMYFUNCTION("""COMPUTED_VALUE"""),"La gestion de tramites, especialmente en region se vio afectada por la demora en el proceso de contratación de los contratistas")</f>
        <v>La gestion de tramites, especialmente en region se vio afectada por la demora en el proceso de contratación de los contratistas</v>
      </c>
      <c r="AI119" s="72" t="str">
        <f>IFERROR(__xludf.DUMMYFUNCTION("""COMPUTED_VALUE"""),"https://drive.google.com/drive/folders/1k_0LKjHzDRDwTQMiLw5rSUAp3KfLmBcm")</f>
        <v>https://drive.google.com/drive/folders/1k_0LKjHzDRDwTQMiLw5rSUAp3KfLmBcm</v>
      </c>
      <c r="AJ119" s="52">
        <f>IFERROR(__xludf.DUMMYFUNCTION("""COMPUTED_VALUE"""),44298.0)</f>
        <v>44298</v>
      </c>
      <c r="AK119" s="53" t="str">
        <f>IFERROR(IF((AL119+1)&lt;2,Alertas!$B$2&amp;TEXT(AL119,"0%")&amp;Alertas!$D$2, IF((AL119+1)=2,Alertas!$B$3,IF((AL119+1)&gt;2,Alertas!$B$4&amp;TEXT(AL119,"0%")&amp;Alertas!$D$4,AL119+1))),"Sin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19" s="54">
        <f t="shared" si="2"/>
        <v>0</v>
      </c>
      <c r="AM119"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19" s="55"/>
      <c r="AO119" s="56"/>
      <c r="AP119" s="57"/>
      <c r="AQ119" s="57"/>
      <c r="AR119" s="58"/>
      <c r="AS119" s="59"/>
      <c r="AT119" s="60"/>
      <c r="AU119" s="55"/>
      <c r="AV119" s="56"/>
      <c r="AW119" s="61"/>
      <c r="AX119" s="57"/>
      <c r="AY119" s="62"/>
      <c r="AZ119" s="63"/>
      <c r="BA119" s="64"/>
      <c r="BB119" s="65"/>
      <c r="BC119" s="56"/>
      <c r="BD119" s="61"/>
      <c r="BE119" s="57"/>
      <c r="BF119" s="58"/>
      <c r="BG119" s="63"/>
      <c r="BH119" s="64"/>
      <c r="BI119" s="66"/>
      <c r="BK119" s="21" t="str">
        <f t="shared" si="23"/>
        <v>-1</v>
      </c>
      <c r="BM119" s="21"/>
    </row>
    <row r="120" ht="33.75" customHeight="1">
      <c r="A120" s="37"/>
      <c r="B120" s="38">
        <f>IFERROR(__xludf.DUMMYFUNCTION("""COMPUTED_VALUE"""),118.0)</f>
        <v>118</v>
      </c>
      <c r="C120" s="39" t="str">
        <f>IFERROR(__xludf.DUMMYFUNCTION("""COMPUTED_VALUE"""),"Gestión de la inspección y vigilancia")</f>
        <v>Gestión de la inspección y vigilancia</v>
      </c>
      <c r="D120" s="40" t="str">
        <f>IFERROR(__xludf.DUMMYFUNCTION("""COMPUTED_VALUE"""),"Regional Bogotá")</f>
        <v>Regional Bogotá</v>
      </c>
      <c r="E120" s="40" t="str">
        <f>IFERROR(__xludf.DUMMYFUNCTION("""COMPUTED_VALUE"""),"Fortalecimiento de la sostenibilidad del sector pesquero y de la acuicultura en el territorio nacional")</f>
        <v>Fortalecimiento de la sostenibilidad del sector pesquero y de la acuicultura en el territorio nacional</v>
      </c>
      <c r="F120" s="40">
        <f>IFERROR(__xludf.DUMMYFUNCTION("""COMPUTED_VALUE"""),2.01901100028E12)</f>
        <v>2019011000280</v>
      </c>
      <c r="G120" s="41" t="str">
        <f>IFERROR(__xludf.DUMMYFUNCTION("""COMPUTED_VALUE"""),"Sostenibilidad")</f>
        <v>Sostenibilidad</v>
      </c>
      <c r="H120" s="40" t="str">
        <f>IFERROR(__xludf.DUMMYFUNCTION("""COMPUTED_VALUE"""),"Mejorar la explotación de los recursos pesqueros y de la acuicultura.")</f>
        <v>Mejorar la explotación de los recursos pesqueros y de la acuicultura.</v>
      </c>
      <c r="I120" s="40" t="str">
        <f>IFERROR(__xludf.DUMMYFUNCTION("""COMPUTED_VALUE"""),"Servicios de administración de los recurso pesqueros y de la acuicultura")</f>
        <v>Servicios de administración de los recurso pesqueros y de la acuicultura</v>
      </c>
      <c r="J120" s="40" t="str">
        <f>IFERROR(__xludf.DUMMYFUNCTION("""COMPUTED_VALUE"""),"Realizar acciones de divulgación y formalización de la actividad pesquera y de la acuicultura.")</f>
        <v>Realizar acciones de divulgación y formalización de la actividad pesquera y de la acuicultura.</v>
      </c>
      <c r="K120" s="42" t="str">
        <f>IFERROR(__xludf.DUMMYFUNCTION("""COMPUTED_VALUE"""),"Gestión del área")</f>
        <v>Gestión del área</v>
      </c>
      <c r="L120" s="42" t="str">
        <f>IFERROR(__xludf.DUMMYFUNCTION("""COMPUTED_VALUE"""),"Eficacia")</f>
        <v>Eficacia</v>
      </c>
      <c r="M120" s="42" t="str">
        <f>IFERROR(__xludf.DUMMYFUNCTION("""COMPUTED_VALUE"""),"Número")</f>
        <v>Número</v>
      </c>
      <c r="N120" s="43" t="str">
        <f>IFERROR(__xludf.DUMMYFUNCTION("""COMPUTED_VALUE"""),"Número de capacitaciones realizadas/Número de capacitaciones programadas")</f>
        <v>Número de capacitaciones realizadas/Número de capacitaciones programadas</v>
      </c>
      <c r="O120" s="44"/>
      <c r="P120" s="45">
        <f>IFERROR(__xludf.DUMMYFUNCTION("""COMPUTED_VALUE"""),90.0)</f>
        <v>90</v>
      </c>
      <c r="Q120" s="46" t="str">
        <f>IFERROR(__xludf.DUMMYFUNCTION("""COMPUTED_VALUE"""),"Realizar capacitaciones a los grupos de interés en asociatividad y normatividad para el ejercicio de la acuicultura, pesca y actividades conexas")</f>
        <v>Realizar capacitaciones a los grupos de interés en asociatividad y normatividad para el ejercicio de la acuicultura, pesca y actividades conexas</v>
      </c>
      <c r="R120" s="47" t="str">
        <f>IFERROR(__xludf.DUMMYFUNCTION("""COMPUTED_VALUE"""),"Trimestral")</f>
        <v>Trimestral</v>
      </c>
      <c r="S120" s="45">
        <f>IFERROR(__xludf.DUMMYFUNCTION("""COMPUTED_VALUE"""),15.0)</f>
        <v>15</v>
      </c>
      <c r="T120" s="45">
        <f>IFERROR(__xludf.DUMMYFUNCTION("""COMPUTED_VALUE"""),20.0)</f>
        <v>20</v>
      </c>
      <c r="U120" s="45">
        <f>IFERROR(__xludf.DUMMYFUNCTION("""COMPUTED_VALUE"""),30.0)</f>
        <v>30</v>
      </c>
      <c r="V120" s="45">
        <f>IFERROR(__xludf.DUMMYFUNCTION("""COMPUTED_VALUE"""),25.0)</f>
        <v>25</v>
      </c>
      <c r="W120" s="48" t="str">
        <f>IFERROR(__xludf.DUMMYFUNCTION("""COMPUTED_VALUE"""),"Regional Bogota")</f>
        <v>Regional Bogota</v>
      </c>
      <c r="X120" s="49" t="str">
        <f>IFERROR(__xludf.DUMMYFUNCTION("""COMPUTED_VALUE"""),"Carlos Augusto Borda Rodriguez")</f>
        <v>Carlos Augusto Borda Rodriguez</v>
      </c>
      <c r="Y120" s="39" t="str">
        <f>IFERROR(__xludf.DUMMYFUNCTION("""COMPUTED_VALUE"""),"Director Regional Bogotá")</f>
        <v>Director Regional Bogotá</v>
      </c>
      <c r="Z120" s="49" t="str">
        <f>IFERROR(__xludf.DUMMYFUNCTION("""COMPUTED_VALUE"""),"carlos.borda@aunap.gov.co")</f>
        <v>carlos.borda@aunap.gov.co</v>
      </c>
      <c r="AA120" s="39" t="str">
        <f>IFERROR(__xludf.DUMMYFUNCTION("""COMPUTED_VALUE"""),"Humanos, Físicos, Financieros, Tecnológicos")</f>
        <v>Humanos, Físicos, Financieros, Tecnológicos</v>
      </c>
      <c r="AB120" s="39" t="str">
        <f>IFERROR(__xludf.DUMMYFUNCTION("""COMPUTED_VALUE"""),"No asociado")</f>
        <v>No asociado</v>
      </c>
      <c r="AC120" s="39" t="str">
        <f>IFERROR(__xludf.DUMMYFUNCTION("""COMPUTED_VALUE"""),"Llegar con actividades de pesca y acuicultura a todas las regiones")</f>
        <v>Llegar con actividades de pesca y acuicultura a todas las regiones</v>
      </c>
      <c r="AD120" s="39" t="str">
        <f>IFERROR(__xludf.DUMMYFUNCTION("""COMPUTED_VALUE"""),"Gestión con valores para resultados")</f>
        <v>Gestión con valores para resultados</v>
      </c>
      <c r="AE120" s="39" t="str">
        <f>IFERROR(__xludf.DUMMYFUNCTION("""COMPUTED_VALUE"""),"Fortalecimiento Organizacional y Simplificación de Procesos")</f>
        <v>Fortalecimiento Organizacional y Simplificación de Procesos</v>
      </c>
      <c r="AF120" s="39" t="str">
        <f>IFERROR(__xludf.DUMMYFUNCTION("""COMPUTED_VALUE"""),"12. Producción y consumo responsable")</f>
        <v>12. Producción y consumo responsable</v>
      </c>
      <c r="AG120" s="76">
        <f>IFERROR(__xludf.DUMMYFUNCTION("""COMPUTED_VALUE"""),4.0)</f>
        <v>4</v>
      </c>
      <c r="AH120" s="51" t="str">
        <f>IFERROR(__xludf.DUMMYFUNCTION("""COMPUTED_VALUE"""),"Las acciones realizadas se hicieron de acuerdo con las solicitudes recibidas y en cumplimiento con las normas de bioseguridad establecidas")</f>
        <v>Las acciones realizadas se hicieron de acuerdo con las solicitudes recibidas y en cumplimiento con las normas de bioseguridad establecidas</v>
      </c>
      <c r="AI120" s="72" t="str">
        <f>IFERROR(__xludf.DUMMYFUNCTION("""COMPUTED_VALUE"""),"https://drive.google.com/drive/folders/1k_0LKjHzDRDwTQMiLw5rSUAp3KfLmBcm")</f>
        <v>https://drive.google.com/drive/folders/1k_0LKjHzDRDwTQMiLw5rSUAp3KfLmBcm</v>
      </c>
      <c r="AJ120" s="52">
        <f>IFERROR(__xludf.DUMMYFUNCTION("""COMPUTED_VALUE"""),44298.0)</f>
        <v>44298</v>
      </c>
      <c r="AK120" s="53" t="str">
        <f>IFERROR(IF((AL120+1)&lt;2,Alertas!$B$2&amp;TEXT(AL120,"0%")&amp;Alertas!$D$2, IF((AL120+1)=2,Alertas!$B$3,IF((AL120+1)&gt;2,Alertas!$B$4&amp;TEXT(AL120,"0%")&amp;Alertas!$D$4,AL120+1))),"Sin meta para el cuarto trimestre")</f>
        <v>La ejecución de la meta registrada se encuentra por debajo de la meta programada en la formulación del plan de acción para el cuarto trimestre, su porcentaje de cumplimiento es 16%, lo cual indica un incumplimiento que puede ser entendido por los entes de control como falencias en el proceso de planeación. se recomienda tomar este antecedente como insumo para disminuir la meta en la próxima vigencia</v>
      </c>
      <c r="AL120" s="54">
        <f t="shared" si="2"/>
        <v>0.16</v>
      </c>
      <c r="AM120" s="53" t="str">
        <f t="shared" si="3"/>
        <v>La ejecución de la meta registrada se encuentra por debajo de la meta programada en la formulación del plan de acción para el cuarto trimestre, su porcentaje de cumplimiento es 16%, lo cual indica un incumplimiento que puede ser entendido por los entes de control como falencias en el proceso de planeación. se recomienda tomar este antecedente como insumo para disminuir la meta en la próxima vigencia.</v>
      </c>
      <c r="AN120" s="55"/>
      <c r="AO120" s="56"/>
      <c r="AP120" s="57"/>
      <c r="AQ120" s="57"/>
      <c r="AR120" s="58"/>
      <c r="AS120" s="59"/>
      <c r="AT120" s="60"/>
      <c r="AU120" s="55"/>
      <c r="AV120" s="56"/>
      <c r="AW120" s="61"/>
      <c r="AX120" s="57"/>
      <c r="AY120" s="62"/>
      <c r="AZ120" s="63"/>
      <c r="BA120" s="64"/>
      <c r="BB120" s="65"/>
      <c r="BC120" s="56"/>
      <c r="BD120" s="61"/>
      <c r="BE120" s="57"/>
      <c r="BF120" s="58"/>
      <c r="BG120" s="63"/>
      <c r="BH120" s="64"/>
      <c r="BI120" s="66"/>
      <c r="BK120" s="21" t="str">
        <f t="shared" si="23"/>
        <v>-1</v>
      </c>
      <c r="BM120" s="21"/>
    </row>
    <row r="121" ht="33.75" customHeight="1">
      <c r="A121" s="37"/>
      <c r="B121" s="38">
        <f>IFERROR(__xludf.DUMMYFUNCTION("""COMPUTED_VALUE"""),119.0)</f>
        <v>119</v>
      </c>
      <c r="C121" s="39" t="str">
        <f>IFERROR(__xludf.DUMMYFUNCTION("""COMPUTED_VALUE"""),"Gestión de la inspección y vigilancia")</f>
        <v>Gestión de la inspección y vigilancia</v>
      </c>
      <c r="D121" s="40" t="str">
        <f>IFERROR(__xludf.DUMMYFUNCTION("""COMPUTED_VALUE"""),"Regional Bogotá")</f>
        <v>Regional Bogotá</v>
      </c>
      <c r="E121" s="40" t="str">
        <f>IFERROR(__xludf.DUMMYFUNCTION("""COMPUTED_VALUE"""),"Fortalecimiento de la sostenibilidad del sector pesquero y de la acuicultura en el territorio nacional")</f>
        <v>Fortalecimiento de la sostenibilidad del sector pesquero y de la acuicultura en el territorio nacional</v>
      </c>
      <c r="F121" s="40">
        <f>IFERROR(__xludf.DUMMYFUNCTION("""COMPUTED_VALUE"""),2.01901100028E12)</f>
        <v>2019011000280</v>
      </c>
      <c r="G121" s="41" t="str">
        <f>IFERROR(__xludf.DUMMYFUNCTION("""COMPUTED_VALUE"""),"Sostenibilidad")</f>
        <v>Sostenibilidad</v>
      </c>
      <c r="H121" s="40" t="str">
        <f>IFERROR(__xludf.DUMMYFUNCTION("""COMPUTED_VALUE"""),"Mejorar la explotación de los recursos pesqueros y de la acuicultura.")</f>
        <v>Mejorar la explotación de los recursos pesqueros y de la acuicultura.</v>
      </c>
      <c r="I121" s="40" t="str">
        <f>IFERROR(__xludf.DUMMYFUNCTION("""COMPUTED_VALUE"""),"Servicios de administración de los recurso pesqueros y de la acuicultura")</f>
        <v>Servicios de administración de los recurso pesqueros y de la acuicultura</v>
      </c>
      <c r="J121" s="40" t="str">
        <f>IFERROR(__xludf.DUMMYFUNCTION("""COMPUTED_VALUE"""),"Realizar acciones de divulgación y formalización de la actividad pesquera y de la acuicultura.")</f>
        <v>Realizar acciones de divulgación y formalización de la actividad pesquera y de la acuicultura.</v>
      </c>
      <c r="K121" s="42" t="str">
        <f>IFERROR(__xludf.DUMMYFUNCTION("""COMPUTED_VALUE"""),"Gestión del área")</f>
        <v>Gestión del área</v>
      </c>
      <c r="L121" s="42" t="str">
        <f>IFERROR(__xludf.DUMMYFUNCTION("""COMPUTED_VALUE"""),"Eficacia")</f>
        <v>Eficacia</v>
      </c>
      <c r="M121" s="42" t="str">
        <f>IFERROR(__xludf.DUMMYFUNCTION("""COMPUTED_VALUE"""),"Número")</f>
        <v>Número</v>
      </c>
      <c r="N121" s="43" t="str">
        <f>IFERROR(__xludf.DUMMYFUNCTION("""COMPUTED_VALUE"""),"Número de asociaciones capacitadas/Número de asociaciones programadas para capacitar.")</f>
        <v>Número de asociaciones capacitadas/Número de asociaciones programadas para capacitar.</v>
      </c>
      <c r="O121" s="44"/>
      <c r="P121" s="45">
        <f>IFERROR(__xludf.DUMMYFUNCTION("""COMPUTED_VALUE"""),35.0)</f>
        <v>35</v>
      </c>
      <c r="Q121" s="46" t="str">
        <f>IFERROR(__xludf.DUMMYFUNCTION("""COMPUTED_VALUE"""),"Realizar capacitaciones a las asociaciones en temas de pesca y acuicultura")</f>
        <v>Realizar capacitaciones a las asociaciones en temas de pesca y acuicultura</v>
      </c>
      <c r="R121" s="47" t="str">
        <f>IFERROR(__xludf.DUMMYFUNCTION("""COMPUTED_VALUE"""),"Trimestral")</f>
        <v>Trimestral</v>
      </c>
      <c r="S121" s="45">
        <f>IFERROR(__xludf.DUMMYFUNCTION("""COMPUTED_VALUE"""),6.0)</f>
        <v>6</v>
      </c>
      <c r="T121" s="45">
        <f>IFERROR(__xludf.DUMMYFUNCTION("""COMPUTED_VALUE"""),8.0)</f>
        <v>8</v>
      </c>
      <c r="U121" s="45">
        <f>IFERROR(__xludf.DUMMYFUNCTION("""COMPUTED_VALUE"""),10.0)</f>
        <v>10</v>
      </c>
      <c r="V121" s="45">
        <f>IFERROR(__xludf.DUMMYFUNCTION("""COMPUTED_VALUE"""),11.0)</f>
        <v>11</v>
      </c>
      <c r="W121" s="48" t="str">
        <f>IFERROR(__xludf.DUMMYFUNCTION("""COMPUTED_VALUE"""),"Regional Bogota")</f>
        <v>Regional Bogota</v>
      </c>
      <c r="X121" s="49" t="str">
        <f>IFERROR(__xludf.DUMMYFUNCTION("""COMPUTED_VALUE"""),"Carlos Augusto Borda Rodriguez")</f>
        <v>Carlos Augusto Borda Rodriguez</v>
      </c>
      <c r="Y121" s="39" t="str">
        <f>IFERROR(__xludf.DUMMYFUNCTION("""COMPUTED_VALUE"""),"Director Regional Bogotá")</f>
        <v>Director Regional Bogotá</v>
      </c>
      <c r="Z121" s="49" t="str">
        <f>IFERROR(__xludf.DUMMYFUNCTION("""COMPUTED_VALUE"""),"carlos.borda@aunap.gov.co")</f>
        <v>carlos.borda@aunap.gov.co</v>
      </c>
      <c r="AA121" s="39" t="str">
        <f>IFERROR(__xludf.DUMMYFUNCTION("""COMPUTED_VALUE"""),"Humanos, Físicos, Financieros, Tecnológicos")</f>
        <v>Humanos, Físicos, Financieros, Tecnológicos</v>
      </c>
      <c r="AB121" s="39" t="str">
        <f>IFERROR(__xludf.DUMMYFUNCTION("""COMPUTED_VALUE"""),"No asociado")</f>
        <v>No asociado</v>
      </c>
      <c r="AC121" s="39" t="str">
        <f>IFERROR(__xludf.DUMMYFUNCTION("""COMPUTED_VALUE"""),"Llegar con actividades de pesca y acuicultura a todas las regiones")</f>
        <v>Llegar con actividades de pesca y acuicultura a todas las regiones</v>
      </c>
      <c r="AD121" s="39" t="str">
        <f>IFERROR(__xludf.DUMMYFUNCTION("""COMPUTED_VALUE"""),"Gestión con valores para resultados")</f>
        <v>Gestión con valores para resultados</v>
      </c>
      <c r="AE121" s="39" t="str">
        <f>IFERROR(__xludf.DUMMYFUNCTION("""COMPUTED_VALUE"""),"Fortalecimiento Organizacional y Simplificación de Procesos")</f>
        <v>Fortalecimiento Organizacional y Simplificación de Procesos</v>
      </c>
      <c r="AF121" s="39" t="str">
        <f>IFERROR(__xludf.DUMMYFUNCTION("""COMPUTED_VALUE"""),"12. Producción y consumo responsable")</f>
        <v>12. Producción y consumo responsable</v>
      </c>
      <c r="AG121" s="76">
        <f>IFERROR(__xludf.DUMMYFUNCTION("""COMPUTED_VALUE"""),1.0)</f>
        <v>1</v>
      </c>
      <c r="AH121" s="51" t="str">
        <f>IFERROR(__xludf.DUMMYFUNCTION("""COMPUTED_VALUE"""),"Las acciones realizadas se hicieron de acuerdo con las solicitudes recibidas y en cumplimiento con las normas de bioseguridad establecidas")</f>
        <v>Las acciones realizadas se hicieron de acuerdo con las solicitudes recibidas y en cumplimiento con las normas de bioseguridad establecidas</v>
      </c>
      <c r="AI121" s="72" t="str">
        <f>IFERROR(__xludf.DUMMYFUNCTION("""COMPUTED_VALUE"""),"https://drive.google.com/drive/folders/1k_0LKjHzDRDwTQMiLw5rSUAp3KfLmBcm
")</f>
        <v>https://drive.google.com/drive/folders/1k_0LKjHzDRDwTQMiLw5rSUAp3KfLmBcm
</v>
      </c>
      <c r="AJ121" s="52">
        <f>IFERROR(__xludf.DUMMYFUNCTION("""COMPUTED_VALUE"""),44298.0)</f>
        <v>44298</v>
      </c>
      <c r="AK121" s="53" t="str">
        <f>IFERROR(IF((AL121+1)&lt;2,Alertas!$B$2&amp;TEXT(AL121,"0%")&amp;Alertas!$D$2, IF((AL121+1)=2,Alertas!$B$3,IF((AL121+1)&gt;2,Alertas!$B$4&amp;TEXT(AL121,"0%")&amp;Alertas!$D$4,AL121+1))),"Sin meta para el cuarto trimestre")</f>
        <v>La ejecución de la meta registrada se encuentra por debajo de la meta programada en la formulación del plan de acción para el cuarto trimestre, su porcentaje de cumplimiento es 9%, lo cual indica un incumplimiento que puede ser entendido por los entes de control como falencias en el proceso de planeación. se recomienda tomar este antecedente como insumo para disminuir la meta en la próxima vigencia</v>
      </c>
      <c r="AL121" s="54">
        <f t="shared" si="2"/>
        <v>0.09090909091</v>
      </c>
      <c r="AM121" s="53" t="str">
        <f t="shared" si="3"/>
        <v>La ejecución de la meta registrada se encuentra por debajo de la meta programada en la formulación del plan de acción para el cuarto trimestre, su porcentaje de cumplimiento es 9%, lo cual indica un incumplimiento que puede ser entendido por los entes de control como falencias en el proceso de planeación. se recomienda tomar este antecedente como insumo para disminuir la meta en la próxima vigencia.</v>
      </c>
      <c r="AN121" s="55"/>
      <c r="AO121" s="56"/>
      <c r="AP121" s="57"/>
      <c r="AQ121" s="57"/>
      <c r="AR121" s="58"/>
      <c r="AS121" s="59"/>
      <c r="AT121" s="60"/>
      <c r="AU121" s="55"/>
      <c r="AV121" s="56"/>
      <c r="AW121" s="61"/>
      <c r="AX121" s="57"/>
      <c r="AY121" s="62"/>
      <c r="AZ121" s="63"/>
      <c r="BA121" s="64"/>
      <c r="BB121" s="65"/>
      <c r="BC121" s="56"/>
      <c r="BD121" s="61"/>
      <c r="BE121" s="57"/>
      <c r="BF121" s="58"/>
      <c r="BG121" s="63"/>
      <c r="BH121" s="64"/>
      <c r="BI121" s="66"/>
      <c r="BK121" s="21" t="str">
        <f t="shared" si="23"/>
        <v>-1</v>
      </c>
      <c r="BM121" s="21"/>
    </row>
    <row r="122" ht="33.75" customHeight="1">
      <c r="A122" s="37"/>
      <c r="B122" s="38">
        <f>IFERROR(__xludf.DUMMYFUNCTION("""COMPUTED_VALUE"""),120.0)</f>
        <v>120</v>
      </c>
      <c r="C122" s="39" t="str">
        <f>IFERROR(__xludf.DUMMYFUNCTION("""COMPUTED_VALUE"""),"Gestión de la inspección y vigilancia")</f>
        <v>Gestión de la inspección y vigilancia</v>
      </c>
      <c r="D122" s="40" t="str">
        <f>IFERROR(__xludf.DUMMYFUNCTION("""COMPUTED_VALUE"""),"Regional Bogotá")</f>
        <v>Regional Bogotá</v>
      </c>
      <c r="E122" s="40" t="str">
        <f>IFERROR(__xludf.DUMMYFUNCTION("""COMPUTED_VALUE"""),"Fortalecimiento de la sostenibilidad del sector pesquero y de la acuicultura en el territorio nacional")</f>
        <v>Fortalecimiento de la sostenibilidad del sector pesquero y de la acuicultura en el territorio nacional</v>
      </c>
      <c r="F122" s="40">
        <f>IFERROR(__xludf.DUMMYFUNCTION("""COMPUTED_VALUE"""),2.01901100028E12)</f>
        <v>2019011000280</v>
      </c>
      <c r="G122" s="41" t="str">
        <f>IFERROR(__xludf.DUMMYFUNCTION("""COMPUTED_VALUE"""),"Sostenibilidad")</f>
        <v>Sostenibilidad</v>
      </c>
      <c r="H122" s="40" t="str">
        <f>IFERROR(__xludf.DUMMYFUNCTION("""COMPUTED_VALUE"""),"Mejorar la explotación de los recursos pesqueros y de la acuicultura.")</f>
        <v>Mejorar la explotación de los recursos pesqueros y de la acuicultura.</v>
      </c>
      <c r="I122" s="40" t="str">
        <f>IFERROR(__xludf.DUMMYFUNCTION("""COMPUTED_VALUE"""),"Servicios de administración de los recurso pesqueros y de la acuicultura")</f>
        <v>Servicios de administración de los recurso pesqueros y de la acuicultura</v>
      </c>
      <c r="J122" s="40" t="str">
        <f>IFERROR(__xludf.DUMMYFUNCTION("""COMPUTED_VALUE"""),"Regular el manejo y el ejercicio de la actividad pesquera y de la acuicultura.")</f>
        <v>Regular el manejo y el ejercicio de la actividad pesquera y de la acuicultura.</v>
      </c>
      <c r="K122" s="42" t="str">
        <f>IFERROR(__xludf.DUMMYFUNCTION("""COMPUTED_VALUE"""),"Gestión del área")</f>
        <v>Gestión del área</v>
      </c>
      <c r="L122" s="42" t="str">
        <f>IFERROR(__xludf.DUMMYFUNCTION("""COMPUTED_VALUE"""),"Eficacia")</f>
        <v>Eficacia</v>
      </c>
      <c r="M122" s="42" t="str">
        <f>IFERROR(__xludf.DUMMYFUNCTION("""COMPUTED_VALUE"""),"Número")</f>
        <v>Número</v>
      </c>
      <c r="N122" s="43" t="str">
        <f>IFERROR(__xludf.DUMMYFUNCTION("""COMPUTED_VALUE"""),"Pescadores artesanales formalizados/pescadores artesanales programados para formalizar")</f>
        <v>Pescadores artesanales formalizados/pescadores artesanales programados para formalizar</v>
      </c>
      <c r="O122" s="44"/>
      <c r="P122" s="45">
        <f>IFERROR(__xludf.DUMMYFUNCTION("""COMPUTED_VALUE"""),800.0)</f>
        <v>800</v>
      </c>
      <c r="Q122" s="46" t="str">
        <f>IFERROR(__xludf.DUMMYFUNCTION("""COMPUTED_VALUE"""),"Realizar la formalización de Pescadores Artesanales")</f>
        <v>Realizar la formalización de Pescadores Artesanales</v>
      </c>
      <c r="R122" s="47" t="str">
        <f>IFERROR(__xludf.DUMMYFUNCTION("""COMPUTED_VALUE"""),"Trimestral")</f>
        <v>Trimestral</v>
      </c>
      <c r="S122" s="45">
        <f>IFERROR(__xludf.DUMMYFUNCTION("""COMPUTED_VALUE"""),200.0)</f>
        <v>200</v>
      </c>
      <c r="T122" s="45">
        <f>IFERROR(__xludf.DUMMYFUNCTION("""COMPUTED_VALUE"""),200.0)</f>
        <v>200</v>
      </c>
      <c r="U122" s="45">
        <f>IFERROR(__xludf.DUMMYFUNCTION("""COMPUTED_VALUE"""),250.0)</f>
        <v>250</v>
      </c>
      <c r="V122" s="45">
        <f>IFERROR(__xludf.DUMMYFUNCTION("""COMPUTED_VALUE"""),150.0)</f>
        <v>150</v>
      </c>
      <c r="W122" s="48" t="str">
        <f>IFERROR(__xludf.DUMMYFUNCTION("""COMPUTED_VALUE"""),"Regional Bogota")</f>
        <v>Regional Bogota</v>
      </c>
      <c r="X122" s="49" t="str">
        <f>IFERROR(__xludf.DUMMYFUNCTION("""COMPUTED_VALUE"""),"Carlos Augusto Borda Rodriguez")</f>
        <v>Carlos Augusto Borda Rodriguez</v>
      </c>
      <c r="Y122" s="39" t="str">
        <f>IFERROR(__xludf.DUMMYFUNCTION("""COMPUTED_VALUE"""),"Director Regional Bogotá")</f>
        <v>Director Regional Bogotá</v>
      </c>
      <c r="Z122" s="49" t="str">
        <f>IFERROR(__xludf.DUMMYFUNCTION("""COMPUTED_VALUE"""),"carlos.borda@aunap.gov.co")</f>
        <v>carlos.borda@aunap.gov.co</v>
      </c>
      <c r="AA122" s="39" t="str">
        <f>IFERROR(__xludf.DUMMYFUNCTION("""COMPUTED_VALUE"""),"Humanos, Físicos, Financieros, Tecnológicos")</f>
        <v>Humanos, Físicos, Financieros, Tecnológicos</v>
      </c>
      <c r="AB122" s="39" t="str">
        <f>IFERROR(__xludf.DUMMYFUNCTION("""COMPUTED_VALUE"""),"No asociado")</f>
        <v>No asociado</v>
      </c>
      <c r="AC122" s="39" t="str">
        <f>IFERROR(__xludf.DUMMYFUNCTION("""COMPUTED_VALUE"""),"Llegar con actividades de pesca y acuicultura a todas las regiones")</f>
        <v>Llegar con actividades de pesca y acuicultura a todas las regiones</v>
      </c>
      <c r="AD122" s="39" t="str">
        <f>IFERROR(__xludf.DUMMYFUNCTION("""COMPUTED_VALUE"""),"Gestión con valores para resultados")</f>
        <v>Gestión con valores para resultados</v>
      </c>
      <c r="AE122" s="39" t="str">
        <f>IFERROR(__xludf.DUMMYFUNCTION("""COMPUTED_VALUE"""),"Racionalización de Trámites")</f>
        <v>Racionalización de Trámites</v>
      </c>
      <c r="AF122" s="39" t="str">
        <f>IFERROR(__xludf.DUMMYFUNCTION("""COMPUTED_VALUE"""),"12. Producción y consumo responsable")</f>
        <v>12. Producción y consumo responsable</v>
      </c>
      <c r="AG122" s="76">
        <f>IFERROR(__xludf.DUMMYFUNCTION("""COMPUTED_VALUE"""),100.0)</f>
        <v>100</v>
      </c>
      <c r="AH122" s="51" t="str">
        <f>IFERROR(__xludf.DUMMYFUNCTION("""COMPUTED_VALUE"""),"se emitieron 100 carné de pesca artesanal atendiendo con las solicitudes allegadas")</f>
        <v>se emitieron 100 carné de pesca artesanal atendiendo con las solicitudes allegadas</v>
      </c>
      <c r="AI122" s="72" t="str">
        <f>IFERROR(__xludf.DUMMYFUNCTION("""COMPUTED_VALUE"""),"https://drive.google.com/drive/folders/1k_0LKjHzDRDwTQMiLw5rSUAp3KfLmBcm")</f>
        <v>https://drive.google.com/drive/folders/1k_0LKjHzDRDwTQMiLw5rSUAp3KfLmBcm</v>
      </c>
      <c r="AJ122" s="52">
        <f>IFERROR(__xludf.DUMMYFUNCTION("""COMPUTED_VALUE"""),44298.0)</f>
        <v>44298</v>
      </c>
      <c r="AK122" s="53" t="str">
        <f>IFERROR(IF((AL122+1)&lt;2,Alertas!$B$2&amp;TEXT(AL122,"0%")&amp;Alertas!$D$2, IF((AL122+1)=2,Alertas!$B$3,IF((AL122+1)&gt;2,Alertas!$B$4&amp;TEXT(AL122,"0%")&amp;Alertas!$D$4,AL122+1))),"Sin meta para el cuarto trimestre")</f>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L122" s="54">
        <f t="shared" si="2"/>
        <v>0.6666666667</v>
      </c>
      <c r="AM122" s="53" t="str">
        <f t="shared" si="3"/>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N122" s="55"/>
      <c r="AO122" s="56"/>
      <c r="AP122" s="57"/>
      <c r="AQ122" s="57"/>
      <c r="AR122" s="58"/>
      <c r="AS122" s="59"/>
      <c r="AT122" s="60"/>
      <c r="AU122" s="55"/>
      <c r="AV122" s="56"/>
      <c r="AW122" s="61"/>
      <c r="AX122" s="57"/>
      <c r="AY122" s="62"/>
      <c r="AZ122" s="63"/>
      <c r="BA122" s="64"/>
      <c r="BB122" s="65"/>
      <c r="BC122" s="56"/>
      <c r="BD122" s="61"/>
      <c r="BE122" s="57"/>
      <c r="BF122" s="58"/>
      <c r="BG122" s="63"/>
      <c r="BH122" s="64"/>
      <c r="BI122" s="66"/>
      <c r="BK122" s="21" t="str">
        <f t="shared" si="23"/>
        <v>-1</v>
      </c>
      <c r="BM122" s="21"/>
    </row>
    <row r="123" ht="33.75" customHeight="1">
      <c r="A123" s="37"/>
      <c r="B123" s="38">
        <f>IFERROR(__xludf.DUMMYFUNCTION("""COMPUTED_VALUE"""),121.0)</f>
        <v>121</v>
      </c>
      <c r="C123" s="39" t="str">
        <f>IFERROR(__xludf.DUMMYFUNCTION("""COMPUTED_VALUE"""),"Gestión de la inspección y vigilancia")</f>
        <v>Gestión de la inspección y vigilancia</v>
      </c>
      <c r="D123" s="40" t="str">
        <f>IFERROR(__xludf.DUMMYFUNCTION("""COMPUTED_VALUE"""),"Regional Bogotá")</f>
        <v>Regional Bogotá</v>
      </c>
      <c r="E123"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23" s="40">
        <f>IFERROR(__xludf.DUMMYFUNCTION("""COMPUTED_VALUE"""),2.019011000276E12)</f>
        <v>2019011000276</v>
      </c>
      <c r="G123" s="41" t="str">
        <f>IFERROR(__xludf.DUMMYFUNCTION("""COMPUTED_VALUE"""),"Inspección")</f>
        <v>Inspección</v>
      </c>
      <c r="H123" s="40" t="str">
        <f>IFERROR(__xludf.DUMMYFUNCTION("""COMPUTED_VALUE"""),"Fortalecer los mecanismos de seguimiento y control de la actividad pesquera y de la acuicultura.")</f>
        <v>Fortalecer los mecanismos de seguimiento y control de la actividad pesquera y de la acuicultura.</v>
      </c>
      <c r="I123" s="40" t="str">
        <f>IFERROR(__xludf.DUMMYFUNCTION("""COMPUTED_VALUE"""),"Servicio de inspección, vigilancia y control de la pesca y la acuicultura")</f>
        <v>Servicio de inspección, vigilancia y control de la pesca y la acuicultura</v>
      </c>
      <c r="J123" s="40" t="str">
        <f>IFERROR(__xludf.DUMMYFUNCTION("""COMPUTED_VALUE"""),"Realizar los operativos de inspección, vigilancia y control.")</f>
        <v>Realizar los operativos de inspección, vigilancia y control.</v>
      </c>
      <c r="K123" s="42" t="str">
        <f>IFERROR(__xludf.DUMMYFUNCTION("""COMPUTED_VALUE"""),"Producto")</f>
        <v>Producto</v>
      </c>
      <c r="L123" s="42" t="str">
        <f>IFERROR(__xludf.DUMMYFUNCTION("""COMPUTED_VALUE"""),"Eficacia")</f>
        <v>Eficacia</v>
      </c>
      <c r="M123" s="42" t="str">
        <f>IFERROR(__xludf.DUMMYFUNCTION("""COMPUTED_VALUE"""),"Número")</f>
        <v>Número</v>
      </c>
      <c r="N123" s="43" t="str">
        <f>IFERROR(__xludf.DUMMYFUNCTION("""COMPUTED_VALUE"""),"Operativos de inspección, vigilancia y control realizados")</f>
        <v>Operativos de inspección, vigilancia y control realizados</v>
      </c>
      <c r="O123" s="44"/>
      <c r="P123" s="45">
        <f>IFERROR(__xludf.DUMMYFUNCTION("""COMPUTED_VALUE"""),510.0)</f>
        <v>510</v>
      </c>
      <c r="Q123" s="46" t="str">
        <f>IFERROR(__xludf.DUMMYFUNCTION("""COMPUTED_VALUE"""),"Realizar Operativos de Control")</f>
        <v>Realizar Operativos de Control</v>
      </c>
      <c r="R123" s="47" t="str">
        <f>IFERROR(__xludf.DUMMYFUNCTION("""COMPUTED_VALUE"""),"Trimestral")</f>
        <v>Trimestral</v>
      </c>
      <c r="S123" s="45">
        <f>IFERROR(__xludf.DUMMYFUNCTION("""COMPUTED_VALUE"""),106.0)</f>
        <v>106</v>
      </c>
      <c r="T123" s="45">
        <f>IFERROR(__xludf.DUMMYFUNCTION("""COMPUTED_VALUE"""),165.0)</f>
        <v>165</v>
      </c>
      <c r="U123" s="45">
        <f>IFERROR(__xludf.DUMMYFUNCTION("""COMPUTED_VALUE"""),110.0)</f>
        <v>110</v>
      </c>
      <c r="V123" s="45">
        <f>IFERROR(__xludf.DUMMYFUNCTION("""COMPUTED_VALUE"""),129.0)</f>
        <v>129</v>
      </c>
      <c r="W123" s="48" t="str">
        <f>IFERROR(__xludf.DUMMYFUNCTION("""COMPUTED_VALUE"""),"Regional Bogota")</f>
        <v>Regional Bogota</v>
      </c>
      <c r="X123" s="49" t="str">
        <f>IFERROR(__xludf.DUMMYFUNCTION("""COMPUTED_VALUE"""),"Carlos Augusto Borda Rodriguez")</f>
        <v>Carlos Augusto Borda Rodriguez</v>
      </c>
      <c r="Y123" s="39" t="str">
        <f>IFERROR(__xludf.DUMMYFUNCTION("""COMPUTED_VALUE"""),"Director Regional Bogotá")</f>
        <v>Director Regional Bogotá</v>
      </c>
      <c r="Z123" s="49" t="str">
        <f>IFERROR(__xludf.DUMMYFUNCTION("""COMPUTED_VALUE"""),"carlos.borda@aunap.gov.co")</f>
        <v>carlos.borda@aunap.gov.co</v>
      </c>
      <c r="AA123" s="39" t="str">
        <f>IFERROR(__xludf.DUMMYFUNCTION("""COMPUTED_VALUE"""),"Humanos, Físicos, Financieros, Tecnológicos")</f>
        <v>Humanos, Físicos, Financieros, Tecnológicos</v>
      </c>
      <c r="AB123" s="39" t="str">
        <f>IFERROR(__xludf.DUMMYFUNCTION("""COMPUTED_VALUE"""),"No asociado")</f>
        <v>No asociado</v>
      </c>
      <c r="AC123" s="39" t="str">
        <f>IFERROR(__xludf.DUMMYFUNCTION("""COMPUTED_VALUE"""),"Llegar con actividades de pesca y acuicultura a todas las regiones")</f>
        <v>Llegar con actividades de pesca y acuicultura a todas las regiones</v>
      </c>
      <c r="AD123" s="39" t="str">
        <f>IFERROR(__xludf.DUMMYFUNCTION("""COMPUTED_VALUE"""),"Gestión con valores para resultados")</f>
        <v>Gestión con valores para resultados</v>
      </c>
      <c r="AE123" s="39" t="str">
        <f>IFERROR(__xludf.DUMMYFUNCTION("""COMPUTED_VALUE"""),"Fortalecimiento Organizacional y Simplificación de Procesos")</f>
        <v>Fortalecimiento Organizacional y Simplificación de Procesos</v>
      </c>
      <c r="AF123" s="39" t="str">
        <f>IFERROR(__xludf.DUMMYFUNCTION("""COMPUTED_VALUE"""),"12. Producción y consumo responsable")</f>
        <v>12. Producción y consumo responsable</v>
      </c>
      <c r="AG123" s="76">
        <f>IFERROR(__xludf.DUMMYFUNCTION("""COMPUTED_VALUE"""),78.0)</f>
        <v>78</v>
      </c>
      <c r="AH123" s="51" t="str">
        <f>IFERROR(__xludf.DUMMYFUNCTION("""COMPUTED_VALUE"""),"La dificultades en la vinvulacion de los contratistas, asomcomo las restricciones de movilización de algunos funcionarios de planta afecto el desarrollo de estas actividades")</f>
        <v>La dificultades en la vinvulacion de los contratistas, asomcomo las restricciones de movilización de algunos funcionarios de planta afecto el desarrollo de estas actividades</v>
      </c>
      <c r="AI123" s="72" t="str">
        <f>IFERROR(__xludf.DUMMYFUNCTION("""COMPUTED_VALUE"""),"https://drive.google.com/drive/folders/1k_0LKjHzDRDwTQMiLw5rSUAp3KfLmBcm")</f>
        <v>https://drive.google.com/drive/folders/1k_0LKjHzDRDwTQMiLw5rSUAp3KfLmBcm</v>
      </c>
      <c r="AJ123" s="52">
        <f>IFERROR(__xludf.DUMMYFUNCTION("""COMPUTED_VALUE"""),44298.0)</f>
        <v>44298</v>
      </c>
      <c r="AK123" s="53" t="str">
        <f>IFERROR(IF((AL123+1)&lt;2,Alertas!$B$2&amp;TEXT(AL123,"0%")&amp;Alertas!$D$2, IF((AL123+1)=2,Alertas!$B$3,IF((AL123+1)&gt;2,Alertas!$B$4&amp;TEXT(AL123,"0%")&amp;Alertas!$D$4,AL123+1))),"Sin meta para el cuarto trimestre")</f>
        <v>La ejecución de la meta registrada se encuentra por debajo de la meta programada en la formulación del plan de acción para el cuarto trimestre, su porcentaje de cumplimiento es 60%, lo cual indica un incumplimiento que puede ser entendido por los entes de control como falencias en el proceso de planeación. se recomienda tomar este antecedente como insumo para disminuir la meta en la próxima vigencia</v>
      </c>
      <c r="AL123" s="54">
        <f t="shared" si="2"/>
        <v>0.6046511628</v>
      </c>
      <c r="AM123" s="53" t="str">
        <f t="shared" si="3"/>
        <v>La ejecución de la meta registrada se encuentra por debajo de la meta programada en la formulación del plan de acción para el cuarto trimestre, su porcentaje de cumplimiento es 60%, lo cual indica un incumplimiento que puede ser entendido por los entes de control como falencias en el proceso de planeación. se recomienda tomar este antecedente como insumo para disminuir la meta en la próxima vigencia.</v>
      </c>
      <c r="AN123" s="55"/>
      <c r="AO123" s="56"/>
      <c r="AP123" s="57"/>
      <c r="AQ123" s="57"/>
      <c r="AR123" s="58"/>
      <c r="AS123" s="59"/>
      <c r="AT123" s="60"/>
      <c r="AU123" s="55"/>
      <c r="AV123" s="56"/>
      <c r="AW123" s="61"/>
      <c r="AX123" s="57"/>
      <c r="AY123" s="62"/>
      <c r="AZ123" s="63"/>
      <c r="BA123" s="64"/>
      <c r="BB123" s="65"/>
      <c r="BC123" s="56"/>
      <c r="BD123" s="61"/>
      <c r="BE123" s="57"/>
      <c r="BF123" s="58"/>
      <c r="BG123" s="63"/>
      <c r="BH123" s="64"/>
      <c r="BI123" s="66"/>
      <c r="BK123" s="21" t="str">
        <f t="shared" si="23"/>
        <v>-1</v>
      </c>
      <c r="BM123" s="21"/>
    </row>
    <row r="124" ht="33.75" customHeight="1">
      <c r="A124" s="37"/>
      <c r="B124" s="38">
        <f>IFERROR(__xludf.DUMMYFUNCTION("""COMPUTED_VALUE"""),122.0)</f>
        <v>122</v>
      </c>
      <c r="C124" s="39" t="str">
        <f>IFERROR(__xludf.DUMMYFUNCTION("""COMPUTED_VALUE"""),"Gestión de la inspección y vigilancia")</f>
        <v>Gestión de la inspección y vigilancia</v>
      </c>
      <c r="D124" s="40" t="str">
        <f>IFERROR(__xludf.DUMMYFUNCTION("""COMPUTED_VALUE"""),"Regional Bogotá")</f>
        <v>Regional Bogotá</v>
      </c>
      <c r="E124" s="40" t="str">
        <f>IFERROR(__xludf.DUMMYFUNCTION("""COMPUTED_VALUE"""),"Fortalecimiento de la sostenibilidad del sector pesquero y de la acuicultura en el territorio nacional")</f>
        <v>Fortalecimiento de la sostenibilidad del sector pesquero y de la acuicultura en el territorio nacional</v>
      </c>
      <c r="F124" s="40">
        <f>IFERROR(__xludf.DUMMYFUNCTION("""COMPUTED_VALUE"""),2.01901100028E12)</f>
        <v>2019011000280</v>
      </c>
      <c r="G124" s="41" t="str">
        <f>IFERROR(__xludf.DUMMYFUNCTION("""COMPUTED_VALUE"""),"Sostenibilidad")</f>
        <v>Sostenibilidad</v>
      </c>
      <c r="H124" s="40" t="str">
        <f>IFERROR(__xludf.DUMMYFUNCTION("""COMPUTED_VALUE"""),"Mejorar la explotación de los recursos pesqueros y de la acuicultura.")</f>
        <v>Mejorar la explotación de los recursos pesqueros y de la acuicultura.</v>
      </c>
      <c r="I124" s="40" t="str">
        <f>IFERROR(__xludf.DUMMYFUNCTION("""COMPUTED_VALUE"""),"Servicio de ordenación pesquera y de la acuicultura")</f>
        <v>Servicio de ordenación pesquera y de la acuicultura</v>
      </c>
      <c r="J124" s="40" t="str">
        <f>IFERROR(__xludf.DUMMYFUNCTION("""COMPUTED_VALUE"""),"Generar acciones de fomento para la pesca, la acuicultura y sus actividades conexas.")</f>
        <v>Generar acciones de fomento para la pesca, la acuicultura y sus actividades conexas.</v>
      </c>
      <c r="K124" s="42" t="str">
        <f>IFERROR(__xludf.DUMMYFUNCTION("""COMPUTED_VALUE"""),"Gestión del área")</f>
        <v>Gestión del área</v>
      </c>
      <c r="L124" s="42" t="str">
        <f>IFERROR(__xludf.DUMMYFUNCTION("""COMPUTED_VALUE"""),"Eficacia")</f>
        <v>Eficacia</v>
      </c>
      <c r="M124" s="42" t="str">
        <f>IFERROR(__xludf.DUMMYFUNCTION("""COMPUTED_VALUE"""),"Número")</f>
        <v>Número</v>
      </c>
      <c r="N124" s="43" t="str">
        <f>IFERROR(__xludf.DUMMYFUNCTION("""COMPUTED_VALUE"""),"Numero de Repoblamientos realizados sobre Numero de Repoblamientos programados")</f>
        <v>Numero de Repoblamientos realizados sobre Numero de Repoblamientos programados</v>
      </c>
      <c r="O124" s="44"/>
      <c r="P124" s="45">
        <f>IFERROR(__xludf.DUMMYFUNCTION("""COMPUTED_VALUE"""),1450000.0)</f>
        <v>1450000</v>
      </c>
      <c r="Q124" s="46" t="str">
        <f>IFERROR(__xludf.DUMMYFUNCTION("""COMPUTED_VALUE"""),"Generar los Repoblamientos Misionales - Bocachico")</f>
        <v>Generar los Repoblamientos Misionales - Bocachico</v>
      </c>
      <c r="R124" s="47" t="str">
        <f>IFERROR(__xludf.DUMMYFUNCTION("""COMPUTED_VALUE"""),"Trimestral")</f>
        <v>Trimestral</v>
      </c>
      <c r="S124" s="45">
        <f>IFERROR(__xludf.DUMMYFUNCTION("""COMPUTED_VALUE"""),150000.0)</f>
        <v>150000</v>
      </c>
      <c r="T124" s="45">
        <f>IFERROR(__xludf.DUMMYFUNCTION("""COMPUTED_VALUE"""),300000.0)</f>
        <v>300000</v>
      </c>
      <c r="U124" s="45">
        <f>IFERROR(__xludf.DUMMYFUNCTION("""COMPUTED_VALUE"""),500000.0)</f>
        <v>500000</v>
      </c>
      <c r="V124" s="45">
        <f>IFERROR(__xludf.DUMMYFUNCTION("""COMPUTED_VALUE"""),500000.0)</f>
        <v>500000</v>
      </c>
      <c r="W124" s="48" t="str">
        <f>IFERROR(__xludf.DUMMYFUNCTION("""COMPUTED_VALUE"""),"Regional Bogota")</f>
        <v>Regional Bogota</v>
      </c>
      <c r="X124" s="49" t="str">
        <f>IFERROR(__xludf.DUMMYFUNCTION("""COMPUTED_VALUE"""),"Carlos Augusto Borda Rodriguez")</f>
        <v>Carlos Augusto Borda Rodriguez</v>
      </c>
      <c r="Y124" s="39" t="str">
        <f>IFERROR(__xludf.DUMMYFUNCTION("""COMPUTED_VALUE"""),"Director Regional Bogotá")</f>
        <v>Director Regional Bogotá</v>
      </c>
      <c r="Z124" s="49" t="str">
        <f>IFERROR(__xludf.DUMMYFUNCTION("""COMPUTED_VALUE"""),"carlos.borda@aunap.gov.co")</f>
        <v>carlos.borda@aunap.gov.co</v>
      </c>
      <c r="AA124" s="39" t="str">
        <f>IFERROR(__xludf.DUMMYFUNCTION("""COMPUTED_VALUE"""),"Humanos, Físicos, Financieros, Tecnológicos")</f>
        <v>Humanos, Físicos, Financieros, Tecnológicos</v>
      </c>
      <c r="AB124" s="39" t="str">
        <f>IFERROR(__xludf.DUMMYFUNCTION("""COMPUTED_VALUE"""),"No asociado")</f>
        <v>No asociado</v>
      </c>
      <c r="AC124" s="39" t="str">
        <f>IFERROR(__xludf.DUMMYFUNCTION("""COMPUTED_VALUE"""),"Llegar con actividades de pesca y acuicultura a todas las regiones")</f>
        <v>Llegar con actividades de pesca y acuicultura a todas las regiones</v>
      </c>
      <c r="AD124" s="39" t="str">
        <f>IFERROR(__xludf.DUMMYFUNCTION("""COMPUTED_VALUE"""),"Gestión con valores para resultados")</f>
        <v>Gestión con valores para resultados</v>
      </c>
      <c r="AE124" s="39" t="str">
        <f>IFERROR(__xludf.DUMMYFUNCTION("""COMPUTED_VALUE"""),"Fortalecimiento Organizacional y Simplificación de Procesos")</f>
        <v>Fortalecimiento Organizacional y Simplificación de Procesos</v>
      </c>
      <c r="AF124" s="39" t="str">
        <f>IFERROR(__xludf.DUMMYFUNCTION("""COMPUTED_VALUE"""),"12. Producción y consumo responsable")</f>
        <v>12. Producción y consumo responsable</v>
      </c>
      <c r="AG124" s="76">
        <f>IFERROR(__xludf.DUMMYFUNCTION("""COMPUTED_VALUE"""),0.0)</f>
        <v>0</v>
      </c>
      <c r="AH124" s="51" t="str">
        <f>IFERROR(__xludf.DUMMYFUNCTION("""COMPUTED_VALUE"""),"Esta actividad no se ha podido desarrollar por no contar con buen estado nutricional de los animales por fata de alimento balanceado, apesar de ya haber adelantado gestiones pertinentes, identificando lugares, colaboradores, asi como cantidades a repoblar")</f>
        <v>Esta actividad no se ha podido desarrollar por no contar con buen estado nutricional de los animales por fata de alimento balanceado, apesar de ya haber adelantado gestiones pertinentes, identificando lugares, colaboradores, asi como cantidades a repoblar</v>
      </c>
      <c r="AI124" s="72" t="str">
        <f>IFERROR(__xludf.DUMMYFUNCTION("""COMPUTED_VALUE"""),"https://drive.google.com/drive/folders/1k_0LKjHzDRDwTQMiLw5rSUAp3KfLmBcm")</f>
        <v>https://drive.google.com/drive/folders/1k_0LKjHzDRDwTQMiLw5rSUAp3KfLmBcm</v>
      </c>
      <c r="AJ124" s="52">
        <f>IFERROR(__xludf.DUMMYFUNCTION("""COMPUTED_VALUE"""),44298.0)</f>
        <v>44298</v>
      </c>
      <c r="AK124" s="53" t="str">
        <f>IFERROR(IF((AL124+1)&lt;2,Alertas!$B$2&amp;TEXT(AL124,"0%")&amp;Alertas!$D$2, IF((AL124+1)=2,Alertas!$B$3,IF((AL124+1)&gt;2,Alertas!$B$4&amp;TEXT(AL124,"0%")&amp;Alertas!$D$4,AL124+1))),"Sin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24" s="54">
        <f t="shared" si="2"/>
        <v>0</v>
      </c>
      <c r="AM124"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24" s="55"/>
      <c r="AO124" s="56"/>
      <c r="AP124" s="57"/>
      <c r="AQ124" s="57"/>
      <c r="AR124" s="58"/>
      <c r="AS124" s="59"/>
      <c r="AT124" s="60"/>
      <c r="AU124" s="55"/>
      <c r="AV124" s="56"/>
      <c r="AW124" s="61"/>
      <c r="AX124" s="57"/>
      <c r="AY124" s="62"/>
      <c r="AZ124" s="63"/>
      <c r="BA124" s="64"/>
      <c r="BB124" s="65"/>
      <c r="BC124" s="56"/>
      <c r="BD124" s="61"/>
      <c r="BE124" s="57"/>
      <c r="BF124" s="58"/>
      <c r="BG124" s="63"/>
      <c r="BH124" s="64"/>
      <c r="BI124" s="66"/>
      <c r="BK124" s="21" t="str">
        <f t="shared" si="23"/>
        <v>-1</v>
      </c>
      <c r="BM124" s="21"/>
    </row>
    <row r="125" ht="33.75" customHeight="1">
      <c r="A125" s="37"/>
      <c r="B125" s="38">
        <f>IFERROR(__xludf.DUMMYFUNCTION("""COMPUTED_VALUE"""),123.0)</f>
        <v>123</v>
      </c>
      <c r="C125" s="39" t="str">
        <f>IFERROR(__xludf.DUMMYFUNCTION("""COMPUTED_VALUE"""),"Gestión de la inspección y vigilancia")</f>
        <v>Gestión de la inspección y vigilancia</v>
      </c>
      <c r="D125" s="40" t="str">
        <f>IFERROR(__xludf.DUMMYFUNCTION("""COMPUTED_VALUE"""),"Regional Bogotá")</f>
        <v>Regional Bogotá</v>
      </c>
      <c r="E125" s="40" t="str">
        <f>IFERROR(__xludf.DUMMYFUNCTION("""COMPUTED_VALUE"""),"Fortalecimiento de la sostenibilidad del sector pesquero y de la acuicultura en el territorio nacional")</f>
        <v>Fortalecimiento de la sostenibilidad del sector pesquero y de la acuicultura en el territorio nacional</v>
      </c>
      <c r="F125" s="40">
        <f>IFERROR(__xludf.DUMMYFUNCTION("""COMPUTED_VALUE"""),2.01901100028E12)</f>
        <v>2019011000280</v>
      </c>
      <c r="G125" s="41" t="str">
        <f>IFERROR(__xludf.DUMMYFUNCTION("""COMPUTED_VALUE"""),"Sostenibilidad")</f>
        <v>Sostenibilidad</v>
      </c>
      <c r="H125" s="40" t="str">
        <f>IFERROR(__xludf.DUMMYFUNCTION("""COMPUTED_VALUE"""),"Mejorar la explotación de los recursos pesqueros y de la acuicultura.")</f>
        <v>Mejorar la explotación de los recursos pesqueros y de la acuicultura.</v>
      </c>
      <c r="I125" s="40" t="str">
        <f>IFERROR(__xludf.DUMMYFUNCTION("""COMPUTED_VALUE"""),"Servicios de apoyo al fomento de la pesca y la acuicultura")</f>
        <v>Servicios de apoyo al fomento de la pesca y la acuicultura</v>
      </c>
      <c r="J125" s="40" t="str">
        <f>IFERROR(__xludf.DUMMYFUNCTION("""COMPUTED_VALUE"""),"Generar acciones de fomento para la pesca, la acuicultura y sus actividades conexas.")</f>
        <v>Generar acciones de fomento para la pesca, la acuicultura y sus actividades conexas.</v>
      </c>
      <c r="K125" s="42" t="str">
        <f>IFERROR(__xludf.DUMMYFUNCTION("""COMPUTED_VALUE"""),"Gestión del área")</f>
        <v>Gestión del área</v>
      </c>
      <c r="L125" s="42" t="str">
        <f>IFERROR(__xludf.DUMMYFUNCTION("""COMPUTED_VALUE"""),"Eficacia")</f>
        <v>Eficacia</v>
      </c>
      <c r="M125" s="42" t="str">
        <f>IFERROR(__xludf.DUMMYFUNCTION("""COMPUTED_VALUE"""),"Número")</f>
        <v>Número</v>
      </c>
      <c r="N125" s="43" t="str">
        <f>IFERROR(__xludf.DUMMYFUNCTION("""COMPUTED_VALUE"""),"Numero de Especies Nativas realizadas sobre Numero de Especies Nativas Programadas")</f>
        <v>Numero de Especies Nativas realizadas sobre Numero de Especies Nativas Programadas</v>
      </c>
      <c r="O125" s="44"/>
      <c r="P125" s="45">
        <f>IFERROR(__xludf.DUMMYFUNCTION("""COMPUTED_VALUE"""),110000.0)</f>
        <v>110000</v>
      </c>
      <c r="Q125" s="46" t="str">
        <f>IFERROR(__xludf.DUMMYFUNCTION("""COMPUTED_VALUE"""),"Generar el Repoblamiento de otras especies nativas")</f>
        <v>Generar el Repoblamiento de otras especies nativas</v>
      </c>
      <c r="R125" s="47" t="str">
        <f>IFERROR(__xludf.DUMMYFUNCTION("""COMPUTED_VALUE"""),"Trimestral")</f>
        <v>Trimestral</v>
      </c>
      <c r="S125" s="45">
        <f>IFERROR(__xludf.DUMMYFUNCTION("""COMPUTED_VALUE"""),0.0)</f>
        <v>0</v>
      </c>
      <c r="T125" s="45">
        <f>IFERROR(__xludf.DUMMYFUNCTION("""COMPUTED_VALUE"""),50000.0)</f>
        <v>50000</v>
      </c>
      <c r="U125" s="45">
        <f>IFERROR(__xludf.DUMMYFUNCTION("""COMPUTED_VALUE"""),30000.0)</f>
        <v>30000</v>
      </c>
      <c r="V125" s="45">
        <f>IFERROR(__xludf.DUMMYFUNCTION("""COMPUTED_VALUE"""),30000.0)</f>
        <v>30000</v>
      </c>
      <c r="W125" s="48" t="str">
        <f>IFERROR(__xludf.DUMMYFUNCTION("""COMPUTED_VALUE"""),"Regional Bogota")</f>
        <v>Regional Bogota</v>
      </c>
      <c r="X125" s="49" t="str">
        <f>IFERROR(__xludf.DUMMYFUNCTION("""COMPUTED_VALUE"""),"Carlos Augusto Borda Rodriguez")</f>
        <v>Carlos Augusto Borda Rodriguez</v>
      </c>
      <c r="Y125" s="39" t="str">
        <f>IFERROR(__xludf.DUMMYFUNCTION("""COMPUTED_VALUE"""),"Director Regional Bogotá")</f>
        <v>Director Regional Bogotá</v>
      </c>
      <c r="Z125" s="49" t="str">
        <f>IFERROR(__xludf.DUMMYFUNCTION("""COMPUTED_VALUE"""),"carlos.borda@aunap.gov.co")</f>
        <v>carlos.borda@aunap.gov.co</v>
      </c>
      <c r="AA125" s="39" t="str">
        <f>IFERROR(__xludf.DUMMYFUNCTION("""COMPUTED_VALUE"""),"Humanos, Físicos, Financieros, Tecnológicos")</f>
        <v>Humanos, Físicos, Financieros, Tecnológicos</v>
      </c>
      <c r="AB125" s="39" t="str">
        <f>IFERROR(__xludf.DUMMYFUNCTION("""COMPUTED_VALUE"""),"No asociado")</f>
        <v>No asociado</v>
      </c>
      <c r="AC125" s="39" t="str">
        <f>IFERROR(__xludf.DUMMYFUNCTION("""COMPUTED_VALUE"""),"Llegar con actividades de pesca y acuicultura a todas las regiones")</f>
        <v>Llegar con actividades de pesca y acuicultura a todas las regiones</v>
      </c>
      <c r="AD125" s="39" t="str">
        <f>IFERROR(__xludf.DUMMYFUNCTION("""COMPUTED_VALUE"""),"Gestión con valores para resultados")</f>
        <v>Gestión con valores para resultados</v>
      </c>
      <c r="AE125" s="39" t="str">
        <f>IFERROR(__xludf.DUMMYFUNCTION("""COMPUTED_VALUE"""),"Fortalecimiento Organizacional y Simplificación de Procesos")</f>
        <v>Fortalecimiento Organizacional y Simplificación de Procesos</v>
      </c>
      <c r="AF125" s="39" t="str">
        <f>IFERROR(__xludf.DUMMYFUNCTION("""COMPUTED_VALUE"""),"12. Producción y consumo responsable")</f>
        <v>12. Producción y consumo responsable</v>
      </c>
      <c r="AG125" s="76">
        <f>IFERROR(__xludf.DUMMYFUNCTION("""COMPUTED_VALUE"""),0.0)</f>
        <v>0</v>
      </c>
      <c r="AH125" s="51" t="str">
        <f>IFERROR(__xludf.DUMMYFUNCTION("""COMPUTED_VALUE"""),"Esta actividad no se ha podido desarrollar por no contar con buen estado nutricional de los animales por fata de alimento balanceado, apesar de ya haber adelantado gestiones pertinentes, identificando lugares, colaboradores, asi como cantidades a repoblar")</f>
        <v>Esta actividad no se ha podido desarrollar por no contar con buen estado nutricional de los animales por fata de alimento balanceado, apesar de ya haber adelantado gestiones pertinentes, identificando lugares, colaboradores, asi como cantidades a repoblar</v>
      </c>
      <c r="AI125" s="72" t="str">
        <f>IFERROR(__xludf.DUMMYFUNCTION("""COMPUTED_VALUE"""),"https://drive.google.com/drive/folders/1k_0LKjHzDRDwTQMiLw5rSUAp3KfLmBcm")</f>
        <v>https://drive.google.com/drive/folders/1k_0LKjHzDRDwTQMiLw5rSUAp3KfLmBcm</v>
      </c>
      <c r="AJ125" s="52">
        <f>IFERROR(__xludf.DUMMYFUNCTION("""COMPUTED_VALUE"""),44298.0)</f>
        <v>44298</v>
      </c>
      <c r="AK125" s="53" t="str">
        <f>IFERROR(IF((AL125+1)&lt;2,Alertas!$B$2&amp;TEXT(AL125,"0%")&amp;Alertas!$D$2, IF((AL125+1)=2,Alertas!$B$3,IF((AL125+1)&gt;2,Alertas!$B$4&amp;TEXT(AL125,"0%")&amp;Alertas!$D$4,AL125+1))),"Sin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25" s="54">
        <f t="shared" si="2"/>
        <v>0</v>
      </c>
      <c r="AM125"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25" s="55"/>
      <c r="AO125" s="56"/>
      <c r="AP125" s="57"/>
      <c r="AQ125" s="57"/>
      <c r="AR125" s="58"/>
      <c r="AS125" s="59"/>
      <c r="AT125" s="60"/>
      <c r="AU125" s="55"/>
      <c r="AV125" s="56"/>
      <c r="AW125" s="61"/>
      <c r="AX125" s="57"/>
      <c r="AY125" s="62"/>
      <c r="AZ125" s="63"/>
      <c r="BA125" s="64"/>
      <c r="BB125" s="65"/>
      <c r="BC125" s="56"/>
      <c r="BD125" s="61"/>
      <c r="BE125" s="57"/>
      <c r="BF125" s="58"/>
      <c r="BG125" s="63"/>
      <c r="BH125" s="64"/>
      <c r="BI125" s="66"/>
      <c r="BK125" s="21" t="str">
        <f t="shared" si="23"/>
        <v>-1</v>
      </c>
      <c r="BM125" s="21"/>
    </row>
    <row r="126" ht="33.75" customHeight="1">
      <c r="A126" s="37"/>
      <c r="B126" s="38">
        <f>IFERROR(__xludf.DUMMYFUNCTION("""COMPUTED_VALUE"""),124.0)</f>
        <v>124</v>
      </c>
      <c r="C126" s="39" t="str">
        <f>IFERROR(__xludf.DUMMYFUNCTION("""COMPUTED_VALUE"""),"GESTIÓN DE LA ADMINISTRACIÓN Y FOMENTO")</f>
        <v>GESTIÓN DE LA ADMINISTRACIÓN Y FOMENTO</v>
      </c>
      <c r="D126" s="40" t="str">
        <f>IFERROR(__xludf.DUMMYFUNCTION("""COMPUTED_VALUE"""),"Regional Bogotá")</f>
        <v>Regional Bogotá</v>
      </c>
      <c r="E126" s="40" t="str">
        <f>IFERROR(__xludf.DUMMYFUNCTION("""COMPUTED_VALUE"""),"Fortalecimiento de la sostenibilidad del sector pesquero y de la acuicultura en el territorio nacional")</f>
        <v>Fortalecimiento de la sostenibilidad del sector pesquero y de la acuicultura en el territorio nacional</v>
      </c>
      <c r="F126" s="40">
        <f>IFERROR(__xludf.DUMMYFUNCTION("""COMPUTED_VALUE"""),2.01901100028E12)</f>
        <v>2019011000280</v>
      </c>
      <c r="G126" s="41" t="str">
        <f>IFERROR(__xludf.DUMMYFUNCTION("""COMPUTED_VALUE"""),"Sostenibilidad")</f>
        <v>Sostenibilidad</v>
      </c>
      <c r="H126" s="40" t="str">
        <f>IFERROR(__xludf.DUMMYFUNCTION("""COMPUTED_VALUE"""),"Mejorar la explotación de los recursos pesqueros y de la acuicultura.")</f>
        <v>Mejorar la explotación de los recursos pesqueros y de la acuicultura.</v>
      </c>
      <c r="I126" s="40" t="str">
        <f>IFERROR(__xludf.DUMMYFUNCTION("""COMPUTED_VALUE"""),"1-Servicios de apoyo a las estaciones de acuicultura")</f>
        <v>1-Servicios de apoyo a las estaciones de acuicultura</v>
      </c>
      <c r="J126" s="40" t="str">
        <f>IFERROR(__xludf.DUMMYFUNCTION("""COMPUTED_VALUE"""),"Desarrollar acciones de extensión rural a través de las estaciones de acuicultura")</f>
        <v>Desarrollar acciones de extensión rural a través de las estaciones de acuicultura</v>
      </c>
      <c r="K126" s="42" t="str">
        <f>IFERROR(__xludf.DUMMYFUNCTION("""COMPUTED_VALUE"""),"Producto")</f>
        <v>Producto</v>
      </c>
      <c r="L126" s="42" t="str">
        <f>IFERROR(__xludf.DUMMYFUNCTION("""COMPUTED_VALUE"""),"Eficacia")</f>
        <v>Eficacia</v>
      </c>
      <c r="M126" s="42" t="str">
        <f>IFERROR(__xludf.DUMMYFUNCTION("""COMPUTED_VALUE"""),"Número")</f>
        <v>Número</v>
      </c>
      <c r="N126" s="43" t="str">
        <f>IFERROR(__xludf.DUMMYFUNCTION("""COMPUTED_VALUE"""),"Estaciones de acuicultura apoyadas")</f>
        <v>Estaciones de acuicultura apoyadas</v>
      </c>
      <c r="O126" s="44"/>
      <c r="P126" s="45">
        <f>IFERROR(__xludf.DUMMYFUNCTION("""COMPUTED_VALUE"""),1.0)</f>
        <v>1</v>
      </c>
      <c r="Q126" s="46" t="str">
        <f>IFERROR(__xludf.DUMMYFUNCTION("""COMPUTED_VALUE"""),"Apoyo a estaciones de acuicultura (Gigante-Huila)")</f>
        <v>Apoyo a estaciones de acuicultura (Gigante-Huila)</v>
      </c>
      <c r="R126" s="47" t="str">
        <f>IFERROR(__xludf.DUMMYFUNCTION("""COMPUTED_VALUE"""),"Anual")</f>
        <v>Anual</v>
      </c>
      <c r="S126" s="45">
        <f>IFERROR(__xludf.DUMMYFUNCTION("""COMPUTED_VALUE"""),0.0)</f>
        <v>0</v>
      </c>
      <c r="T126" s="45">
        <f>IFERROR(__xludf.DUMMYFUNCTION("""COMPUTED_VALUE"""),0.0)</f>
        <v>0</v>
      </c>
      <c r="U126" s="45">
        <f>IFERROR(__xludf.DUMMYFUNCTION("""COMPUTED_VALUE"""),0.0)</f>
        <v>0</v>
      </c>
      <c r="V126" s="45">
        <f>IFERROR(__xludf.DUMMYFUNCTION("""COMPUTED_VALUE"""),1.0)</f>
        <v>1</v>
      </c>
      <c r="W126" s="48" t="str">
        <f>IFERROR(__xludf.DUMMYFUNCTION("""COMPUTED_VALUE"""),"Regional Bogota")</f>
        <v>Regional Bogota</v>
      </c>
      <c r="X126" s="49" t="str">
        <f>IFERROR(__xludf.DUMMYFUNCTION("""COMPUTED_VALUE"""),"Carlos Augusto Borda Rodriguez")</f>
        <v>Carlos Augusto Borda Rodriguez</v>
      </c>
      <c r="Y126" s="39" t="str">
        <f>IFERROR(__xludf.DUMMYFUNCTION("""COMPUTED_VALUE"""),"Director Regional Bogotá")</f>
        <v>Director Regional Bogotá</v>
      </c>
      <c r="Z126" s="49" t="str">
        <f>IFERROR(__xludf.DUMMYFUNCTION("""COMPUTED_VALUE"""),"carlos.borda@aunap.gov.co")</f>
        <v>carlos.borda@aunap.gov.co</v>
      </c>
      <c r="AA126" s="39" t="str">
        <f>IFERROR(__xludf.DUMMYFUNCTION("""COMPUTED_VALUE"""),"Humanos, Físicos, Financieros, Tecnológicos")</f>
        <v>Humanos, Físicos, Financieros, Tecnológicos</v>
      </c>
      <c r="AB126" s="39" t="str">
        <f>IFERROR(__xludf.DUMMYFUNCTION("""COMPUTED_VALUE"""),"No asociado")</f>
        <v>No asociado</v>
      </c>
      <c r="AC126" s="39" t="str">
        <f>IFERROR(__xludf.DUMMYFUNCTION("""COMPUTED_VALUE"""),"Llegar con actividades de pesca y acuicultura a todas las regiones")</f>
        <v>Llegar con actividades de pesca y acuicultura a todas las regiones</v>
      </c>
      <c r="AD126" s="39" t="str">
        <f>IFERROR(__xludf.DUMMYFUNCTION("""COMPUTED_VALUE"""),"Gestión con valores para resultados")</f>
        <v>Gestión con valores para resultados</v>
      </c>
      <c r="AE126" s="39" t="str">
        <f>IFERROR(__xludf.DUMMYFUNCTION("""COMPUTED_VALUE"""),"Fortalecimiento Organizacional y Simplificación de Procesos")</f>
        <v>Fortalecimiento Organizacional y Simplificación de Procesos</v>
      </c>
      <c r="AF126" s="39" t="str">
        <f>IFERROR(__xludf.DUMMYFUNCTION("""COMPUTED_VALUE"""),"12. Producción y consumo responsable")</f>
        <v>12. Producción y consumo responsable</v>
      </c>
      <c r="AG126" s="76">
        <f>IFERROR(__xludf.DUMMYFUNCTION("""COMPUTED_VALUE"""),0.0)</f>
        <v>0</v>
      </c>
      <c r="AH126" s="51" t="str">
        <f>IFERROR(__xludf.DUMMYFUNCTION("""COMPUTED_VALUE"""),"A la fecha se estan adelantando los tramites para la generacipon del convenio para el suministro de alimento e insumos para el correcto desempeño de la estación")</f>
        <v>A la fecha se estan adelantando los tramites para la generacipon del convenio para el suministro de alimento e insumos para el correcto desempeño de la estación</v>
      </c>
      <c r="AI126" s="72" t="str">
        <f>IFERROR(__xludf.DUMMYFUNCTION("""COMPUTED_VALUE"""),"https://drive.google.com/drive/folders/1k_0LKjHzDRDwTQMiLw5rSUAp3KfLmBcm")</f>
        <v>https://drive.google.com/drive/folders/1k_0LKjHzDRDwTQMiLw5rSUAp3KfLmBcm</v>
      </c>
      <c r="AJ126" s="52">
        <f>IFERROR(__xludf.DUMMYFUNCTION("""COMPUTED_VALUE"""),44298.0)</f>
        <v>44298</v>
      </c>
      <c r="AK126" s="53" t="str">
        <f>IFERROR(IF((AL126+1)&lt;2,Alertas!$B$2&amp;TEXT(AL126,"0%")&amp;Alertas!$D$2, IF((AL126+1)=2,Alertas!$B$3,IF((AL126+1)&gt;2,Alertas!$B$4&amp;TEXT(AL126,"0%")&amp;Alertas!$D$4,AL126+1))),"Sin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26" s="54">
        <f t="shared" si="2"/>
        <v>0</v>
      </c>
      <c r="AM126"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26" s="55"/>
      <c r="AO126" s="56"/>
      <c r="AP126" s="57"/>
      <c r="AQ126" s="57"/>
      <c r="AR126" s="58"/>
      <c r="AS126" s="59"/>
      <c r="AT126" s="60"/>
      <c r="AU126" s="55"/>
      <c r="AV126" s="56"/>
      <c r="AW126" s="61"/>
      <c r="AX126" s="57"/>
      <c r="AY126" s="62"/>
      <c r="AZ126" s="63"/>
      <c r="BA126" s="64"/>
      <c r="BB126" s="65"/>
      <c r="BC126" s="56"/>
      <c r="BD126" s="61"/>
      <c r="BE126" s="57"/>
      <c r="BF126" s="58"/>
      <c r="BG126" s="63"/>
      <c r="BH126" s="64"/>
      <c r="BI126" s="66"/>
      <c r="BK126" s="21" t="str">
        <f t="shared" si="23"/>
        <v>-1</v>
      </c>
      <c r="BM126" s="21"/>
    </row>
    <row r="127" ht="33.75" customHeight="1">
      <c r="A127" s="37"/>
      <c r="B127" s="38">
        <f>IFERROR(__xludf.DUMMYFUNCTION("""COMPUTED_VALUE"""),125.0)</f>
        <v>125</v>
      </c>
      <c r="C127" s="39" t="str">
        <f>IFERROR(__xludf.DUMMYFUNCTION("""COMPUTED_VALUE"""),"Gestión de la administración y fomento")</f>
        <v>Gestión de la administración y fomento</v>
      </c>
      <c r="D127" s="40" t="str">
        <f>IFERROR(__xludf.DUMMYFUNCTION("""COMPUTED_VALUE"""),"Regional Cali")</f>
        <v>Regional Cali</v>
      </c>
      <c r="E127" s="40" t="str">
        <f>IFERROR(__xludf.DUMMYFUNCTION("""COMPUTED_VALUE"""),"Fortalecimiento de la sostenibilidad del sector pesquero y de la acuicultura en el territorio nacional")</f>
        <v>Fortalecimiento de la sostenibilidad del sector pesquero y de la acuicultura en el territorio nacional</v>
      </c>
      <c r="F127" s="40">
        <f>IFERROR(__xludf.DUMMYFUNCTION("""COMPUTED_VALUE"""),2.01901100028E12)</f>
        <v>2019011000280</v>
      </c>
      <c r="G127" s="41" t="str">
        <f>IFERROR(__xludf.DUMMYFUNCTION("""COMPUTED_VALUE"""),"Sostenibilidad")</f>
        <v>Sostenibilidad</v>
      </c>
      <c r="H127" s="40" t="str">
        <f>IFERROR(__xludf.DUMMYFUNCTION("""COMPUTED_VALUE"""),"Mejorar la explotación de los recursos pesqueros y de la acuicultura.")</f>
        <v>Mejorar la explotación de los recursos pesqueros y de la acuicultura.</v>
      </c>
      <c r="I127" s="40" t="str">
        <f>IFERROR(__xludf.DUMMYFUNCTION("""COMPUTED_VALUE"""),"Servicios de administración de los recurso pesqueros y de la acuicultura")</f>
        <v>Servicios de administración de los recurso pesqueros y de la acuicultura</v>
      </c>
      <c r="J127" s="40" t="str">
        <f>IFERROR(__xludf.DUMMYFUNCTION("""COMPUTED_VALUE"""),"Regular el manejo y el ejercicio de la actividad pesquera y de la acuicultura.")</f>
        <v>Regular el manejo y el ejercicio de la actividad pesquera y de la acuicultura.</v>
      </c>
      <c r="K127" s="42" t="str">
        <f>IFERROR(__xludf.DUMMYFUNCTION("""COMPUTED_VALUE"""),"Producto")</f>
        <v>Producto</v>
      </c>
      <c r="L127" s="42" t="str">
        <f>IFERROR(__xludf.DUMMYFUNCTION("""COMPUTED_VALUE"""),"Eficacia")</f>
        <v>Eficacia</v>
      </c>
      <c r="M127" s="42" t="str">
        <f>IFERROR(__xludf.DUMMYFUNCTION("""COMPUTED_VALUE"""),"Número")</f>
        <v>Número</v>
      </c>
      <c r="N127" s="43" t="str">
        <f>IFERROR(__xludf.DUMMYFUNCTION("""COMPUTED_VALUE"""),"Trámites atendidos")</f>
        <v>Trámites atendidos</v>
      </c>
      <c r="O127" s="44">
        <f>IFERROR(__xludf.DUMMYFUNCTION("""COMPUTED_VALUE"""),-7140.0)</f>
        <v>-7140</v>
      </c>
      <c r="P127" s="45">
        <f>IFERROR(__xludf.DUMMYFUNCTION("""COMPUTED_VALUE"""),410.0)</f>
        <v>410</v>
      </c>
      <c r="Q127" s="46" t="str">
        <f>IFERROR(__xludf.DUMMYFUNCTION("""COMPUTED_VALUE"""),"Atención de trámites")</f>
        <v>Atención de trámites</v>
      </c>
      <c r="R127" s="47" t="str">
        <f>IFERROR(__xludf.DUMMYFUNCTION("""COMPUTED_VALUE"""),"Trimestral")</f>
        <v>Trimestral</v>
      </c>
      <c r="S127" s="45">
        <f>IFERROR(__xludf.DUMMYFUNCTION("""COMPUTED_VALUE"""),105.0)</f>
        <v>105</v>
      </c>
      <c r="T127" s="45">
        <f>IFERROR(__xludf.DUMMYFUNCTION("""COMPUTED_VALUE"""),85.0)</f>
        <v>85</v>
      </c>
      <c r="U127" s="45">
        <f>IFERROR(__xludf.DUMMYFUNCTION("""COMPUTED_VALUE"""),120.0)</f>
        <v>120</v>
      </c>
      <c r="V127" s="45">
        <f>IFERROR(__xludf.DUMMYFUNCTION("""COMPUTED_VALUE"""),100.0)</f>
        <v>100</v>
      </c>
      <c r="W127" s="48" t="str">
        <f>IFERROR(__xludf.DUMMYFUNCTION("""COMPUTED_VALUE"""),"Regional Cali")</f>
        <v>Regional Cali</v>
      </c>
      <c r="X127" s="49" t="str">
        <f>IFERROR(__xludf.DUMMYFUNCTION("""COMPUTED_VALUE"""),"Sandra Amgulo")</f>
        <v>Sandra Amgulo</v>
      </c>
      <c r="Y127" s="39" t="str">
        <f>IFERROR(__xludf.DUMMYFUNCTION("""COMPUTED_VALUE"""),"Director Regional")</f>
        <v>Director Regional</v>
      </c>
      <c r="Z127" s="49" t="str">
        <f>IFERROR(__xludf.DUMMYFUNCTION("""COMPUTED_VALUE"""),"sandra.angulo@aunap.gov.co")</f>
        <v>sandra.angulo@aunap.gov.co</v>
      </c>
      <c r="AA127" s="39" t="str">
        <f>IFERROR(__xludf.DUMMYFUNCTION("""COMPUTED_VALUE"""),"Humanos, fisicos, financieros y tecnologicos")</f>
        <v>Humanos, fisicos, financieros y tecnologicos</v>
      </c>
      <c r="AB127" s="39" t="str">
        <f>IFERROR(__xludf.DUMMYFUNCTION("""COMPUTED_VALUE"""),"No asociado")</f>
        <v>No asociado</v>
      </c>
      <c r="AC127" s="39" t="str">
        <f>IFERROR(__xludf.DUMMYFUNCTION("""COMPUTED_VALUE"""),"Propiciar la formalización de la pesca y la acuicultura")</f>
        <v>Propiciar la formalización de la pesca y la acuicultura</v>
      </c>
      <c r="AD127" s="39" t="str">
        <f>IFERROR(__xludf.DUMMYFUNCTION("""COMPUTED_VALUE"""),"Gestión con valores para resultados")</f>
        <v>Gestión con valores para resultados</v>
      </c>
      <c r="AE127" s="39" t="str">
        <f>IFERROR(__xludf.DUMMYFUNCTION("""COMPUTED_VALUE"""),"Fortalecimiento Organizacional y Simplificación de Procesos")</f>
        <v>Fortalecimiento Organizacional y Simplificación de Procesos</v>
      </c>
      <c r="AF127" s="39" t="str">
        <f>IFERROR(__xludf.DUMMYFUNCTION("""COMPUTED_VALUE"""),"12. Producción y consumo responsable")</f>
        <v>12. Producción y consumo responsable</v>
      </c>
      <c r="AG127" s="76">
        <f>IFERROR(__xludf.DUMMYFUNCTION("""COMPUTED_VALUE"""),172.0)</f>
        <v>172</v>
      </c>
      <c r="AH127" s="51" t="str">
        <f>IFERROR(__xludf.DUMMYFUNCTION("""COMPUTED_VALUE"""),"ESTAS  ACTIVIDADES   SE EJECUTARON EN SU TOTALIDAD,, SUPERANDO LA META ESTABLECIDA  EN UN 63% MAS DE LA   ESTABLECIDA,   YA QUE  SE  ATENDIERON  TODOS LOS TRAMITES  DE LAS SOLICITUDES DE PERMISOS Y PRORROGAS  PRESENTASOS   POR PARTE LOS DIFERENTES PERMISI"&amp;"ONARIOS  PARA EL EJERCICIO DE LAACTIVIDAD PESQUERA  DE EXTRACCION,  PROCESO Y COMERCIALIZACION ")</f>
        <v>ESTAS  ACTIVIDADES   SE EJECUTARON EN SU TOTALIDAD,, SUPERANDO LA META ESTABLECIDA  EN UN 63% MAS DE LA   ESTABLECIDA,   YA QUE  SE  ATENDIERON  TODOS LOS TRAMITES  DE LAS SOLICITUDES DE PERMISOS Y PRORROGAS  PRESENTASOS   POR PARTE LOS DIFERENTES PERMISIONARIOS  PARA EL EJERCICIO DE LAACTIVIDAD PESQUERA  DE EXTRACCION,  PROCESO Y COMERCIALIZACION </v>
      </c>
      <c r="AI127" s="72" t="str">
        <f>IFERROR(__xludf.DUMMYFUNCTION("""COMPUTED_VALUE"""),"https://drive.google.com/file/d/1es4qBrUQ_9hRoy_ky79PHEGf3hxGGDEy/view?usp=sharing|")</f>
        <v>https://drive.google.com/file/d/1es4qBrUQ_9hRoy_ky79PHEGf3hxGGDEy/view?usp=sharing|</v>
      </c>
      <c r="AJ127" s="52">
        <f>IFERROR(__xludf.DUMMYFUNCTION("""COMPUTED_VALUE"""),44298.0)</f>
        <v>44298</v>
      </c>
      <c r="AK127" s="53" t="str">
        <f>IFERROR(IF((AL127+1)&lt;2,Alertas!$B$2&amp;TEXT(AL127,"0%")&amp;Alertas!$D$2, IF((AL127+1)=2,Alertas!$B$3,IF((AL127+1)&gt;2,Alertas!$B$4&amp;TEXT(AL127,"0%")&amp;Alertas!$D$4,AL127+1))),"Sin meta para el cuarto trimestre")</f>
        <v>La ejecución de la meta registrada se encuentra por encima de la meta programada en la formulación del plan de acción para el cuarto trimestre, su porcentaje de cumplimiento es 172%, lo cual indica una sobre ejecución que puede ser entendido por los entes de control como falencias en el proceso de planeación. se recomienda tomar este antecedente como insumo para incrementar la meta en la próxima vigencia</v>
      </c>
      <c r="AL127" s="54">
        <f t="shared" si="2"/>
        <v>1.72</v>
      </c>
      <c r="AM127" s="53" t="str">
        <f t="shared" si="3"/>
        <v>La ejecución de la meta registrada se encuentra por encima de la meta programada en la formulación del plan de acción para el cuarto trimestre, su porcentaje de cumplimiento es 172%, lo cual indica una sobre ejecución que puede ser entendido por los entes de control como falencias en el proceso de planeación. se recomienda tomar este antecedente como insumo para incrementar la meta en la próxima vigencia.</v>
      </c>
      <c r="AN127" s="55"/>
      <c r="AO127" s="56"/>
      <c r="AP127" s="57"/>
      <c r="AQ127" s="57"/>
      <c r="AR127" s="58"/>
      <c r="AS127" s="59"/>
      <c r="AT127" s="60"/>
      <c r="AU127" s="55"/>
      <c r="AV127" s="56"/>
      <c r="AW127" s="61"/>
      <c r="AX127" s="57"/>
      <c r="AY127" s="62"/>
      <c r="AZ127" s="63"/>
      <c r="BA127" s="64"/>
      <c r="BB127" s="65"/>
      <c r="BC127" s="56"/>
      <c r="BD127" s="61"/>
      <c r="BE127" s="57"/>
      <c r="BF127" s="58"/>
      <c r="BG127" s="63"/>
      <c r="BH127" s="64"/>
      <c r="BI127" s="66"/>
      <c r="BK127" s="21" t="str">
        <f t="shared" si="23"/>
        <v>1</v>
      </c>
      <c r="BM127" s="21"/>
    </row>
    <row r="128" ht="33.75" customHeight="1">
      <c r="A128" s="37"/>
      <c r="B128" s="38">
        <f>IFERROR(__xludf.DUMMYFUNCTION("""COMPUTED_VALUE"""),126.0)</f>
        <v>126</v>
      </c>
      <c r="C128" s="39" t="str">
        <f>IFERROR(__xludf.DUMMYFUNCTION("""COMPUTED_VALUE"""),"Gestión de la administración y fomento")</f>
        <v>Gestión de la administración y fomento</v>
      </c>
      <c r="D128" s="40" t="str">
        <f>IFERROR(__xludf.DUMMYFUNCTION("""COMPUTED_VALUE"""),"Regional Cali")</f>
        <v>Regional Cali</v>
      </c>
      <c r="E128" s="40" t="str">
        <f>IFERROR(__xludf.DUMMYFUNCTION("""COMPUTED_VALUE"""),"Fortalecimiento de la sostenibilidad del sector pesquero y de la acuicultura en el territorio nacional")</f>
        <v>Fortalecimiento de la sostenibilidad del sector pesquero y de la acuicultura en el territorio nacional</v>
      </c>
      <c r="F128" s="40">
        <f>IFERROR(__xludf.DUMMYFUNCTION("""COMPUTED_VALUE"""),2.01901100028E12)</f>
        <v>2019011000280</v>
      </c>
      <c r="G128" s="41" t="str">
        <f>IFERROR(__xludf.DUMMYFUNCTION("""COMPUTED_VALUE"""),"Sostenibilidad")</f>
        <v>Sostenibilidad</v>
      </c>
      <c r="H128" s="40" t="str">
        <f>IFERROR(__xludf.DUMMYFUNCTION("""COMPUTED_VALUE"""),"Mejorar la explotación de los recursos pesqueros y de la acuicultura.")</f>
        <v>Mejorar la explotación de los recursos pesqueros y de la acuicultura.</v>
      </c>
      <c r="I128" s="40" t="str">
        <f>IFERROR(__xludf.DUMMYFUNCTION("""COMPUTED_VALUE"""),"2-Servicios de apoyo a las estaciones de acuicultura")</f>
        <v>2-Servicios de apoyo a las estaciones de acuicultura</v>
      </c>
      <c r="J128" s="40" t="str">
        <f>IFERROR(__xludf.DUMMYFUNCTION("""COMPUTED_VALUE"""),"Producir alevinos para el sector productivo y/o con fines de repoblamiento.")</f>
        <v>Producir alevinos para el sector productivo y/o con fines de repoblamiento.</v>
      </c>
      <c r="K128" s="42" t="str">
        <f>IFERROR(__xludf.DUMMYFUNCTION("""COMPUTED_VALUE"""),"Producto")</f>
        <v>Producto</v>
      </c>
      <c r="L128" s="42" t="str">
        <f>IFERROR(__xludf.DUMMYFUNCTION("""COMPUTED_VALUE"""),"Eficacia")</f>
        <v>Eficacia</v>
      </c>
      <c r="M128" s="42" t="str">
        <f>IFERROR(__xludf.DUMMYFUNCTION("""COMPUTED_VALUE"""),"Número")</f>
        <v>Número</v>
      </c>
      <c r="N128" s="43" t="str">
        <f>IFERROR(__xludf.DUMMYFUNCTION("""COMPUTED_VALUE"""),"Alevinos producidos")</f>
        <v>Alevinos producidos</v>
      </c>
      <c r="O128" s="44">
        <f>IFERROR(__xludf.DUMMYFUNCTION("""COMPUTED_VALUE"""),-1.0)</f>
        <v>-1</v>
      </c>
      <c r="P128" s="45">
        <f>IFERROR(__xludf.DUMMYFUNCTION("""COMPUTED_VALUE"""),20000.0)</f>
        <v>20000</v>
      </c>
      <c r="Q128" s="46" t="str">
        <f>IFERROR(__xludf.DUMMYFUNCTION("""COMPUTED_VALUE"""),"producción de alevinos")</f>
        <v>producción de alevinos</v>
      </c>
      <c r="R128" s="47" t="str">
        <f>IFERROR(__xludf.DUMMYFUNCTION("""COMPUTED_VALUE"""),"Trimestral")</f>
        <v>Trimestral</v>
      </c>
      <c r="S128" s="45">
        <f>IFERROR(__xludf.DUMMYFUNCTION("""COMPUTED_VALUE"""),0.0)</f>
        <v>0</v>
      </c>
      <c r="T128" s="45">
        <f>IFERROR(__xludf.DUMMYFUNCTION("""COMPUTED_VALUE"""),5000.0)</f>
        <v>5000</v>
      </c>
      <c r="U128" s="45">
        <f>IFERROR(__xludf.DUMMYFUNCTION("""COMPUTED_VALUE"""),5000.0)</f>
        <v>5000</v>
      </c>
      <c r="V128" s="45">
        <f>IFERROR(__xludf.DUMMYFUNCTION("""COMPUTED_VALUE"""),10000.0)</f>
        <v>10000</v>
      </c>
      <c r="W128" s="48" t="str">
        <f>IFERROR(__xludf.DUMMYFUNCTION("""COMPUTED_VALUE"""),"Regional Cali")</f>
        <v>Regional Cali</v>
      </c>
      <c r="X128" s="49" t="str">
        <f>IFERROR(__xludf.DUMMYFUNCTION("""COMPUTED_VALUE"""),"Sandra Amgulo")</f>
        <v>Sandra Amgulo</v>
      </c>
      <c r="Y128" s="39" t="str">
        <f>IFERROR(__xludf.DUMMYFUNCTION("""COMPUTED_VALUE"""),"Director Regional")</f>
        <v>Director Regional</v>
      </c>
      <c r="Z128" s="49" t="str">
        <f>IFERROR(__xludf.DUMMYFUNCTION("""COMPUTED_VALUE"""),"sandra.angulo@aunap.gov.co")</f>
        <v>sandra.angulo@aunap.gov.co</v>
      </c>
      <c r="AA128" s="39" t="str">
        <f>IFERROR(__xludf.DUMMYFUNCTION("""COMPUTED_VALUE"""),"Humanos, fisicos, financieros y tecnologicos")</f>
        <v>Humanos, fisicos, financieros y tecnologicos</v>
      </c>
      <c r="AB128" s="39" t="str">
        <f>IFERROR(__xludf.DUMMYFUNCTION("""COMPUTED_VALUE"""),"No asociado")</f>
        <v>No asociado</v>
      </c>
      <c r="AC128" s="39" t="str">
        <f>IFERROR(__xludf.DUMMYFUNCTION("""COMPUTED_VALUE"""),"Llegar con actividades de pesca y acuicultura a todas las regiones")</f>
        <v>Llegar con actividades de pesca y acuicultura a todas las regiones</v>
      </c>
      <c r="AD128" s="39" t="str">
        <f>IFERROR(__xludf.DUMMYFUNCTION("""COMPUTED_VALUE"""),"Gestión con valores para resultados")</f>
        <v>Gestión con valores para resultados</v>
      </c>
      <c r="AE128" s="39" t="str">
        <f>IFERROR(__xludf.DUMMYFUNCTION("""COMPUTED_VALUE"""),"Fortalecimiento Organizacional y Simplificación de Procesos")</f>
        <v>Fortalecimiento Organizacional y Simplificación de Procesos</v>
      </c>
      <c r="AF128" s="39" t="str">
        <f>IFERROR(__xludf.DUMMYFUNCTION("""COMPUTED_VALUE"""),"12. Producción y consumo responsable")</f>
        <v>12. Producción y consumo responsable</v>
      </c>
      <c r="AG128" s="76">
        <f>IFERROR(__xludf.DUMMYFUNCTION("""COMPUTED_VALUE"""),0.0)</f>
        <v>0</v>
      </c>
      <c r="AH128" s="51" t="str">
        <f>IFERROR(__xludf.DUMMYFUNCTION("""COMPUTED_VALUE"""),"NO HABIAN METAS  PLANTEADAS  PARA ESTA ACTIVIDAD  DURANTE ESTE PERIODO")</f>
        <v>NO HABIAN METAS  PLANTEADAS  PARA ESTA ACTIVIDAD  DURANTE ESTE PERIODO</v>
      </c>
      <c r="AI128" s="51" t="str">
        <f>IFERROR(__xludf.DUMMYFUNCTION("""COMPUTED_VALUE"""),"NO HABIAN METAS  PLANTEADAS  PARA ESTA ACTIVIDAD  DURANTE ESTE PERIODO")</f>
        <v>NO HABIAN METAS  PLANTEADAS  PARA ESTA ACTIVIDAD  DURANTE ESTE PERIODO</v>
      </c>
      <c r="AJ128" s="52">
        <f>IFERROR(__xludf.DUMMYFUNCTION("""COMPUTED_VALUE"""),44298.0)</f>
        <v>44298</v>
      </c>
      <c r="AK128" s="53" t="str">
        <f>IFERROR(IF((AL128+1)&lt;2,Alertas!$B$2&amp;TEXT(AL128,"0%")&amp;Alertas!$D$2, IF((AL128+1)=2,Alertas!$B$3,IF((AL128+1)&gt;2,Alertas!$B$4&amp;TEXT(AL128,"0%")&amp;Alertas!$D$4,AL128+1))),"Sin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28" s="54">
        <f t="shared" si="2"/>
        <v>0</v>
      </c>
      <c r="AM128"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28" s="55"/>
      <c r="AO128" s="56"/>
      <c r="AP128" s="57"/>
      <c r="AQ128" s="57"/>
      <c r="AR128" s="58"/>
      <c r="AS128" s="59"/>
      <c r="AT128" s="60"/>
      <c r="AU128" s="55"/>
      <c r="AV128" s="56"/>
      <c r="AW128" s="61"/>
      <c r="AX128" s="57"/>
      <c r="AY128" s="62"/>
      <c r="AZ128" s="63"/>
      <c r="BA128" s="64"/>
      <c r="BB128" s="65"/>
      <c r="BC128" s="56"/>
      <c r="BD128" s="61"/>
      <c r="BE128" s="57"/>
      <c r="BF128" s="58"/>
      <c r="BG128" s="63"/>
      <c r="BH128" s="64"/>
      <c r="BI128" s="66"/>
      <c r="BK128" s="21" t="str">
        <f t="shared" si="23"/>
        <v>-1</v>
      </c>
      <c r="BM128" s="21"/>
    </row>
    <row r="129" ht="33.75" customHeight="1">
      <c r="A129" s="37"/>
      <c r="B129" s="38">
        <f>IFERROR(__xludf.DUMMYFUNCTION("""COMPUTED_VALUE"""),127.0)</f>
        <v>127</v>
      </c>
      <c r="C129" s="39" t="str">
        <f>IFERROR(__xludf.DUMMYFUNCTION("""COMPUTED_VALUE"""),"Gestión de la administración y fomento")</f>
        <v>Gestión de la administración y fomento</v>
      </c>
      <c r="D129" s="40" t="str">
        <f>IFERROR(__xludf.DUMMYFUNCTION("""COMPUTED_VALUE"""),"Regional Cali")</f>
        <v>Regional Cali</v>
      </c>
      <c r="E129" s="40" t="str">
        <f>IFERROR(__xludf.DUMMYFUNCTION("""COMPUTED_VALUE"""),"Fortalecimiento de la sostenibilidad del sector pesquero y de la acuicultura en el territorio nacional")</f>
        <v>Fortalecimiento de la sostenibilidad del sector pesquero y de la acuicultura en el territorio nacional</v>
      </c>
      <c r="F129" s="40">
        <f>IFERROR(__xludf.DUMMYFUNCTION("""COMPUTED_VALUE"""),2.01901100028E12)</f>
        <v>2019011000280</v>
      </c>
      <c r="G129" s="41" t="str">
        <f>IFERROR(__xludf.DUMMYFUNCTION("""COMPUTED_VALUE"""),"Sostenibilidad")</f>
        <v>Sostenibilidad</v>
      </c>
      <c r="H129" s="40" t="str">
        <f>IFERROR(__xludf.DUMMYFUNCTION("""COMPUTED_VALUE"""),"Mejorar la explotación de los recursos pesqueros y de la acuicultura.")</f>
        <v>Mejorar la explotación de los recursos pesqueros y de la acuicultura.</v>
      </c>
      <c r="I129" s="40" t="str">
        <f>IFERROR(__xludf.DUMMYFUNCTION("""COMPUTED_VALUE"""),"3-Servicios de apoyo a las estaciones de acuicultura")</f>
        <v>3-Servicios de apoyo a las estaciones de acuicultura</v>
      </c>
      <c r="J129" s="40" t="str">
        <f>IFERROR(__xludf.DUMMYFUNCTION("""COMPUTED_VALUE"""),"Desarrollar acciones de extensión rural a través de las estaciones de acuicultura")</f>
        <v>Desarrollar acciones de extensión rural a través de las estaciones de acuicultura</v>
      </c>
      <c r="K129" s="42" t="str">
        <f>IFERROR(__xludf.DUMMYFUNCTION("""COMPUTED_VALUE"""),"Producto")</f>
        <v>Producto</v>
      </c>
      <c r="L129" s="42" t="str">
        <f>IFERROR(__xludf.DUMMYFUNCTION("""COMPUTED_VALUE"""),"Eficacia")</f>
        <v>Eficacia</v>
      </c>
      <c r="M129" s="42" t="str">
        <f>IFERROR(__xludf.DUMMYFUNCTION("""COMPUTED_VALUE"""),"Número")</f>
        <v>Número</v>
      </c>
      <c r="N129" s="43" t="str">
        <f>IFERROR(__xludf.DUMMYFUNCTION("""COMPUTED_VALUE"""),"Eventos realizados")</f>
        <v>Eventos realizados</v>
      </c>
      <c r="O129" s="44">
        <f>IFERROR(__xludf.DUMMYFUNCTION("""COMPUTED_VALUE"""),-7140.0)</f>
        <v>-7140</v>
      </c>
      <c r="P129" s="45">
        <f>IFERROR(__xludf.DUMMYFUNCTION("""COMPUTED_VALUE"""),3.0)</f>
        <v>3</v>
      </c>
      <c r="Q129" s="46" t="str">
        <f>IFERROR(__xludf.DUMMYFUNCTION("""COMPUTED_VALUE"""),"Desarrollar campañas informativas y Divulgadas de acciones de acuicultura a través de las estaciones")</f>
        <v>Desarrollar campañas informativas y Divulgadas de acciones de acuicultura a través de las estaciones</v>
      </c>
      <c r="R129" s="47" t="str">
        <f>IFERROR(__xludf.DUMMYFUNCTION("""COMPUTED_VALUE"""),"Trimestral")</f>
        <v>Trimestral</v>
      </c>
      <c r="S129" s="45">
        <f>IFERROR(__xludf.DUMMYFUNCTION("""COMPUTED_VALUE"""),0.0)</f>
        <v>0</v>
      </c>
      <c r="T129" s="45">
        <f>IFERROR(__xludf.DUMMYFUNCTION("""COMPUTED_VALUE"""),1.0)</f>
        <v>1</v>
      </c>
      <c r="U129" s="45">
        <f>IFERROR(__xludf.DUMMYFUNCTION("""COMPUTED_VALUE"""),1.0)</f>
        <v>1</v>
      </c>
      <c r="V129" s="45">
        <f>IFERROR(__xludf.DUMMYFUNCTION("""COMPUTED_VALUE"""),1.0)</f>
        <v>1</v>
      </c>
      <c r="W129" s="48" t="str">
        <f>IFERROR(__xludf.DUMMYFUNCTION("""COMPUTED_VALUE"""),"Regional Cali")</f>
        <v>Regional Cali</v>
      </c>
      <c r="X129" s="49" t="str">
        <f>IFERROR(__xludf.DUMMYFUNCTION("""COMPUTED_VALUE"""),"Sandra Amgulo")</f>
        <v>Sandra Amgulo</v>
      </c>
      <c r="Y129" s="39" t="str">
        <f>IFERROR(__xludf.DUMMYFUNCTION("""COMPUTED_VALUE"""),"Director Regional")</f>
        <v>Director Regional</v>
      </c>
      <c r="Z129" s="49" t="str">
        <f>IFERROR(__xludf.DUMMYFUNCTION("""COMPUTED_VALUE"""),"sandra.angulo@aunap.gov.co")</f>
        <v>sandra.angulo@aunap.gov.co</v>
      </c>
      <c r="AA129" s="39" t="str">
        <f>IFERROR(__xludf.DUMMYFUNCTION("""COMPUTED_VALUE"""),"Humanos, fisicos, financieros y tecnologicos")</f>
        <v>Humanos, fisicos, financieros y tecnologicos</v>
      </c>
      <c r="AB129" s="39" t="str">
        <f>IFERROR(__xludf.DUMMYFUNCTION("""COMPUTED_VALUE"""),"No asociado")</f>
        <v>No asociado</v>
      </c>
      <c r="AC129" s="39" t="str">
        <f>IFERROR(__xludf.DUMMYFUNCTION("""COMPUTED_VALUE"""),"Llegar con actividades de pesca y acuicultura a todas las regiones")</f>
        <v>Llegar con actividades de pesca y acuicultura a todas las regiones</v>
      </c>
      <c r="AD129" s="39" t="str">
        <f>IFERROR(__xludf.DUMMYFUNCTION("""COMPUTED_VALUE"""),"Gestión con valores para resultados")</f>
        <v>Gestión con valores para resultados</v>
      </c>
      <c r="AE129" s="39" t="str">
        <f>IFERROR(__xludf.DUMMYFUNCTION("""COMPUTED_VALUE"""),"Fortalecimiento Organizacional y Simplificación de Procesos")</f>
        <v>Fortalecimiento Organizacional y Simplificación de Procesos</v>
      </c>
      <c r="AF129" s="39" t="str">
        <f>IFERROR(__xludf.DUMMYFUNCTION("""COMPUTED_VALUE"""),"12. Producción y consumo responsable")</f>
        <v>12. Producción y consumo responsable</v>
      </c>
      <c r="AG129" s="76">
        <f>IFERROR(__xludf.DUMMYFUNCTION("""COMPUTED_VALUE"""),0.0)</f>
        <v>0</v>
      </c>
      <c r="AH129" s="51" t="str">
        <f>IFERROR(__xludf.DUMMYFUNCTION("""COMPUTED_VALUE"""),"NO HABIAN METAS  PLANTEADAS  PARA ESTA ACTIVIDAD  DURANTE ESTE PERIODO")</f>
        <v>NO HABIAN METAS  PLANTEADAS  PARA ESTA ACTIVIDAD  DURANTE ESTE PERIODO</v>
      </c>
      <c r="AI129" s="51" t="str">
        <f>IFERROR(__xludf.DUMMYFUNCTION("""COMPUTED_VALUE"""),"NO HABIAN METAS  PLANTEADAS  PARA ESTA ACTIVIDAD  DURANTE ESTE PERIODO")</f>
        <v>NO HABIAN METAS  PLANTEADAS  PARA ESTA ACTIVIDAD  DURANTE ESTE PERIODO</v>
      </c>
      <c r="AJ129" s="52">
        <f>IFERROR(__xludf.DUMMYFUNCTION("""COMPUTED_VALUE"""),44298.0)</f>
        <v>44298</v>
      </c>
      <c r="AK129" s="53" t="str">
        <f>IFERROR(IF((AL129+1)&lt;2,Alertas!$B$2&amp;TEXT(AL129,"0%")&amp;Alertas!$D$2, IF((AL129+1)=2,Alertas!$B$3,IF((AL129+1)&gt;2,Alertas!$B$4&amp;TEXT(AL129,"0%")&amp;Alertas!$D$4,AL129+1))),"Sin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29" s="54">
        <f t="shared" si="2"/>
        <v>0</v>
      </c>
      <c r="AM129"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29" s="55"/>
      <c r="AO129" s="56"/>
      <c r="AP129" s="57"/>
      <c r="AQ129" s="57"/>
      <c r="AR129" s="58"/>
      <c r="AS129" s="59"/>
      <c r="AT129" s="60"/>
      <c r="AU129" s="55"/>
      <c r="AV129" s="56"/>
      <c r="AW129" s="61"/>
      <c r="AX129" s="57"/>
      <c r="AY129" s="62"/>
      <c r="AZ129" s="63"/>
      <c r="BA129" s="64"/>
      <c r="BB129" s="65"/>
      <c r="BC129" s="56"/>
      <c r="BD129" s="61"/>
      <c r="BE129" s="57"/>
      <c r="BF129" s="58"/>
      <c r="BG129" s="63"/>
      <c r="BH129" s="64"/>
      <c r="BI129" s="66"/>
      <c r="BK129" s="21" t="str">
        <f t="shared" si="23"/>
        <v>-1</v>
      </c>
      <c r="BM129" s="21"/>
    </row>
    <row r="130" ht="33.75" customHeight="1">
      <c r="A130" s="37"/>
      <c r="B130" s="38">
        <f>IFERROR(__xludf.DUMMYFUNCTION("""COMPUTED_VALUE"""),128.0)</f>
        <v>128</v>
      </c>
      <c r="C130" s="39" t="str">
        <f>IFERROR(__xludf.DUMMYFUNCTION("""COMPUTED_VALUE"""),"Gestión de la administración y fomento")</f>
        <v>Gestión de la administración y fomento</v>
      </c>
      <c r="D130" s="40" t="str">
        <f>IFERROR(__xludf.DUMMYFUNCTION("""COMPUTED_VALUE"""),"Regional Cali")</f>
        <v>Regional Cali</v>
      </c>
      <c r="E130" s="40" t="str">
        <f>IFERROR(__xludf.DUMMYFUNCTION("""COMPUTED_VALUE"""),"Fortalecimiento de la sostenibilidad del sector pesquero y de la acuicultura en el territorio nacional")</f>
        <v>Fortalecimiento de la sostenibilidad del sector pesquero y de la acuicultura en el territorio nacional</v>
      </c>
      <c r="F130" s="40">
        <f>IFERROR(__xludf.DUMMYFUNCTION("""COMPUTED_VALUE"""),2.01901100028E12)</f>
        <v>2019011000280</v>
      </c>
      <c r="G130" s="41" t="str">
        <f>IFERROR(__xludf.DUMMYFUNCTION("""COMPUTED_VALUE"""),"Sostenibilidad")</f>
        <v>Sostenibilidad</v>
      </c>
      <c r="H130" s="40" t="str">
        <f>IFERROR(__xludf.DUMMYFUNCTION("""COMPUTED_VALUE"""),"Mejorar la explotación de los recursos pesqueros y de la acuicultura.")</f>
        <v>Mejorar la explotación de los recursos pesqueros y de la acuicultura.</v>
      </c>
      <c r="I130" s="40" t="str">
        <f>IFERROR(__xludf.DUMMYFUNCTION("""COMPUTED_VALUE"""),"Servicios de administración de los recurso pesqueros y de la acuicultura")</f>
        <v>Servicios de administración de los recurso pesqueros y de la acuicultura</v>
      </c>
      <c r="J130" s="40" t="str">
        <f>IFERROR(__xludf.DUMMYFUNCTION("""COMPUTED_VALUE"""),"Realizar acciones de divulgación y formalización de la actividad pesquera y de la acuicultura.")</f>
        <v>Realizar acciones de divulgación y formalización de la actividad pesquera y de la acuicultura.</v>
      </c>
      <c r="K130" s="42" t="str">
        <f>IFERROR(__xludf.DUMMYFUNCTION("""COMPUTED_VALUE"""),"Producto")</f>
        <v>Producto</v>
      </c>
      <c r="L130" s="42" t="str">
        <f>IFERROR(__xludf.DUMMYFUNCTION("""COMPUTED_VALUE"""),"Eficacia")</f>
        <v>Eficacia</v>
      </c>
      <c r="M130" s="42" t="str">
        <f>IFERROR(__xludf.DUMMYFUNCTION("""COMPUTED_VALUE"""),"Número")</f>
        <v>Número</v>
      </c>
      <c r="N130" s="43" t="str">
        <f>IFERROR(__xludf.DUMMYFUNCTION("""COMPUTED_VALUE"""),"Numero de capacitaciones realizadasNumero de capacitaciones programadas")</f>
        <v>Numero de capacitaciones realizadasNumero de capacitaciones programadas</v>
      </c>
      <c r="O130" s="44">
        <f>IFERROR(__xludf.DUMMYFUNCTION("""COMPUTED_VALUE"""),-7140.0)</f>
        <v>-7140</v>
      </c>
      <c r="P130" s="45">
        <f>IFERROR(__xludf.DUMMYFUNCTION("""COMPUTED_VALUE"""),35.0)</f>
        <v>35</v>
      </c>
      <c r="Q130" s="46" t="str">
        <f>IFERROR(__xludf.DUMMYFUNCTION("""COMPUTED_VALUE"""),"Capacitación a los grupos de interés en asociatividad y normatividad para el ejercicio de la acuicultura, pesca y actividades conexas")</f>
        <v>Capacitación a los grupos de interés en asociatividad y normatividad para el ejercicio de la acuicultura, pesca y actividades conexas</v>
      </c>
      <c r="R130" s="47" t="str">
        <f>IFERROR(__xludf.DUMMYFUNCTION("""COMPUTED_VALUE"""),"Trimestral")</f>
        <v>Trimestral</v>
      </c>
      <c r="S130" s="45">
        <f>IFERROR(__xludf.DUMMYFUNCTION("""COMPUTED_VALUE"""),0.0)</f>
        <v>0</v>
      </c>
      <c r="T130" s="45">
        <f>IFERROR(__xludf.DUMMYFUNCTION("""COMPUTED_VALUE"""),10.0)</f>
        <v>10</v>
      </c>
      <c r="U130" s="45">
        <f>IFERROR(__xludf.DUMMYFUNCTION("""COMPUTED_VALUE"""),15.0)</f>
        <v>15</v>
      </c>
      <c r="V130" s="45">
        <f>IFERROR(__xludf.DUMMYFUNCTION("""COMPUTED_VALUE"""),10.0)</f>
        <v>10</v>
      </c>
      <c r="W130" s="48" t="str">
        <f>IFERROR(__xludf.DUMMYFUNCTION("""COMPUTED_VALUE"""),"Regional Cali")</f>
        <v>Regional Cali</v>
      </c>
      <c r="X130" s="49" t="str">
        <f>IFERROR(__xludf.DUMMYFUNCTION("""COMPUTED_VALUE"""),"Sandra Amgulo")</f>
        <v>Sandra Amgulo</v>
      </c>
      <c r="Y130" s="39" t="str">
        <f>IFERROR(__xludf.DUMMYFUNCTION("""COMPUTED_VALUE"""),"Director Regional")</f>
        <v>Director Regional</v>
      </c>
      <c r="Z130" s="49" t="str">
        <f>IFERROR(__xludf.DUMMYFUNCTION("""COMPUTED_VALUE"""),"sandra.angulo@aunap.gov.co")</f>
        <v>sandra.angulo@aunap.gov.co</v>
      </c>
      <c r="AA130" s="39" t="str">
        <f>IFERROR(__xludf.DUMMYFUNCTION("""COMPUTED_VALUE"""),"Humanos, fisicos, financieros y tecnologicos")</f>
        <v>Humanos, fisicos, financieros y tecnologicos</v>
      </c>
      <c r="AB130" s="39" t="str">
        <f>IFERROR(__xludf.DUMMYFUNCTION("""COMPUTED_VALUE"""),"No asociado")</f>
        <v>No asociado</v>
      </c>
      <c r="AC130" s="39" t="str">
        <f>IFERROR(__xludf.DUMMYFUNCTION("""COMPUTED_VALUE"""),"Llegar con actividades de pesca y acuicultura a todas las regiones")</f>
        <v>Llegar con actividades de pesca y acuicultura a todas las regiones</v>
      </c>
      <c r="AD130" s="39" t="str">
        <f>IFERROR(__xludf.DUMMYFUNCTION("""COMPUTED_VALUE"""),"Gestión con valores para resultados")</f>
        <v>Gestión con valores para resultados</v>
      </c>
      <c r="AE130" s="39" t="str">
        <f>IFERROR(__xludf.DUMMYFUNCTION("""COMPUTED_VALUE"""),"Fortalecimiento Organizacional y Simplificación de Procesos")</f>
        <v>Fortalecimiento Organizacional y Simplificación de Procesos</v>
      </c>
      <c r="AF130" s="39" t="str">
        <f>IFERROR(__xludf.DUMMYFUNCTION("""COMPUTED_VALUE"""),"12. Producción y consumo responsable")</f>
        <v>12. Producción y consumo responsable</v>
      </c>
      <c r="AG130" s="76">
        <f>IFERROR(__xludf.DUMMYFUNCTION("""COMPUTED_VALUE"""),0.0)</f>
        <v>0</v>
      </c>
      <c r="AH130" s="51" t="str">
        <f>IFERROR(__xludf.DUMMYFUNCTION("""COMPUTED_VALUE"""),"NO HABIAN METAS  PLANTEADAS  PARA ESTA ACTIVIDAD  DURANTE ESTE PERIODO")</f>
        <v>NO HABIAN METAS  PLANTEADAS  PARA ESTA ACTIVIDAD  DURANTE ESTE PERIODO</v>
      </c>
      <c r="AI130" s="51" t="str">
        <f>IFERROR(__xludf.DUMMYFUNCTION("""COMPUTED_VALUE"""),"NO HABIAN METAS  PLANTEADAS  PARA ESTA ACTIVIDAD  DURANTE ESTE PERIODO")</f>
        <v>NO HABIAN METAS  PLANTEADAS  PARA ESTA ACTIVIDAD  DURANTE ESTE PERIODO</v>
      </c>
      <c r="AJ130" s="52">
        <f>IFERROR(__xludf.DUMMYFUNCTION("""COMPUTED_VALUE"""),44298.0)</f>
        <v>44298</v>
      </c>
      <c r="AK130" s="53" t="str">
        <f>IFERROR(IF((AL130+1)&lt;2,Alertas!$B$2&amp;TEXT(AL130,"0%")&amp;Alertas!$D$2, IF((AL130+1)=2,Alertas!$B$3,IF((AL130+1)&gt;2,Alertas!$B$4&amp;TEXT(AL130,"0%")&amp;Alertas!$D$4,AL130+1))),"Sin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30" s="54">
        <f t="shared" si="2"/>
        <v>0</v>
      </c>
      <c r="AM130"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30" s="55"/>
      <c r="AO130" s="56"/>
      <c r="AP130" s="57"/>
      <c r="AQ130" s="57"/>
      <c r="AR130" s="58"/>
      <c r="AS130" s="59"/>
      <c r="AT130" s="60"/>
      <c r="AU130" s="55"/>
      <c r="AV130" s="56"/>
      <c r="AW130" s="61"/>
      <c r="AX130" s="57"/>
      <c r="AY130" s="62"/>
      <c r="AZ130" s="63"/>
      <c r="BA130" s="64"/>
      <c r="BB130" s="65"/>
      <c r="BC130" s="56"/>
      <c r="BD130" s="61"/>
      <c r="BE130" s="57"/>
      <c r="BF130" s="58"/>
      <c r="BG130" s="63"/>
      <c r="BH130" s="64"/>
      <c r="BI130" s="66"/>
      <c r="BK130" s="21" t="str">
        <f t="shared" si="23"/>
        <v>-1</v>
      </c>
      <c r="BM130" s="21"/>
    </row>
    <row r="131" ht="33.75" customHeight="1">
      <c r="A131" s="37"/>
      <c r="B131" s="38">
        <f>IFERROR(__xludf.DUMMYFUNCTION("""COMPUTED_VALUE"""),129.0)</f>
        <v>129</v>
      </c>
      <c r="C131" s="39" t="str">
        <f>IFERROR(__xludf.DUMMYFUNCTION("""COMPUTED_VALUE"""),"Gestión de la administración y fomento")</f>
        <v>Gestión de la administración y fomento</v>
      </c>
      <c r="D131" s="40" t="str">
        <f>IFERROR(__xludf.DUMMYFUNCTION("""COMPUTED_VALUE"""),"Regional Cali")</f>
        <v>Regional Cali</v>
      </c>
      <c r="E131" s="40" t="str">
        <f>IFERROR(__xludf.DUMMYFUNCTION("""COMPUTED_VALUE"""),"Fortalecimiento de la sostenibilidad del sector pesquero y de la acuicultura en el territorio nacional")</f>
        <v>Fortalecimiento de la sostenibilidad del sector pesquero y de la acuicultura en el territorio nacional</v>
      </c>
      <c r="F131" s="40">
        <f>IFERROR(__xludf.DUMMYFUNCTION("""COMPUTED_VALUE"""),2.01901100028E12)</f>
        <v>2019011000280</v>
      </c>
      <c r="G131" s="41" t="str">
        <f>IFERROR(__xludf.DUMMYFUNCTION("""COMPUTED_VALUE"""),"Sostenibilidad")</f>
        <v>Sostenibilidad</v>
      </c>
      <c r="H131" s="40" t="str">
        <f>IFERROR(__xludf.DUMMYFUNCTION("""COMPUTED_VALUE"""),"Mejorar la explotación de los recursos pesqueros y de la acuicultura.")</f>
        <v>Mejorar la explotación de los recursos pesqueros y de la acuicultura.</v>
      </c>
      <c r="I131" s="40" t="str">
        <f>IFERROR(__xludf.DUMMYFUNCTION("""COMPUTED_VALUE"""),"Servicios de administración de los recurso pesqueros y de la acuicultura")</f>
        <v>Servicios de administración de los recurso pesqueros y de la acuicultura</v>
      </c>
      <c r="J131" s="40" t="str">
        <f>IFERROR(__xludf.DUMMYFUNCTION("""COMPUTED_VALUE"""),"Realizar acciones de divulgación y formalización de la actividad pesquera y de la acuicultura.")</f>
        <v>Realizar acciones de divulgación y formalización de la actividad pesquera y de la acuicultura.</v>
      </c>
      <c r="K131" s="42" t="str">
        <f>IFERROR(__xludf.DUMMYFUNCTION("""COMPUTED_VALUE"""),"Gestión del área")</f>
        <v>Gestión del área</v>
      </c>
      <c r="L131" s="42" t="str">
        <f>IFERROR(__xludf.DUMMYFUNCTION("""COMPUTED_VALUE"""),"Eficacia")</f>
        <v>Eficacia</v>
      </c>
      <c r="M131" s="42" t="str">
        <f>IFERROR(__xludf.DUMMYFUNCTION("""COMPUTED_VALUE"""),"Número")</f>
        <v>Número</v>
      </c>
      <c r="N131" s="43" t="str">
        <f>IFERROR(__xludf.DUMMYFUNCTION("""COMPUTED_VALUE"""),"Número de asociaciones capacitadas/Número de asociaciones programadas")</f>
        <v>Número de asociaciones capacitadas/Número de asociaciones programadas</v>
      </c>
      <c r="O131" s="44"/>
      <c r="P131" s="45">
        <f>IFERROR(__xludf.DUMMYFUNCTION("""COMPUTED_VALUE"""),30.0)</f>
        <v>30</v>
      </c>
      <c r="Q131" s="46" t="str">
        <f>IFERROR(__xludf.DUMMYFUNCTION("""COMPUTED_VALUE"""),"Asociaciones capacitadas en temas de pesca y acuicultura")</f>
        <v>Asociaciones capacitadas en temas de pesca y acuicultura</v>
      </c>
      <c r="R131" s="47" t="str">
        <f>IFERROR(__xludf.DUMMYFUNCTION("""COMPUTED_VALUE"""),"Trimestral")</f>
        <v>Trimestral</v>
      </c>
      <c r="S131" s="45">
        <f>IFERROR(__xludf.DUMMYFUNCTION("""COMPUTED_VALUE"""),0.0)</f>
        <v>0</v>
      </c>
      <c r="T131" s="45">
        <f>IFERROR(__xludf.DUMMYFUNCTION("""COMPUTED_VALUE"""),10.0)</f>
        <v>10</v>
      </c>
      <c r="U131" s="45">
        <f>IFERROR(__xludf.DUMMYFUNCTION("""COMPUTED_VALUE"""),10.0)</f>
        <v>10</v>
      </c>
      <c r="V131" s="45">
        <f>IFERROR(__xludf.DUMMYFUNCTION("""COMPUTED_VALUE"""),10.0)</f>
        <v>10</v>
      </c>
      <c r="W131" s="48" t="str">
        <f>IFERROR(__xludf.DUMMYFUNCTION("""COMPUTED_VALUE"""),"Regional Cali")</f>
        <v>Regional Cali</v>
      </c>
      <c r="X131" s="49" t="str">
        <f>IFERROR(__xludf.DUMMYFUNCTION("""COMPUTED_VALUE"""),"Sandra Amgulo")</f>
        <v>Sandra Amgulo</v>
      </c>
      <c r="Y131" s="39" t="str">
        <f>IFERROR(__xludf.DUMMYFUNCTION("""COMPUTED_VALUE"""),"Director Regional")</f>
        <v>Director Regional</v>
      </c>
      <c r="Z131" s="49" t="str">
        <f>IFERROR(__xludf.DUMMYFUNCTION("""COMPUTED_VALUE"""),"sandra.angulo@aunap.gov.co")</f>
        <v>sandra.angulo@aunap.gov.co</v>
      </c>
      <c r="AA131" s="39" t="str">
        <f>IFERROR(__xludf.DUMMYFUNCTION("""COMPUTED_VALUE"""),"Humanos, fisicos, financieros y tecnologicos")</f>
        <v>Humanos, fisicos, financieros y tecnologicos</v>
      </c>
      <c r="AB131" s="39" t="str">
        <f>IFERROR(__xludf.DUMMYFUNCTION("""COMPUTED_VALUE"""),"No asociado")</f>
        <v>No asociado</v>
      </c>
      <c r="AC131" s="39" t="str">
        <f>IFERROR(__xludf.DUMMYFUNCTION("""COMPUTED_VALUE"""),"Llegar con actividades de pesca y acuicultura a todas las regiones")</f>
        <v>Llegar con actividades de pesca y acuicultura a todas las regiones</v>
      </c>
      <c r="AD131" s="39" t="str">
        <f>IFERROR(__xludf.DUMMYFUNCTION("""COMPUTED_VALUE"""),"Gestión con valores para resultados")</f>
        <v>Gestión con valores para resultados</v>
      </c>
      <c r="AE131" s="39" t="str">
        <f>IFERROR(__xludf.DUMMYFUNCTION("""COMPUTED_VALUE"""),"Fortalecimiento Organizacional y Simplificación de Procesos")</f>
        <v>Fortalecimiento Organizacional y Simplificación de Procesos</v>
      </c>
      <c r="AF131" s="39" t="str">
        <f>IFERROR(__xludf.DUMMYFUNCTION("""COMPUTED_VALUE"""),"12. Producción y consumo responsable")</f>
        <v>12. Producción y consumo responsable</v>
      </c>
      <c r="AG131" s="76">
        <f>IFERROR(__xludf.DUMMYFUNCTION("""COMPUTED_VALUE"""),0.0)</f>
        <v>0</v>
      </c>
      <c r="AH131" s="51" t="str">
        <f>IFERROR(__xludf.DUMMYFUNCTION("""COMPUTED_VALUE"""),"NO HABIAN METAS  PLANTEADAS  PARA ESTA ACTIVIDAD    PARA EL PRIMER TRIMESTRE")</f>
        <v>NO HABIAN METAS  PLANTEADAS  PARA ESTA ACTIVIDAD    PARA EL PRIMER TRIMESTRE</v>
      </c>
      <c r="AI131" s="51" t="str">
        <f>IFERROR(__xludf.DUMMYFUNCTION("""COMPUTED_VALUE"""),"NO HABIAN METAS  PLANTEADAS  PARA ESTA ACTIVIDAD  DURANTE ESTE PERIODO")</f>
        <v>NO HABIAN METAS  PLANTEADAS  PARA ESTA ACTIVIDAD  DURANTE ESTE PERIODO</v>
      </c>
      <c r="AJ131" s="52">
        <f>IFERROR(__xludf.DUMMYFUNCTION("""COMPUTED_VALUE"""),44298.0)</f>
        <v>44298</v>
      </c>
      <c r="AK131" s="53" t="str">
        <f>IFERROR(IF((AL131+1)&lt;2,Alertas!$B$2&amp;TEXT(AL131,"0%")&amp;Alertas!$D$2, IF((AL131+1)=2,Alertas!$B$3,IF((AL131+1)&gt;2,Alertas!$B$4&amp;TEXT(AL131,"0%")&amp;Alertas!$D$4,AL131+1))),"Sin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31" s="54">
        <f t="shared" si="2"/>
        <v>0</v>
      </c>
      <c r="AM131"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31" s="55"/>
      <c r="AO131" s="56"/>
      <c r="AP131" s="57"/>
      <c r="AQ131" s="57"/>
      <c r="AR131" s="58"/>
      <c r="AS131" s="59"/>
      <c r="AT131" s="60"/>
      <c r="AU131" s="55"/>
      <c r="AV131" s="56"/>
      <c r="AW131" s="61"/>
      <c r="AX131" s="57"/>
      <c r="AY131" s="62"/>
      <c r="AZ131" s="63"/>
      <c r="BA131" s="64"/>
      <c r="BB131" s="65"/>
      <c r="BC131" s="56"/>
      <c r="BD131" s="61"/>
      <c r="BE131" s="57"/>
      <c r="BF131" s="58"/>
      <c r="BG131" s="63"/>
      <c r="BH131" s="64"/>
      <c r="BI131" s="66"/>
      <c r="BK131" s="21" t="str">
        <f t="shared" si="23"/>
        <v>-1</v>
      </c>
      <c r="BM131" s="21"/>
    </row>
    <row r="132" ht="33.75" customHeight="1">
      <c r="A132" s="37"/>
      <c r="B132" s="38">
        <f>IFERROR(__xludf.DUMMYFUNCTION("""COMPUTED_VALUE"""),130.0)</f>
        <v>130</v>
      </c>
      <c r="C132" s="39" t="str">
        <f>IFERROR(__xludf.DUMMYFUNCTION("""COMPUTED_VALUE"""),"Gestión de la administración y fomento")</f>
        <v>Gestión de la administración y fomento</v>
      </c>
      <c r="D132" s="40" t="str">
        <f>IFERROR(__xludf.DUMMYFUNCTION("""COMPUTED_VALUE"""),"Regional Cali")</f>
        <v>Regional Cali</v>
      </c>
      <c r="E132" s="40" t="str">
        <f>IFERROR(__xludf.DUMMYFUNCTION("""COMPUTED_VALUE"""),"Fortalecimiento de la sostenibilidad del sector pesquero y de la acuicultura en el territorio nacional")</f>
        <v>Fortalecimiento de la sostenibilidad del sector pesquero y de la acuicultura en el territorio nacional</v>
      </c>
      <c r="F132" s="40">
        <f>IFERROR(__xludf.DUMMYFUNCTION("""COMPUTED_VALUE"""),2.01901100028E12)</f>
        <v>2019011000280</v>
      </c>
      <c r="G132" s="41" t="str">
        <f>IFERROR(__xludf.DUMMYFUNCTION("""COMPUTED_VALUE"""),"Sostenibilidad")</f>
        <v>Sostenibilidad</v>
      </c>
      <c r="H132" s="40" t="str">
        <f>IFERROR(__xludf.DUMMYFUNCTION("""COMPUTED_VALUE"""),"Mejorar la explotación de los recursos pesqueros y de la acuicultura.")</f>
        <v>Mejorar la explotación de los recursos pesqueros y de la acuicultura.</v>
      </c>
      <c r="I132" s="40" t="str">
        <f>IFERROR(__xludf.DUMMYFUNCTION("""COMPUTED_VALUE"""),"Servicios de administración de los recurso pesqueros y de la acuicultura")</f>
        <v>Servicios de administración de los recurso pesqueros y de la acuicultura</v>
      </c>
      <c r="J132" s="40" t="str">
        <f>IFERROR(__xludf.DUMMYFUNCTION("""COMPUTED_VALUE"""),"Servicios de administración de los recurso pesqueros y de la acuicultura")</f>
        <v>Servicios de administración de los recurso pesqueros y de la acuicultura</v>
      </c>
      <c r="K132" s="42" t="str">
        <f>IFERROR(__xludf.DUMMYFUNCTION("""COMPUTED_VALUE"""),"Gestión del área")</f>
        <v>Gestión del área</v>
      </c>
      <c r="L132" s="42" t="str">
        <f>IFERROR(__xludf.DUMMYFUNCTION("""COMPUTED_VALUE"""),"Eficacia")</f>
        <v>Eficacia</v>
      </c>
      <c r="M132" s="42" t="str">
        <f>IFERROR(__xludf.DUMMYFUNCTION("""COMPUTED_VALUE"""),"Número")</f>
        <v>Número</v>
      </c>
      <c r="N132" s="43" t="str">
        <f>IFERROR(__xludf.DUMMYFUNCTION("""COMPUTED_VALUE"""),"Número de pescadores artesanales formalizados/Número de pescadores artesanales programados para formalizar")</f>
        <v>Número de pescadores artesanales formalizados/Número de pescadores artesanales programados para formalizar</v>
      </c>
      <c r="O132" s="44"/>
      <c r="P132" s="45">
        <f>IFERROR(__xludf.DUMMYFUNCTION("""COMPUTED_VALUE"""),2000.0)</f>
        <v>2000</v>
      </c>
      <c r="Q132" s="46" t="str">
        <f>IFERROR(__xludf.DUMMYFUNCTION("""COMPUTED_VALUE"""),"Formalizar Pescadores artesanales")</f>
        <v>Formalizar Pescadores artesanales</v>
      </c>
      <c r="R132" s="47" t="str">
        <f>IFERROR(__xludf.DUMMYFUNCTION("""COMPUTED_VALUE"""),"Trimestral")</f>
        <v>Trimestral</v>
      </c>
      <c r="S132" s="45">
        <f>IFERROR(__xludf.DUMMYFUNCTION("""COMPUTED_VALUE"""),200.0)</f>
        <v>200</v>
      </c>
      <c r="T132" s="45">
        <f>IFERROR(__xludf.DUMMYFUNCTION("""COMPUTED_VALUE"""),300.0)</f>
        <v>300</v>
      </c>
      <c r="U132" s="45">
        <f>IFERROR(__xludf.DUMMYFUNCTION("""COMPUTED_VALUE"""),750.0)</f>
        <v>750</v>
      </c>
      <c r="V132" s="45">
        <f>IFERROR(__xludf.DUMMYFUNCTION("""COMPUTED_VALUE"""),750.0)</f>
        <v>750</v>
      </c>
      <c r="W132" s="48" t="str">
        <f>IFERROR(__xludf.DUMMYFUNCTION("""COMPUTED_VALUE"""),"Regional Cali")</f>
        <v>Regional Cali</v>
      </c>
      <c r="X132" s="49" t="str">
        <f>IFERROR(__xludf.DUMMYFUNCTION("""COMPUTED_VALUE"""),"Sandra Amgulo")</f>
        <v>Sandra Amgulo</v>
      </c>
      <c r="Y132" s="39" t="str">
        <f>IFERROR(__xludf.DUMMYFUNCTION("""COMPUTED_VALUE"""),"Director Regional")</f>
        <v>Director Regional</v>
      </c>
      <c r="Z132" s="49" t="str">
        <f>IFERROR(__xludf.DUMMYFUNCTION("""COMPUTED_VALUE"""),"sandra.angulo@aunap.gov.co")</f>
        <v>sandra.angulo@aunap.gov.co</v>
      </c>
      <c r="AA132" s="39" t="str">
        <f>IFERROR(__xludf.DUMMYFUNCTION("""COMPUTED_VALUE"""),"Humanos, fisicos, financieros y tecnologicos")</f>
        <v>Humanos, fisicos, financieros y tecnologicos</v>
      </c>
      <c r="AB132" s="39" t="str">
        <f>IFERROR(__xludf.DUMMYFUNCTION("""COMPUTED_VALUE"""),"No asociado")</f>
        <v>No asociado</v>
      </c>
      <c r="AC132" s="39" t="str">
        <f>IFERROR(__xludf.DUMMYFUNCTION("""COMPUTED_VALUE"""),"Propiciar la formalización de la pesca y la acuicultura")</f>
        <v>Propiciar la formalización de la pesca y la acuicultura</v>
      </c>
      <c r="AD132" s="39" t="str">
        <f>IFERROR(__xludf.DUMMYFUNCTION("""COMPUTED_VALUE"""),"Gestión con valores para resultados")</f>
        <v>Gestión con valores para resultados</v>
      </c>
      <c r="AE132" s="39" t="str">
        <f>IFERROR(__xludf.DUMMYFUNCTION("""COMPUTED_VALUE"""),"Racionalización de Trámites")</f>
        <v>Racionalización de Trámites</v>
      </c>
      <c r="AF132" s="39" t="str">
        <f>IFERROR(__xludf.DUMMYFUNCTION("""COMPUTED_VALUE"""),"12. Producción y consumo responsable")</f>
        <v>12. Producción y consumo responsable</v>
      </c>
      <c r="AG132" s="76">
        <f>IFERROR(__xludf.DUMMYFUNCTION("""COMPUTED_VALUE"""),746.0)</f>
        <v>746</v>
      </c>
      <c r="AH132" s="51" t="str">
        <f>IFERROR(__xludf.DUMMYFUNCTION("""COMPUTED_VALUE"""),"ESTA  META  SE SUPERO EN UN 273%   YA QUE  POR PARTE DE LA DRC SE ATENDIERON TODAS   LAS SOLICITUDES PARA LA FORMALIZACION DE  LOS PESCADORES ARTESANALES  INCLUIDOS LA EXPEDICION DE CARNET CONVENIO PNUD-AUNAP 2019")</f>
        <v>ESTA  META  SE SUPERO EN UN 273%   YA QUE  POR PARTE DE LA DRC SE ATENDIERON TODAS   LAS SOLICITUDES PARA LA FORMALIZACION DE  LOS PESCADORES ARTESANALES  INCLUIDOS LA EXPEDICION DE CARNET CONVENIO PNUD-AUNAP 2019</v>
      </c>
      <c r="AI132" s="51" t="str">
        <f>IFERROR(__xludf.DUMMYFUNCTION("""COMPUTED_VALUE"""),"NO HABIAN METAS  PLANTEADAS  PARA ESTA ACTIVIDAD  DURANTE ESTE PERIODO")</f>
        <v>NO HABIAN METAS  PLANTEADAS  PARA ESTA ACTIVIDAD  DURANTE ESTE PERIODO</v>
      </c>
      <c r="AJ132" s="52">
        <f>IFERROR(__xludf.DUMMYFUNCTION("""COMPUTED_VALUE"""),44298.0)</f>
        <v>44298</v>
      </c>
      <c r="AK132" s="53" t="str">
        <f>IFERROR(IF((AL132+1)&lt;2,Alertas!$B$2&amp;TEXT(AL132,"0%")&amp;Alertas!$D$2, IF((AL132+1)=2,Alertas!$B$3,IF((AL132+1)&gt;2,Alertas!$B$4&amp;TEXT(AL132,"0%")&amp;Alertas!$D$4,AL132+1))),"Sin meta para el cuarto trimestre")</f>
        <v>La ejecución de la meta registrada se encuentra por debajo de la meta programada en la formulación del plan de acción para el cuarto trimestre, su porcentaje de cumplimiento es 99%, lo cual indica un incumplimiento que puede ser entendido por los entes de control como falencias en el proceso de planeación. se recomienda tomar este antecedente como insumo para disminuir la meta en la próxima vigencia</v>
      </c>
      <c r="AL132" s="54">
        <f t="shared" si="2"/>
        <v>0.9946666667</v>
      </c>
      <c r="AM132" s="53" t="str">
        <f t="shared" si="3"/>
        <v>La ejecución de la meta registrada se encuentra por debajo de la meta programada en la formulación del plan de acción para el cuarto trimestre, su porcentaje de cumplimiento es 99%, lo cual indica un incumplimiento que puede ser entendido por los entes de control como falencias en el proceso de planeación. se recomienda tomar este antecedente como insumo para disminuir la meta en la próxima vigencia.</v>
      </c>
      <c r="AN132" s="55"/>
      <c r="AO132" s="56"/>
      <c r="AP132" s="57"/>
      <c r="AQ132" s="57"/>
      <c r="AR132" s="58"/>
      <c r="AS132" s="59"/>
      <c r="AT132" s="60"/>
      <c r="AU132" s="55"/>
      <c r="AV132" s="56"/>
      <c r="AW132" s="61"/>
      <c r="AX132" s="57"/>
      <c r="AY132" s="62"/>
      <c r="AZ132" s="63"/>
      <c r="BA132" s="64"/>
      <c r="BB132" s="65"/>
      <c r="BC132" s="56"/>
      <c r="BD132" s="61"/>
      <c r="BE132" s="57"/>
      <c r="BF132" s="58"/>
      <c r="BG132" s="63"/>
      <c r="BH132" s="64"/>
      <c r="BI132" s="66"/>
      <c r="BK132" s="21" t="str">
        <f t="shared" si="23"/>
        <v>-1</v>
      </c>
      <c r="BM132" s="21"/>
    </row>
    <row r="133" ht="33.75" customHeight="1">
      <c r="A133" s="37"/>
      <c r="B133" s="38">
        <f>IFERROR(__xludf.DUMMYFUNCTION("""COMPUTED_VALUE"""),131.0)</f>
        <v>131</v>
      </c>
      <c r="C133" s="39" t="str">
        <f>IFERROR(__xludf.DUMMYFUNCTION("""COMPUTED_VALUE"""),"Gestión de la administración y fomento")</f>
        <v>Gestión de la administración y fomento</v>
      </c>
      <c r="D133" s="40" t="str">
        <f>IFERROR(__xludf.DUMMYFUNCTION("""COMPUTED_VALUE"""),"Regional Cali")</f>
        <v>Regional Cali</v>
      </c>
      <c r="E133"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33" s="40">
        <f>IFERROR(__xludf.DUMMYFUNCTION("""COMPUTED_VALUE"""),2.019011000276E12)</f>
        <v>2019011000276</v>
      </c>
      <c r="G133" s="41" t="str">
        <f>IFERROR(__xludf.DUMMYFUNCTION("""COMPUTED_VALUE"""),"Inspección")</f>
        <v>Inspección</v>
      </c>
      <c r="H133" s="40" t="str">
        <f>IFERROR(__xludf.DUMMYFUNCTION("""COMPUTED_VALUE"""),"Fortalecer los mecanismos de seguimiento y control de la actividad pesquera y de la acuicultura.")</f>
        <v>Fortalecer los mecanismos de seguimiento y control de la actividad pesquera y de la acuicultura.</v>
      </c>
      <c r="I133" s="40" t="str">
        <f>IFERROR(__xludf.DUMMYFUNCTION("""COMPUTED_VALUE"""),"Servicio de inspección, vigilancia y control de la pesca y la acuicultura")</f>
        <v>Servicio de inspección, vigilancia y control de la pesca y la acuicultura</v>
      </c>
      <c r="J133" s="40" t="str">
        <f>IFERROR(__xludf.DUMMYFUNCTION("""COMPUTED_VALUE"""),"Servicio de inspección, vigilancia y control de la pesca y la acuicultura")</f>
        <v>Servicio de inspección, vigilancia y control de la pesca y la acuicultura</v>
      </c>
      <c r="K133" s="42" t="str">
        <f>IFERROR(__xludf.DUMMYFUNCTION("""COMPUTED_VALUE"""),"Producto")</f>
        <v>Producto</v>
      </c>
      <c r="L133" s="42" t="str">
        <f>IFERROR(__xludf.DUMMYFUNCTION("""COMPUTED_VALUE"""),"Eficacia")</f>
        <v>Eficacia</v>
      </c>
      <c r="M133" s="42" t="str">
        <f>IFERROR(__xludf.DUMMYFUNCTION("""COMPUTED_VALUE"""),"Número")</f>
        <v>Número</v>
      </c>
      <c r="N133" s="43" t="str">
        <f>IFERROR(__xludf.DUMMYFUNCTION("""COMPUTED_VALUE"""),"Operativos de inspección, vigilancia y control realizados")</f>
        <v>Operativos de inspección, vigilancia y control realizados</v>
      </c>
      <c r="O133" s="44">
        <f>IFERROR(__xludf.DUMMYFUNCTION("""COMPUTED_VALUE"""),157.0)</f>
        <v>157</v>
      </c>
      <c r="P133" s="45">
        <f>IFERROR(__xludf.DUMMYFUNCTION("""COMPUTED_VALUE"""),600.0)</f>
        <v>600</v>
      </c>
      <c r="Q133" s="46" t="str">
        <f>IFERROR(__xludf.DUMMYFUNCTION("""COMPUTED_VALUE"""),"Realizar operativos de control y vigilancia de la actividad pesquera y de la acuicultura y verificar el cumplimiento de  la normatividad pesquera y acuícola en:(Centros de acopio, Puntos de venta, Plazas principales, Muelles de desembarque, Aeropuertos, V"&amp;"ías terrestres y fluviales (incluidos cuerpos de agua) de la regional.")</f>
        <v>Realizar operativos de control y vigilancia de la actividad pesquera y de la acuicultura y verificar el cumplimiento de  la normatividad pesquera y acuícola en:(Centros de acopio, Puntos de venta, Plazas principales, Muelles de desembarque, Aeropuertos, Vías terrestres y fluviales (incluidos cuerpos de agua) de la regional.</v>
      </c>
      <c r="R133" s="47" t="str">
        <f>IFERROR(__xludf.DUMMYFUNCTION("""COMPUTED_VALUE"""),"Trimestral")</f>
        <v>Trimestral</v>
      </c>
      <c r="S133" s="45">
        <f>IFERROR(__xludf.DUMMYFUNCTION("""COMPUTED_VALUE"""),130.0)</f>
        <v>130</v>
      </c>
      <c r="T133" s="45">
        <f>IFERROR(__xludf.DUMMYFUNCTION("""COMPUTED_VALUE"""),170.0)</f>
        <v>170</v>
      </c>
      <c r="U133" s="45">
        <f>IFERROR(__xludf.DUMMYFUNCTION("""COMPUTED_VALUE"""),170.0)</f>
        <v>170</v>
      </c>
      <c r="V133" s="45">
        <f>IFERROR(__xludf.DUMMYFUNCTION("""COMPUTED_VALUE"""),130.0)</f>
        <v>130</v>
      </c>
      <c r="W133" s="48" t="str">
        <f>IFERROR(__xludf.DUMMYFUNCTION("""COMPUTED_VALUE"""),"Regional Cali")</f>
        <v>Regional Cali</v>
      </c>
      <c r="X133" s="49" t="str">
        <f>IFERROR(__xludf.DUMMYFUNCTION("""COMPUTED_VALUE"""),"Sandra Amgulo")</f>
        <v>Sandra Amgulo</v>
      </c>
      <c r="Y133" s="39" t="str">
        <f>IFERROR(__xludf.DUMMYFUNCTION("""COMPUTED_VALUE"""),"Director Regional")</f>
        <v>Director Regional</v>
      </c>
      <c r="Z133" s="49" t="str">
        <f>IFERROR(__xludf.DUMMYFUNCTION("""COMPUTED_VALUE"""),"sandra.angulo@aunap.gov.co")</f>
        <v>sandra.angulo@aunap.gov.co</v>
      </c>
      <c r="AA133" s="39" t="str">
        <f>IFERROR(__xludf.DUMMYFUNCTION("""COMPUTED_VALUE"""),"Humanos, fisicos, financieros y tecnologicos")</f>
        <v>Humanos, fisicos, financieros y tecnologicos</v>
      </c>
      <c r="AB133" s="39" t="str">
        <f>IFERROR(__xludf.DUMMYFUNCTION("""COMPUTED_VALUE"""),"No asociado")</f>
        <v>No asociado</v>
      </c>
      <c r="AC13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3" s="39" t="str">
        <f>IFERROR(__xludf.DUMMYFUNCTION("""COMPUTED_VALUE"""),"Gestión con valores para resultados")</f>
        <v>Gestión con valores para resultados</v>
      </c>
      <c r="AE133" s="39" t="str">
        <f>IFERROR(__xludf.DUMMYFUNCTION("""COMPUTED_VALUE"""),"Fortalecimiento Organizacional y Simplificación de Procesos")</f>
        <v>Fortalecimiento Organizacional y Simplificación de Procesos</v>
      </c>
      <c r="AF133" s="39" t="str">
        <f>IFERROR(__xludf.DUMMYFUNCTION("""COMPUTED_VALUE"""),"12. Producción y consumo responsable")</f>
        <v>12. Producción y consumo responsable</v>
      </c>
      <c r="AG133" s="76">
        <f>IFERROR(__xludf.DUMMYFUNCTION("""COMPUTED_VALUE"""),220.0)</f>
        <v>220</v>
      </c>
      <c r="AH133" s="51" t="str">
        <f>IFERROR(__xludf.DUMMYFUNCTION("""COMPUTED_VALUE"""),"SE SUPERO  ESTA META EN UN  69%  MAS DE LA  ESTABLECIDA YA QUE SE INCREMENTARON LOS  CONTROLES  POR PARTE DE LA DRC,  A  LA ACTIVIDAD PESQUERA  DURANTE EL PERIODO DE  LA VEDA DEL CAMARON   ")</f>
        <v>SE SUPERO  ESTA META EN UN  69%  MAS DE LA  ESTABLECIDA YA QUE SE INCREMENTARON LOS  CONTROLES  POR PARTE DE LA DRC,  A  LA ACTIVIDAD PESQUERA  DURANTE EL PERIODO DE  LA VEDA DEL CAMARON   </v>
      </c>
      <c r="AI133" s="72" t="str">
        <f>IFERROR(__xludf.DUMMYFUNCTION("""COMPUTED_VALUE"""),"https://drive.google.com/drive/folders/1M0I6BwFb9kiHxV7l6_ig9QPG0fSdHT34?usp=sharing")</f>
        <v>https://drive.google.com/drive/folders/1M0I6BwFb9kiHxV7l6_ig9QPG0fSdHT34?usp=sharing</v>
      </c>
      <c r="AJ133" s="52">
        <f>IFERROR(__xludf.DUMMYFUNCTION("""COMPUTED_VALUE"""),44298.0)</f>
        <v>44298</v>
      </c>
      <c r="AK133" s="53" t="str">
        <f>IFERROR(IF((AL133+1)&lt;2,Alertas!$B$2&amp;TEXT(AL133,"0%")&amp;Alertas!$D$2, IF((AL133+1)=2,Alertas!$B$3,IF((AL133+1)&gt;2,Alertas!$B$4&amp;TEXT(AL133,"0%")&amp;Alertas!$D$4,AL133+1))),"Sin meta para el cuarto trimestre")</f>
        <v>La ejecución de la meta registrada se encuentra por encima de la meta programada en la formulación del plan de acción para el cuarto trimestre, su porcentaje de cumplimiento es 169%, lo cual indica una sobre ejecución que puede ser entendido por los entes de control como falencias en el proceso de planeación. se recomienda tomar este antecedente como insumo para incrementar la meta en la próxima vigencia</v>
      </c>
      <c r="AL133" s="54">
        <f t="shared" si="2"/>
        <v>1.692307692</v>
      </c>
      <c r="AM133" s="53" t="str">
        <f t="shared" si="3"/>
        <v>La ejecución de la meta registrada se encuentra por encima de la meta programada en la formulación del plan de acción para el cuarto trimestre, su porcentaje de cumplimiento es 169%, lo cual indica una sobre ejecución que puede ser entendido por los entes de control como falencias en el proceso de planeación. se recomienda tomar este antecedente como insumo para incrementar la meta en la próxima vigencia.</v>
      </c>
      <c r="AN133" s="55"/>
      <c r="AO133" s="56"/>
      <c r="AP133" s="57"/>
      <c r="AQ133" s="57"/>
      <c r="AR133" s="58"/>
      <c r="AS133" s="59"/>
      <c r="AT133" s="60"/>
      <c r="AU133" s="55"/>
      <c r="AV133" s="56"/>
      <c r="AW133" s="61"/>
      <c r="AX133" s="57"/>
      <c r="AY133" s="62"/>
      <c r="AZ133" s="63"/>
      <c r="BA133" s="64"/>
      <c r="BB133" s="65"/>
      <c r="BC133" s="56"/>
      <c r="BD133" s="61"/>
      <c r="BE133" s="57"/>
      <c r="BF133" s="58"/>
      <c r="BG133" s="63"/>
      <c r="BH133" s="64"/>
      <c r="BI133" s="66"/>
      <c r="BK133" s="21" t="str">
        <f t="shared" si="23"/>
        <v>1</v>
      </c>
      <c r="BM133" s="21"/>
    </row>
    <row r="134" ht="33.75" customHeight="1">
      <c r="A134" s="37"/>
      <c r="B134" s="38">
        <f>IFERROR(__xludf.DUMMYFUNCTION("""COMPUTED_VALUE"""),132.0)</f>
        <v>132</v>
      </c>
      <c r="C134" s="39" t="str">
        <f>IFERROR(__xludf.DUMMYFUNCTION("""COMPUTED_VALUE"""),"Gestión de la inspección y vigilancia")</f>
        <v>Gestión de la inspección y vigilancia</v>
      </c>
      <c r="D134" s="40" t="str">
        <f>IFERROR(__xludf.DUMMYFUNCTION("""COMPUTED_VALUE"""),"Regional Cali")</f>
        <v>Regional Cali</v>
      </c>
      <c r="E134"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34" s="40">
        <f>IFERROR(__xludf.DUMMYFUNCTION("""COMPUTED_VALUE"""),2.019011000276E12)</f>
        <v>2019011000276</v>
      </c>
      <c r="G134" s="41" t="str">
        <f>IFERROR(__xludf.DUMMYFUNCTION("""COMPUTED_VALUE"""),"Inspección")</f>
        <v>Inspección</v>
      </c>
      <c r="H134" s="40" t="str">
        <f>IFERROR(__xludf.DUMMYFUNCTION("""COMPUTED_VALUE"""),"Aumentar el conocimiento de la normatividad pesquera y de la acuicultura por parte de la comunidad.")</f>
        <v>Aumentar el conocimiento de la normatividad pesquera y de la acuicultura por parte de la comunidad.</v>
      </c>
      <c r="I134" s="40" t="str">
        <f>IFERROR(__xludf.DUMMYFUNCTION("""COMPUTED_VALUE"""),"Servicio de divulgación y socialización")</f>
        <v>Servicio de divulgación y socialización</v>
      </c>
      <c r="J134" s="40" t="str">
        <f>IFERROR(__xludf.DUMMYFUNCTION("""COMPUTED_VALUE"""),"Servicio de divulgación y socialización")</f>
        <v>Servicio de divulgación y socialización</v>
      </c>
      <c r="K134" s="42" t="str">
        <f>IFERROR(__xludf.DUMMYFUNCTION("""COMPUTED_VALUE"""),"Gestión del área")</f>
        <v>Gestión del área</v>
      </c>
      <c r="L134" s="42" t="str">
        <f>IFERROR(__xludf.DUMMYFUNCTION("""COMPUTED_VALUE"""),"Eficacia")</f>
        <v>Eficacia</v>
      </c>
      <c r="M134" s="42" t="str">
        <f>IFERROR(__xludf.DUMMYFUNCTION("""COMPUTED_VALUE"""),"Número")</f>
        <v>Número</v>
      </c>
      <c r="N134" s="43" t="str">
        <f>IFERROR(__xludf.DUMMYFUNCTION("""COMPUTED_VALUE"""),"Número de eventos realizados/Número de eventos programados")</f>
        <v>Número de eventos realizados/Número de eventos programados</v>
      </c>
      <c r="O134" s="44"/>
      <c r="P134" s="45">
        <f>IFERROR(__xludf.DUMMYFUNCTION("""COMPUTED_VALUE"""),50.0)</f>
        <v>50</v>
      </c>
      <c r="Q134" s="46" t="str">
        <f>IFERROR(__xludf.DUMMYFUNCTION("""COMPUTED_VALUE"""),"Eventos de divulgación y socialización apoyados a nivel nacional en pro de disminuir las malas prácticas, en el ejercicio del control y vigilancia preventiva de la actividad pesquera y acuícola.")</f>
        <v>Eventos de divulgación y socialización apoyados a nivel nacional en pro de disminuir las malas prácticas, en el ejercicio del control y vigilancia preventiva de la actividad pesquera y acuícola.</v>
      </c>
      <c r="R134" s="47" t="str">
        <f>IFERROR(__xludf.DUMMYFUNCTION("""COMPUTED_VALUE"""),"Trimestral")</f>
        <v>Trimestral</v>
      </c>
      <c r="S134" s="45">
        <f>IFERROR(__xludf.DUMMYFUNCTION("""COMPUTED_VALUE"""),10.0)</f>
        <v>10</v>
      </c>
      <c r="T134" s="45">
        <f>IFERROR(__xludf.DUMMYFUNCTION("""COMPUTED_VALUE"""),5.0)</f>
        <v>5</v>
      </c>
      <c r="U134" s="45">
        <f>IFERROR(__xludf.DUMMYFUNCTION("""COMPUTED_VALUE"""),5.0)</f>
        <v>5</v>
      </c>
      <c r="V134" s="45">
        <f>IFERROR(__xludf.DUMMYFUNCTION("""COMPUTED_VALUE"""),30.0)</f>
        <v>30</v>
      </c>
      <c r="W134" s="48" t="str">
        <f>IFERROR(__xludf.DUMMYFUNCTION("""COMPUTED_VALUE"""),"Regional Cali")</f>
        <v>Regional Cali</v>
      </c>
      <c r="X134" s="49" t="str">
        <f>IFERROR(__xludf.DUMMYFUNCTION("""COMPUTED_VALUE"""),"Sandra Amgulo")</f>
        <v>Sandra Amgulo</v>
      </c>
      <c r="Y134" s="39" t="str">
        <f>IFERROR(__xludf.DUMMYFUNCTION("""COMPUTED_VALUE"""),"Director Regional")</f>
        <v>Director Regional</v>
      </c>
      <c r="Z134" s="49" t="str">
        <f>IFERROR(__xludf.DUMMYFUNCTION("""COMPUTED_VALUE"""),"sandra.angulo@aunap.gov.co")</f>
        <v>sandra.angulo@aunap.gov.co</v>
      </c>
      <c r="AA134" s="39" t="str">
        <f>IFERROR(__xludf.DUMMYFUNCTION("""COMPUTED_VALUE"""),"Humanos, fisicos, financieros y tecnologicos")</f>
        <v>Humanos, fisicos, financieros y tecnologicos</v>
      </c>
      <c r="AB134" s="39" t="str">
        <f>IFERROR(__xludf.DUMMYFUNCTION("""COMPUTED_VALUE"""),"No asociado")</f>
        <v>No asociado</v>
      </c>
      <c r="AC13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4" s="39" t="str">
        <f>IFERROR(__xludf.DUMMYFUNCTION("""COMPUTED_VALUE"""),"Gestión con valores para resultados")</f>
        <v>Gestión con valores para resultados</v>
      </c>
      <c r="AE134" s="39" t="str">
        <f>IFERROR(__xludf.DUMMYFUNCTION("""COMPUTED_VALUE"""),"Fortalecimiento Organizacional y Simplificación de Procesos")</f>
        <v>Fortalecimiento Organizacional y Simplificación de Procesos</v>
      </c>
      <c r="AF134" s="39" t="str">
        <f>IFERROR(__xludf.DUMMYFUNCTION("""COMPUTED_VALUE"""),"12. Producción y consumo responsable")</f>
        <v>12. Producción y consumo responsable</v>
      </c>
      <c r="AG134" s="76">
        <f>IFERROR(__xludf.DUMMYFUNCTION("""COMPUTED_VALUE"""),10.0)</f>
        <v>10</v>
      </c>
      <c r="AH134" s="51" t="str">
        <f>IFERROR(__xludf.DUMMYFUNCTION("""COMPUTED_VALUE"""),"LAS ACTIVIDADES SE EJECUTARON  EN UN 100%, YA SE REALIZARON 10 EVENTOS DE DIVULGACION  EN PRO DE DISMINUIR LAS MALAS PRACTICAS EN EL EEJERCICIO CONTROL Y VIGILANCIA PREVENTIVA DE LA ACTIVIDAD  PESQUERA Y ACUICOLA , ESTAS ACTIVIDADES FUERON DIRIGIDAS A  PE"&amp;"SCADORES ARTESANALES, PIANGUERAS Y ACUICULTORES")</f>
        <v>LAS ACTIVIDADES SE EJECUTARON  EN UN 100%, YA SE REALIZARON 10 EVENTOS DE DIVULGACION  EN PRO DE DISMINUIR LAS MALAS PRACTICAS EN EL EEJERCICIO CONTROL Y VIGILANCIA PREVENTIVA DE LA ACTIVIDAD  PESQUERA Y ACUICOLA , ESTAS ACTIVIDADES FUERON DIRIGIDAS A  PESCADORES ARTESANALES, PIANGUERAS Y ACUICULTORES</v>
      </c>
      <c r="AI134" s="72" t="str">
        <f>IFERROR(__xludf.DUMMYFUNCTION("""COMPUTED_VALUE"""),"https://drive.google.com/file/d/1wD3W3_6vAwX-uTvkJ--wGibW4wwv_OIj/view?usp=sharing")</f>
        <v>https://drive.google.com/file/d/1wD3W3_6vAwX-uTvkJ--wGibW4wwv_OIj/view?usp=sharing</v>
      </c>
      <c r="AJ134" s="52">
        <f>IFERROR(__xludf.DUMMYFUNCTION("""COMPUTED_VALUE"""),44298.0)</f>
        <v>44298</v>
      </c>
      <c r="AK134" s="53" t="str">
        <f>IFERROR(IF((AL134+1)&lt;2,Alertas!$B$2&amp;TEXT(AL134,"0%")&amp;Alertas!$D$2, IF((AL134+1)=2,Alertas!$B$3,IF((AL134+1)&gt;2,Alertas!$B$4&amp;TEXT(AL134,"0%")&amp;Alertas!$D$4,AL134+1))),"Sin meta para el cuarto trimestre")</f>
        <v>La ejecución de la meta registrada se encuentra por debajo de la meta programada en la formulación del plan de acción para el cuarto trimestre, su porcentaje de cumplimiento es 33%, lo cual indica un incumplimiento que puede ser entendido por los entes de control como falencias en el proceso de planeación. se recomienda tomar este antecedente como insumo para disminuir la meta en la próxima vigencia</v>
      </c>
      <c r="AL134" s="54">
        <f t="shared" si="2"/>
        <v>0.3333333333</v>
      </c>
      <c r="AM134" s="53" t="str">
        <f t="shared" si="3"/>
        <v>La ejecución de la meta registrada se encuentra por debajo de la meta programada en la formulación del plan de acción para el cuarto trimestre, su porcentaje de cumplimiento es 33%, lo cual indica un incumplimiento que puede ser entendido por los entes de control como falencias en el proceso de planeación. se recomienda tomar este antecedente como insumo para disminuir la meta en la próxima vigencia.</v>
      </c>
      <c r="AN134" s="55"/>
      <c r="AO134" s="56"/>
      <c r="AP134" s="57"/>
      <c r="AQ134" s="57"/>
      <c r="AR134" s="58"/>
      <c r="AS134" s="59"/>
      <c r="AT134" s="60"/>
      <c r="AU134" s="55"/>
      <c r="AV134" s="56"/>
      <c r="AW134" s="61"/>
      <c r="AX134" s="57"/>
      <c r="AY134" s="62"/>
      <c r="AZ134" s="63"/>
      <c r="BA134" s="64"/>
      <c r="BB134" s="65"/>
      <c r="BC134" s="56"/>
      <c r="BD134" s="61"/>
      <c r="BE134" s="57"/>
      <c r="BF134" s="58"/>
      <c r="BG134" s="63"/>
      <c r="BH134" s="64"/>
      <c r="BI134" s="66"/>
      <c r="BK134" s="21" t="str">
        <f t="shared" si="23"/>
        <v>-1</v>
      </c>
      <c r="BM134" s="21"/>
    </row>
    <row r="135" ht="33.75" customHeight="1">
      <c r="A135" s="37"/>
      <c r="B135" s="38">
        <f>IFERROR(__xludf.DUMMYFUNCTION("""COMPUTED_VALUE"""),133.0)</f>
        <v>133</v>
      </c>
      <c r="C135" s="39" t="str">
        <f>IFERROR(__xludf.DUMMYFUNCTION("""COMPUTED_VALUE"""),"Gestión de la información y generación del conocimiento")</f>
        <v>Gestión de la información y generación del conocimiento</v>
      </c>
      <c r="D135" s="40" t="str">
        <f>IFERROR(__xludf.DUMMYFUNCTION("""COMPUTED_VALUE"""),"Regional Cali")</f>
        <v>Regional Cali</v>
      </c>
      <c r="E135"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135" s="40">
        <f>IFERROR(__xludf.DUMMYFUNCTION("""COMPUTED_VALUE"""),2.019011000277E12)</f>
        <v>2019011000277</v>
      </c>
      <c r="G135" s="41" t="str">
        <f>IFERROR(__xludf.DUMMYFUNCTION("""COMPUTED_VALUE"""),"Investigación")</f>
        <v>Investigación</v>
      </c>
      <c r="H135"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135" s="40" t="str">
        <f>IFERROR(__xludf.DUMMYFUNCTION("""COMPUTED_VALUE"""),"Documentos de investigación")</f>
        <v>Documentos de investigación</v>
      </c>
      <c r="J135" s="40" t="str">
        <f>IFERROR(__xludf.DUMMYFUNCTION("""COMPUTED_VALUE"""),"Documentos de investigación")</f>
        <v>Documentos de investigación</v>
      </c>
      <c r="K135" s="42" t="str">
        <f>IFERROR(__xludf.DUMMYFUNCTION("""COMPUTED_VALUE"""),"Gestión del área")</f>
        <v>Gestión del área</v>
      </c>
      <c r="L135" s="42" t="str">
        <f>IFERROR(__xludf.DUMMYFUNCTION("""COMPUTED_VALUE"""),"Eficacia")</f>
        <v>Eficacia</v>
      </c>
      <c r="M135" s="42" t="str">
        <f>IFERROR(__xludf.DUMMYFUNCTION("""COMPUTED_VALUE"""),"Número")</f>
        <v>Número</v>
      </c>
      <c r="N135" s="43" t="str">
        <f>IFERROR(__xludf.DUMMYFUNCTION("""COMPUTED_VALUE"""),"Reportes de monitoreo que aportan a documentos de investigación")</f>
        <v>Reportes de monitoreo que aportan a documentos de investigación</v>
      </c>
      <c r="O135" s="44"/>
      <c r="P135" s="45">
        <f>IFERROR(__xludf.DUMMYFUNCTION("""COMPUTED_VALUE"""),49.0)</f>
        <v>49</v>
      </c>
      <c r="Q135" s="46" t="str">
        <f>IFERROR(__xludf.DUMMYFUNCTION("""COMPUTED_VALUE"""),"Realizar Realizar salidas de campo  para la recopilación de información biológico pesquera del camarón blanco (L. penaeus spp) en caladeros de pesca
")</f>
        <v>Realizar Realizar salidas de campo  para la recopilación de información biológico pesquera del camarón blanco (L. penaeus spp) en caladeros de pesca
</v>
      </c>
      <c r="R135" s="47" t="str">
        <f>IFERROR(__xludf.DUMMYFUNCTION("""COMPUTED_VALUE"""),"Trimestral")</f>
        <v>Trimestral</v>
      </c>
      <c r="S135" s="45">
        <f>IFERROR(__xludf.DUMMYFUNCTION("""COMPUTED_VALUE"""),4.0)</f>
        <v>4</v>
      </c>
      <c r="T135" s="45">
        <f>IFERROR(__xludf.DUMMYFUNCTION("""COMPUTED_VALUE"""),15.0)</f>
        <v>15</v>
      </c>
      <c r="U135" s="45">
        <f>IFERROR(__xludf.DUMMYFUNCTION("""COMPUTED_VALUE"""),15.0)</f>
        <v>15</v>
      </c>
      <c r="V135" s="45">
        <f>IFERROR(__xludf.DUMMYFUNCTION("""COMPUTED_VALUE"""),15.0)</f>
        <v>15</v>
      </c>
      <c r="W135" s="48" t="str">
        <f>IFERROR(__xludf.DUMMYFUNCTION("""COMPUTED_VALUE"""),"Regional Cali")</f>
        <v>Regional Cali</v>
      </c>
      <c r="X135" s="49" t="str">
        <f>IFERROR(__xludf.DUMMYFUNCTION("""COMPUTED_VALUE"""),"Sandra Amgulo")</f>
        <v>Sandra Amgulo</v>
      </c>
      <c r="Y135" s="39" t="str">
        <f>IFERROR(__xludf.DUMMYFUNCTION("""COMPUTED_VALUE"""),"Director Regional")</f>
        <v>Director Regional</v>
      </c>
      <c r="Z135" s="49" t="str">
        <f>IFERROR(__xludf.DUMMYFUNCTION("""COMPUTED_VALUE"""),"sandra.angulo@aunap.gov.co")</f>
        <v>sandra.angulo@aunap.gov.co</v>
      </c>
      <c r="AA135" s="39" t="str">
        <f>IFERROR(__xludf.DUMMYFUNCTION("""COMPUTED_VALUE"""),"Humanos, fisicos, financieros y tecnologicos")</f>
        <v>Humanos, fisicos, financieros y tecnologicos</v>
      </c>
      <c r="AB135" s="39" t="str">
        <f>IFERROR(__xludf.DUMMYFUNCTION("""COMPUTED_VALUE"""),"No asociado")</f>
        <v>No asociado</v>
      </c>
      <c r="AC135"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5" s="39" t="str">
        <f>IFERROR(__xludf.DUMMYFUNCTION("""COMPUTED_VALUE"""),"Gestión del conocimiento")</f>
        <v>Gestión del conocimiento</v>
      </c>
      <c r="AE135" s="39" t="str">
        <f>IFERROR(__xludf.DUMMYFUNCTION("""COMPUTED_VALUE"""),"Gestión del Conocimiento y la Innovación")</f>
        <v>Gestión del Conocimiento y la Innovación</v>
      </c>
      <c r="AF135" s="39" t="str">
        <f>IFERROR(__xludf.DUMMYFUNCTION("""COMPUTED_VALUE"""),"12. Producción y consumo responsable")</f>
        <v>12. Producción y consumo responsable</v>
      </c>
      <c r="AG135" s="76">
        <f>IFERROR(__xludf.DUMMYFUNCTION("""COMPUTED_VALUE"""),4.0)</f>
        <v>4</v>
      </c>
      <c r="AH135" s="51" t="str">
        <f>IFERROR(__xludf.DUMMYFUNCTION("""COMPUTED_VALUE"""),"LAS ACTIVIDADES SE EJECUTARON  EN UN 100%, YA QUE SE REALIZARON 4 SALIDAS DE CAMPO A LOS CALADEROS DE PESCA DE TUMACO (ZONA NORTE Y SUR )Y BUENAVENTURA (GOLFO FE TORTUGAS)  PARA LA RECOPILACION DE INFORMACION BIOLOGICO PESQUERA DEL RECURSO CAMARON (L.pena"&amp;"eus) EN LAS  EMBARCACIONES DE PESCA ARTESANAL")</f>
        <v>LAS ACTIVIDADES SE EJECUTARON  EN UN 100%, YA QUE SE REALIZARON 4 SALIDAS DE CAMPO A LOS CALADEROS DE PESCA DE TUMACO (ZONA NORTE Y SUR )Y BUENAVENTURA (GOLFO FE TORTUGAS)  PARA LA RECOPILACION DE INFORMACION BIOLOGICO PESQUERA DEL RECURSO CAMARON (L.penaeus) EN LAS  EMBARCACIONES DE PESCA ARTESANAL</v>
      </c>
      <c r="AI135" s="72" t="str">
        <f>IFERROR(__xludf.DUMMYFUNCTION("""COMPUTED_VALUE"""),"https://drive.google.com/drive/folders/1ZaosN-BeD1dyjbcmLOsOpmni3kptsjnK?usp=sharing")</f>
        <v>https://drive.google.com/drive/folders/1ZaosN-BeD1dyjbcmLOsOpmni3kptsjnK?usp=sharing</v>
      </c>
      <c r="AJ135" s="52">
        <f>IFERROR(__xludf.DUMMYFUNCTION("""COMPUTED_VALUE"""),44298.0)</f>
        <v>44298</v>
      </c>
      <c r="AK135" s="53" t="str">
        <f>IFERROR(IF((AL135+1)&lt;2,Alertas!$B$2&amp;TEXT(AL135,"0%")&amp;Alertas!$D$2, IF((AL135+1)=2,Alertas!$B$3,IF((AL135+1)&gt;2,Alertas!$B$4&amp;TEXT(AL135,"0%")&amp;Alertas!$D$4,AL135+1))),"Sin meta para el cuarto trimestre")</f>
        <v>La ejecución de la meta registrada se encuentra por debajo de la meta programada en la formulación del plan de acción para el cuarto trimestre, su porcentaje de cumplimiento es 27%, lo cual indica un incumplimiento que puede ser entendido por los entes de control como falencias en el proceso de planeación. se recomienda tomar este antecedente como insumo para disminuir la meta en la próxima vigencia</v>
      </c>
      <c r="AL135" s="54">
        <f t="shared" si="2"/>
        <v>0.2666666667</v>
      </c>
      <c r="AM135" s="53" t="str">
        <f t="shared" si="3"/>
        <v>La ejecución de la meta registrada se encuentra por debajo de la meta programada en la formulación del plan de acción para el cuarto trimestre, su porcentaje de cumplimiento es 27%, lo cual indica un incumplimiento que puede ser entendido por los entes de control como falencias en el proceso de planeación. se recomienda tomar este antecedente como insumo para disminuir la meta en la próxima vigencia.</v>
      </c>
      <c r="AN135" s="55"/>
      <c r="AO135" s="56"/>
      <c r="AP135" s="57"/>
      <c r="AQ135" s="57"/>
      <c r="AR135" s="58"/>
      <c r="AS135" s="59"/>
      <c r="AT135" s="60"/>
      <c r="AU135" s="55"/>
      <c r="AV135" s="56"/>
      <c r="AW135" s="61"/>
      <c r="AX135" s="57"/>
      <c r="AY135" s="62"/>
      <c r="AZ135" s="63"/>
      <c r="BA135" s="64"/>
      <c r="BB135" s="65"/>
      <c r="BC135" s="56"/>
      <c r="BD135" s="61"/>
      <c r="BE135" s="57"/>
      <c r="BF135" s="58"/>
      <c r="BG135" s="63"/>
      <c r="BH135" s="64"/>
      <c r="BI135" s="66"/>
      <c r="BK135" s="21" t="str">
        <f t="shared" si="23"/>
        <v>-1</v>
      </c>
      <c r="BM135" s="21"/>
    </row>
    <row r="136" ht="33.75" customHeight="1">
      <c r="A136" s="37"/>
      <c r="B136" s="38">
        <f>IFERROR(__xludf.DUMMYFUNCTION("""COMPUTED_VALUE"""),134.0)</f>
        <v>134</v>
      </c>
      <c r="C136" s="39" t="str">
        <f>IFERROR(__xludf.DUMMYFUNCTION("""COMPUTED_VALUE"""),"Gestión de la información y generación del conocimiento")</f>
        <v>Gestión de la información y generación del conocimiento</v>
      </c>
      <c r="D136" s="40" t="str">
        <f>IFERROR(__xludf.DUMMYFUNCTION("""COMPUTED_VALUE"""),"Regional Cali")</f>
        <v>Regional Cali</v>
      </c>
      <c r="E136"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136" s="40">
        <f>IFERROR(__xludf.DUMMYFUNCTION("""COMPUTED_VALUE"""),2.019011000277E12)</f>
        <v>2019011000277</v>
      </c>
      <c r="G136" s="41" t="str">
        <f>IFERROR(__xludf.DUMMYFUNCTION("""COMPUTED_VALUE"""),"Investigación")</f>
        <v>Investigación</v>
      </c>
      <c r="H136"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136" s="40" t="str">
        <f>IFERROR(__xludf.DUMMYFUNCTION("""COMPUTED_VALUE"""),"Documentos de investigación")</f>
        <v>Documentos de investigación</v>
      </c>
      <c r="J136" s="40" t="str">
        <f>IFERROR(__xludf.DUMMYFUNCTION("""COMPUTED_VALUE"""),"Documentos de investigación")</f>
        <v>Documentos de investigación</v>
      </c>
      <c r="K136" s="42" t="str">
        <f>IFERROR(__xludf.DUMMYFUNCTION("""COMPUTED_VALUE"""),"Gestión del área")</f>
        <v>Gestión del área</v>
      </c>
      <c r="L136" s="42" t="str">
        <f>IFERROR(__xludf.DUMMYFUNCTION("""COMPUTED_VALUE"""),"Eficacia")</f>
        <v>Eficacia</v>
      </c>
      <c r="M136" s="42" t="str">
        <f>IFERROR(__xludf.DUMMYFUNCTION("""COMPUTED_VALUE"""),"Número")</f>
        <v>Número</v>
      </c>
      <c r="N136" s="43" t="str">
        <f>IFERROR(__xludf.DUMMYFUNCTION("""COMPUTED_VALUE"""),"Reportes de monitoreo que aportan a documentos de investigación")</f>
        <v>Reportes de monitoreo que aportan a documentos de investigación</v>
      </c>
      <c r="O136" s="44"/>
      <c r="P136" s="45">
        <f>IFERROR(__xludf.DUMMYFUNCTION("""COMPUTED_VALUE"""),79.0)</f>
        <v>79</v>
      </c>
      <c r="Q136" s="46" t="str">
        <f>IFERROR(__xludf.DUMMYFUNCTION("""COMPUTED_VALUE"""),"Realizar visitas a plantas de proceso  para la recopilación de información  de Talla y Peso  del recurso Camarón blanco (L. penaeus spp )proveniente de  la pesca artesanal
")</f>
        <v>Realizar visitas a plantas de proceso  para la recopilación de información  de Talla y Peso  del recurso Camarón blanco (L. penaeus spp )proveniente de  la pesca artesanal
</v>
      </c>
      <c r="R136" s="47" t="str">
        <f>IFERROR(__xludf.DUMMYFUNCTION("""COMPUTED_VALUE"""),"Trimestral")</f>
        <v>Trimestral</v>
      </c>
      <c r="S136" s="45">
        <f>IFERROR(__xludf.DUMMYFUNCTION("""COMPUTED_VALUE"""),7.0)</f>
        <v>7</v>
      </c>
      <c r="T136" s="45">
        <f>IFERROR(__xludf.DUMMYFUNCTION("""COMPUTED_VALUE"""),24.0)</f>
        <v>24</v>
      </c>
      <c r="U136" s="45">
        <f>IFERROR(__xludf.DUMMYFUNCTION("""COMPUTED_VALUE"""),24.0)</f>
        <v>24</v>
      </c>
      <c r="V136" s="45">
        <f>IFERROR(__xludf.DUMMYFUNCTION("""COMPUTED_VALUE"""),24.0)</f>
        <v>24</v>
      </c>
      <c r="W136" s="48" t="str">
        <f>IFERROR(__xludf.DUMMYFUNCTION("""COMPUTED_VALUE"""),"Regional Cali")</f>
        <v>Regional Cali</v>
      </c>
      <c r="X136" s="49" t="str">
        <f>IFERROR(__xludf.DUMMYFUNCTION("""COMPUTED_VALUE"""),"Sandra Amgulo")</f>
        <v>Sandra Amgulo</v>
      </c>
      <c r="Y136" s="39" t="str">
        <f>IFERROR(__xludf.DUMMYFUNCTION("""COMPUTED_VALUE"""),"Director Regional")</f>
        <v>Director Regional</v>
      </c>
      <c r="Z136" s="49" t="str">
        <f>IFERROR(__xludf.DUMMYFUNCTION("""COMPUTED_VALUE"""),"sandra.angulo@aunap.gov.co")</f>
        <v>sandra.angulo@aunap.gov.co</v>
      </c>
      <c r="AA136" s="39" t="str">
        <f>IFERROR(__xludf.DUMMYFUNCTION("""COMPUTED_VALUE"""),"Humanos, fisicos, financieros y tecnologicos")</f>
        <v>Humanos, fisicos, financieros y tecnologicos</v>
      </c>
      <c r="AB136" s="39" t="str">
        <f>IFERROR(__xludf.DUMMYFUNCTION("""COMPUTED_VALUE"""),"No asociado")</f>
        <v>No asociado</v>
      </c>
      <c r="AC136"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6" s="39" t="str">
        <f>IFERROR(__xludf.DUMMYFUNCTION("""COMPUTED_VALUE"""),"Gestión del conocimiento")</f>
        <v>Gestión del conocimiento</v>
      </c>
      <c r="AE136" s="39" t="str">
        <f>IFERROR(__xludf.DUMMYFUNCTION("""COMPUTED_VALUE"""),"Gestión del Conocimiento y la Innovación")</f>
        <v>Gestión del Conocimiento y la Innovación</v>
      </c>
      <c r="AF136" s="39" t="str">
        <f>IFERROR(__xludf.DUMMYFUNCTION("""COMPUTED_VALUE"""),"12. Producción y consumo responsable")</f>
        <v>12. Producción y consumo responsable</v>
      </c>
      <c r="AG136" s="76">
        <f>IFERROR(__xludf.DUMMYFUNCTION("""COMPUTED_VALUE"""),7.0)</f>
        <v>7</v>
      </c>
      <c r="AH136" s="51" t="str">
        <f>IFERROR(__xludf.DUMMYFUNCTION("""COMPUTED_VALUE"""),"SE DIO CUMPLIMIENTO Al 100% DE LA META ESTABLECIDA, YA QUE SE REALIZARON 7 VIDITAS A LAS PLANTAS DE PROCESO EN TUMACO, BUENAVENTURA Y GUAPI PARA LA  RECOPILACION DE INFORMACION DE TALLA Y PESO DEL CAMARON  BLANCO ( L penaeus spp)) PROVENIENTE DE LA PESCA "&amp;"ARTESANAL")</f>
        <v>SE DIO CUMPLIMIENTO Al 100% DE LA META ESTABLECIDA, YA QUE SE REALIZARON 7 VIDITAS A LAS PLANTAS DE PROCESO EN TUMACO, BUENAVENTURA Y GUAPI PARA LA  RECOPILACION DE INFORMACION DE TALLA Y PESO DEL CAMARON  BLANCO ( L penaeus spp)) PROVENIENTE DE LA PESCA ARTESANAL</v>
      </c>
      <c r="AI136" s="72" t="str">
        <f>IFERROR(__xludf.DUMMYFUNCTION("""COMPUTED_VALUE"""),"https://drive.google.com/drive/folders/1HCBsZekkYY_os8fzoPC9TdLnCJrrUsew?usp=sharing")</f>
        <v>https://drive.google.com/drive/folders/1HCBsZekkYY_os8fzoPC9TdLnCJrrUsew?usp=sharing</v>
      </c>
      <c r="AJ136" s="52">
        <f>IFERROR(__xludf.DUMMYFUNCTION("""COMPUTED_VALUE"""),44298.0)</f>
        <v>44298</v>
      </c>
      <c r="AK136" s="53" t="str">
        <f>IFERROR(IF((AL136+1)&lt;2,Alertas!$B$2&amp;TEXT(AL136,"0%")&amp;Alertas!$D$2, IF((AL136+1)=2,Alertas!$B$3,IF((AL136+1)&gt;2,Alertas!$B$4&amp;TEXT(AL136,"0%")&amp;Alertas!$D$4,AL136+1))),"Sin meta para el cuarto trimestre")</f>
        <v>La ejecución de la meta registrada se encuentra por debajo de la meta programada en la formulación del plan de acción para el cuarto trimestre, su porcentaje de cumplimiento es 29%, lo cual indica un incumplimiento que puede ser entendido por los entes de control como falencias en el proceso de planeación. se recomienda tomar este antecedente como insumo para disminuir la meta en la próxima vigencia</v>
      </c>
      <c r="AL136" s="54">
        <f t="shared" si="2"/>
        <v>0.2916666667</v>
      </c>
      <c r="AM136" s="53" t="str">
        <f t="shared" si="3"/>
        <v>La ejecución de la meta registrada se encuentra por debajo de la meta programada en la formulación del plan de acción para el cuarto trimestre, su porcentaje de cumplimiento es 29%, lo cual indica un incumplimiento que puede ser entendido por los entes de control como falencias en el proceso de planeación. se recomienda tomar este antecedente como insumo para disminuir la meta en la próxima vigencia.</v>
      </c>
      <c r="AN136" s="55"/>
      <c r="AO136" s="56"/>
      <c r="AP136" s="57"/>
      <c r="AQ136" s="57"/>
      <c r="AR136" s="58"/>
      <c r="AS136" s="59"/>
      <c r="AT136" s="60"/>
      <c r="AU136" s="55"/>
      <c r="AV136" s="56"/>
      <c r="AW136" s="61"/>
      <c r="AX136" s="57"/>
      <c r="AY136" s="62"/>
      <c r="AZ136" s="63"/>
      <c r="BA136" s="64"/>
      <c r="BB136" s="65"/>
      <c r="BC136" s="56"/>
      <c r="BD136" s="61"/>
      <c r="BE136" s="57"/>
      <c r="BF136" s="58"/>
      <c r="BG136" s="63"/>
      <c r="BH136" s="64"/>
      <c r="BI136" s="66"/>
      <c r="BK136" s="21" t="str">
        <f t="shared" si="23"/>
        <v>-1</v>
      </c>
      <c r="BM136" s="21"/>
    </row>
    <row r="137" ht="33.75" customHeight="1">
      <c r="A137" s="37"/>
      <c r="B137" s="38">
        <f>IFERROR(__xludf.DUMMYFUNCTION("""COMPUTED_VALUE"""),135.0)</f>
        <v>135</v>
      </c>
      <c r="C137" s="39" t="str">
        <f>IFERROR(__xludf.DUMMYFUNCTION("""COMPUTED_VALUE"""),"Gestión de la información y generación del conocimiento")</f>
        <v>Gestión de la información y generación del conocimiento</v>
      </c>
      <c r="D137" s="40" t="str">
        <f>IFERROR(__xludf.DUMMYFUNCTION("""COMPUTED_VALUE"""),"Regional Cali")</f>
        <v>Regional Cali</v>
      </c>
      <c r="E137"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137" s="40">
        <f>IFERROR(__xludf.DUMMYFUNCTION("""COMPUTED_VALUE"""),2.019011000277E12)</f>
        <v>2019011000277</v>
      </c>
      <c r="G137" s="41" t="str">
        <f>IFERROR(__xludf.DUMMYFUNCTION("""COMPUTED_VALUE"""),"Investigación")</f>
        <v>Investigación</v>
      </c>
      <c r="H137"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137" s="40" t="str">
        <f>IFERROR(__xludf.DUMMYFUNCTION("""COMPUTED_VALUE"""),"Documentos de investigación")</f>
        <v>Documentos de investigación</v>
      </c>
      <c r="J137" s="40" t="str">
        <f>IFERROR(__xludf.DUMMYFUNCTION("""COMPUTED_VALUE"""),"Documentos de investigación")</f>
        <v>Documentos de investigación</v>
      </c>
      <c r="K137" s="42" t="str">
        <f>IFERROR(__xludf.DUMMYFUNCTION("""COMPUTED_VALUE"""),"Gestión del área")</f>
        <v>Gestión del área</v>
      </c>
      <c r="L137" s="42" t="str">
        <f>IFERROR(__xludf.DUMMYFUNCTION("""COMPUTED_VALUE"""),"Eficacia")</f>
        <v>Eficacia</v>
      </c>
      <c r="M137" s="42" t="str">
        <f>IFERROR(__xludf.DUMMYFUNCTION("""COMPUTED_VALUE"""),"Número")</f>
        <v>Número</v>
      </c>
      <c r="N137" s="43" t="str">
        <f>IFERROR(__xludf.DUMMYFUNCTION("""COMPUTED_VALUE"""),"Reportes de monitoreo que aportan a documentos de investigación")</f>
        <v>Reportes de monitoreo que aportan a documentos de investigación</v>
      </c>
      <c r="O137" s="44"/>
      <c r="P137" s="45">
        <f>IFERROR(__xludf.DUMMYFUNCTION("""COMPUTED_VALUE"""),20.0)</f>
        <v>20</v>
      </c>
      <c r="Q137" s="46" t="str">
        <f>IFERROR(__xludf.DUMMYFUNCTION("""COMPUTED_VALUE"""),"Realizar salidas de campo  para la recopilación de información biológica pesquera.sel recurso piangua (anadara)
")</f>
        <v>Realizar salidas de campo  para la recopilación de información biológica pesquera.sel recurso piangua (anadara)
</v>
      </c>
      <c r="R137" s="47" t="str">
        <f>IFERROR(__xludf.DUMMYFUNCTION("""COMPUTED_VALUE"""),"Trimestral")</f>
        <v>Trimestral</v>
      </c>
      <c r="S137" s="45">
        <f>IFERROR(__xludf.DUMMYFUNCTION("""COMPUTED_VALUE"""),2.0)</f>
        <v>2</v>
      </c>
      <c r="T137" s="45">
        <f>IFERROR(__xludf.DUMMYFUNCTION("""COMPUTED_VALUE"""),6.0)</f>
        <v>6</v>
      </c>
      <c r="U137" s="45">
        <f>IFERROR(__xludf.DUMMYFUNCTION("""COMPUTED_VALUE"""),6.0)</f>
        <v>6</v>
      </c>
      <c r="V137" s="45">
        <f>IFERROR(__xludf.DUMMYFUNCTION("""COMPUTED_VALUE"""),6.0)</f>
        <v>6</v>
      </c>
      <c r="W137" s="48" t="str">
        <f>IFERROR(__xludf.DUMMYFUNCTION("""COMPUTED_VALUE"""),"Regional Cali")</f>
        <v>Regional Cali</v>
      </c>
      <c r="X137" s="49" t="str">
        <f>IFERROR(__xludf.DUMMYFUNCTION("""COMPUTED_VALUE"""),"Sandra Amgulo")</f>
        <v>Sandra Amgulo</v>
      </c>
      <c r="Y137" s="39" t="str">
        <f>IFERROR(__xludf.DUMMYFUNCTION("""COMPUTED_VALUE"""),"Director Regional")</f>
        <v>Director Regional</v>
      </c>
      <c r="Z137" s="49" t="str">
        <f>IFERROR(__xludf.DUMMYFUNCTION("""COMPUTED_VALUE"""),"sandra.angulo@aunap.gov.co")</f>
        <v>sandra.angulo@aunap.gov.co</v>
      </c>
      <c r="AA137" s="39" t="str">
        <f>IFERROR(__xludf.DUMMYFUNCTION("""COMPUTED_VALUE"""),"Humanos, fisicos, financieros y tecnologicos")</f>
        <v>Humanos, fisicos, financieros y tecnologicos</v>
      </c>
      <c r="AB137" s="39" t="str">
        <f>IFERROR(__xludf.DUMMYFUNCTION("""COMPUTED_VALUE"""),"No asociado")</f>
        <v>No asociado</v>
      </c>
      <c r="AC137"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7" s="39" t="str">
        <f>IFERROR(__xludf.DUMMYFUNCTION("""COMPUTED_VALUE"""),"Gestión del conocimiento")</f>
        <v>Gestión del conocimiento</v>
      </c>
      <c r="AE137" s="39" t="str">
        <f>IFERROR(__xludf.DUMMYFUNCTION("""COMPUTED_VALUE"""),"Gestión del Conocimiento y la Innovación")</f>
        <v>Gestión del Conocimiento y la Innovación</v>
      </c>
      <c r="AF137" s="39" t="str">
        <f>IFERROR(__xludf.DUMMYFUNCTION("""COMPUTED_VALUE"""),"12. Producción y consumo responsable")</f>
        <v>12. Producción y consumo responsable</v>
      </c>
      <c r="AG137" s="76">
        <f>IFERROR(__xludf.DUMMYFUNCTION("""COMPUTED_VALUE"""),2.0)</f>
        <v>2</v>
      </c>
      <c r="AH137" s="51" t="str">
        <f>IFERROR(__xludf.DUMMYFUNCTION("""COMPUTED_VALUE"""),"ACTIVIDADES EJECUTADA EN UN 100%, SE REALIZARON  2 SALIDAS DE CAMPO UNA EN TUMACO Y OTRA EN BUENAVENTURA A LOS SITIOS DE ACOPIO Y EXTRACCION DEL RECURSO PIANGUA (anadara) , PARA LA RECOPILACION DE INFORMACION  BIOLOGICA Y PESQUERA  ")</f>
        <v>ACTIVIDADES EJECUTADA EN UN 100%, SE REALIZARON  2 SALIDAS DE CAMPO UNA EN TUMACO Y OTRA EN BUENAVENTURA A LOS SITIOS DE ACOPIO Y EXTRACCION DEL RECURSO PIANGUA (anadara) , PARA LA RECOPILACION DE INFORMACION  BIOLOGICA Y PESQUERA  </v>
      </c>
      <c r="AI137" s="72" t="str">
        <f>IFERROR(__xludf.DUMMYFUNCTION("""COMPUTED_VALUE"""),"https://drive.google.com/file/d/1E6tlBnW52awSazvChc4b7SGhIgMR_PRI/view?usp=sharing")</f>
        <v>https://drive.google.com/file/d/1E6tlBnW52awSazvChc4b7SGhIgMR_PRI/view?usp=sharing</v>
      </c>
      <c r="AJ137" s="52">
        <f>IFERROR(__xludf.DUMMYFUNCTION("""COMPUTED_VALUE"""),44298.0)</f>
        <v>44298</v>
      </c>
      <c r="AK137" s="53" t="str">
        <f>IFERROR(IF((AL137+1)&lt;2,Alertas!$B$2&amp;TEXT(AL137,"0%")&amp;Alertas!$D$2, IF((AL137+1)=2,Alertas!$B$3,IF((AL137+1)&gt;2,Alertas!$B$4&amp;TEXT(AL137,"0%")&amp;Alertas!$D$4,AL137+1))),"Sin meta para el cuarto trimestre")</f>
        <v>La ejecución de la meta registrada se encuentra por debajo de la meta programada en la formulación del plan de acción para el cuarto trimestre, su porcentaje de cumplimiento es 33%, lo cual indica un incumplimiento que puede ser entendido por los entes de control como falencias en el proceso de planeación. se recomienda tomar este antecedente como insumo para disminuir la meta en la próxima vigencia</v>
      </c>
      <c r="AL137" s="54">
        <f t="shared" si="2"/>
        <v>0.3333333333</v>
      </c>
      <c r="AM137" s="53" t="str">
        <f t="shared" si="3"/>
        <v>La ejecución de la meta registrada se encuentra por debajo de la meta programada en la formulación del plan de acción para el cuarto trimestre, su porcentaje de cumplimiento es 33%, lo cual indica un incumplimiento que puede ser entendido por los entes de control como falencias en el proceso de planeación. se recomienda tomar este antecedente como insumo para disminuir la meta en la próxima vigencia.</v>
      </c>
      <c r="AN137" s="55"/>
      <c r="AO137" s="56"/>
      <c r="AP137" s="57"/>
      <c r="AQ137" s="57"/>
      <c r="AR137" s="58"/>
      <c r="AS137" s="59"/>
      <c r="AT137" s="60"/>
      <c r="AU137" s="55"/>
      <c r="AV137" s="56"/>
      <c r="AW137" s="61"/>
      <c r="AX137" s="57"/>
      <c r="AY137" s="62"/>
      <c r="AZ137" s="63"/>
      <c r="BA137" s="64"/>
      <c r="BB137" s="65"/>
      <c r="BC137" s="56"/>
      <c r="BD137" s="61"/>
      <c r="BE137" s="57"/>
      <c r="BF137" s="58"/>
      <c r="BG137" s="63"/>
      <c r="BH137" s="64"/>
      <c r="BI137" s="66"/>
      <c r="BK137" s="21" t="str">
        <f t="shared" si="23"/>
        <v>-1</v>
      </c>
      <c r="BM137" s="21"/>
    </row>
    <row r="138" ht="33.75" customHeight="1">
      <c r="A138" s="37"/>
      <c r="B138" s="38">
        <f>IFERROR(__xludf.DUMMYFUNCTION("""COMPUTED_VALUE"""),136.0)</f>
        <v>136</v>
      </c>
      <c r="C138" s="39" t="str">
        <f>IFERROR(__xludf.DUMMYFUNCTION("""COMPUTED_VALUE"""),"Gestión de la información y generación del conocimiento")</f>
        <v>Gestión de la información y generación del conocimiento</v>
      </c>
      <c r="D138" s="40" t="str">
        <f>IFERROR(__xludf.DUMMYFUNCTION("""COMPUTED_VALUE"""),"Regional Cali")</f>
        <v>Regional Cali</v>
      </c>
      <c r="E138" s="40" t="str">
        <f>IFERROR(__xludf.DUMMYFUNCTION("""COMPUTED_VALUE"""),"Desarrollo de actividades de investigación para la generación de conocimiento científico, técnico, social y económico de la pesca y la acuicultura a nivel nacional")</f>
        <v>Desarrollo de actividades de investigación para la generación de conocimiento científico, técnico, social y económico de la pesca y la acuicultura a nivel nacional</v>
      </c>
      <c r="F138" s="40">
        <f>IFERROR(__xludf.DUMMYFUNCTION("""COMPUTED_VALUE"""),2.019011000277E12)</f>
        <v>2019011000277</v>
      </c>
      <c r="G138" s="41" t="str">
        <f>IFERROR(__xludf.DUMMYFUNCTION("""COMPUTED_VALUE"""),"Investigación")</f>
        <v>Investigación</v>
      </c>
      <c r="H138" s="40" t="str">
        <f>IFERROR(__xludf.DUMMYFUNCTION("""COMPUTED_VALUE"""),"Incrementar el conocimiento científico y técnico del estado de los recursos pesqueros y de la actividad pesquera")</f>
        <v>Incrementar el conocimiento científico y técnico del estado de los recursos pesqueros y de la actividad pesquera</v>
      </c>
      <c r="I138" s="40" t="str">
        <f>IFERROR(__xludf.DUMMYFUNCTION("""COMPUTED_VALUE"""),"Documentos de investigación")</f>
        <v>Documentos de investigación</v>
      </c>
      <c r="J138" s="40" t="str">
        <f>IFERROR(__xludf.DUMMYFUNCTION("""COMPUTED_VALUE"""),"Documentos de investigación")</f>
        <v>Documentos de investigación</v>
      </c>
      <c r="K138" s="42" t="str">
        <f>IFERROR(__xludf.DUMMYFUNCTION("""COMPUTED_VALUE"""),"Gestión del área")</f>
        <v>Gestión del área</v>
      </c>
      <c r="L138" s="42" t="str">
        <f>IFERROR(__xludf.DUMMYFUNCTION("""COMPUTED_VALUE"""),"Eficacia")</f>
        <v>Eficacia</v>
      </c>
      <c r="M138" s="42" t="str">
        <f>IFERROR(__xludf.DUMMYFUNCTION("""COMPUTED_VALUE"""),"Número")</f>
        <v>Número</v>
      </c>
      <c r="N138" s="43" t="str">
        <f>IFERROR(__xludf.DUMMYFUNCTION("""COMPUTED_VALUE"""),"Reportes de monitoreo que aportan a documentos de investigación")</f>
        <v>Reportes de monitoreo que aportan a documentos de investigación</v>
      </c>
      <c r="O138" s="44"/>
      <c r="P138" s="45">
        <f>IFERROR(__xludf.DUMMYFUNCTION("""COMPUTED_VALUE"""),3.0)</f>
        <v>3</v>
      </c>
      <c r="Q138" s="46" t="str">
        <f>IFERROR(__xludf.DUMMYFUNCTION("""COMPUTED_VALUE"""),"Realizar salidas de campo realizadas para la recopilación de información biológica pesquera en la Laguna de Sonso
")</f>
        <v>Realizar salidas de campo realizadas para la recopilación de información biológica pesquera en la Laguna de Sonso
</v>
      </c>
      <c r="R138" s="47" t="str">
        <f>IFERROR(__xludf.DUMMYFUNCTION("""COMPUTED_VALUE"""),"Trimestral")</f>
        <v>Trimestral</v>
      </c>
      <c r="S138" s="45">
        <f>IFERROR(__xludf.DUMMYFUNCTION("""COMPUTED_VALUE"""),0.0)</f>
        <v>0</v>
      </c>
      <c r="T138" s="45">
        <f>IFERROR(__xludf.DUMMYFUNCTION("""COMPUTED_VALUE"""),1.0)</f>
        <v>1</v>
      </c>
      <c r="U138" s="45">
        <f>IFERROR(__xludf.DUMMYFUNCTION("""COMPUTED_VALUE"""),1.0)</f>
        <v>1</v>
      </c>
      <c r="V138" s="45">
        <f>IFERROR(__xludf.DUMMYFUNCTION("""COMPUTED_VALUE"""),1.0)</f>
        <v>1</v>
      </c>
      <c r="W138" s="48" t="str">
        <f>IFERROR(__xludf.DUMMYFUNCTION("""COMPUTED_VALUE"""),"Regional Cali")</f>
        <v>Regional Cali</v>
      </c>
      <c r="X138" s="49" t="str">
        <f>IFERROR(__xludf.DUMMYFUNCTION("""COMPUTED_VALUE"""),"Sandra Amgulo")</f>
        <v>Sandra Amgulo</v>
      </c>
      <c r="Y138" s="39" t="str">
        <f>IFERROR(__xludf.DUMMYFUNCTION("""COMPUTED_VALUE"""),"Director Regional")</f>
        <v>Director Regional</v>
      </c>
      <c r="Z138" s="49" t="str">
        <f>IFERROR(__xludf.DUMMYFUNCTION("""COMPUTED_VALUE"""),"sandra.angulo@aunap.gov.co")</f>
        <v>sandra.angulo@aunap.gov.co</v>
      </c>
      <c r="AA138" s="39" t="str">
        <f>IFERROR(__xludf.DUMMYFUNCTION("""COMPUTED_VALUE"""),"Humanos, fisicos, financieros y tecnologicos")</f>
        <v>Humanos, fisicos, financieros y tecnologicos</v>
      </c>
      <c r="AB138" s="39" t="str">
        <f>IFERROR(__xludf.DUMMYFUNCTION("""COMPUTED_VALUE"""),"No asociado")</f>
        <v>No asociado</v>
      </c>
      <c r="AC138"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8" s="39" t="str">
        <f>IFERROR(__xludf.DUMMYFUNCTION("""COMPUTED_VALUE"""),"Gestión del conocimiento")</f>
        <v>Gestión del conocimiento</v>
      </c>
      <c r="AE138" s="39" t="str">
        <f>IFERROR(__xludf.DUMMYFUNCTION("""COMPUTED_VALUE"""),"Gestión del Conocimiento y la Innovación")</f>
        <v>Gestión del Conocimiento y la Innovación</v>
      </c>
      <c r="AF138" s="39" t="str">
        <f>IFERROR(__xludf.DUMMYFUNCTION("""COMPUTED_VALUE"""),"12. Producción y consumo responsable")</f>
        <v>12. Producción y consumo responsable</v>
      </c>
      <c r="AG138" s="76">
        <f>IFERROR(__xludf.DUMMYFUNCTION("""COMPUTED_VALUE"""),0.0)</f>
        <v>0</v>
      </c>
      <c r="AH138" s="51" t="str">
        <f>IFERROR(__xludf.DUMMYFUNCTION("""COMPUTED_VALUE"""),"NO HABIAN METAS  PLANTEADAS  PARA ESTA ACTIVIDAD  DURANTE ESTE TRIMESTRE")</f>
        <v>NO HABIAN METAS  PLANTEADAS  PARA ESTA ACTIVIDAD  DURANTE ESTE TRIMESTRE</v>
      </c>
      <c r="AI138" s="51" t="str">
        <f>IFERROR(__xludf.DUMMYFUNCTION("""COMPUTED_VALUE"""),"NO HABIAN METAS  PLANTEADAS  PARA ESTA ACTIVIDAD  DURANTE ESTE TRIMESTRE")</f>
        <v>NO HABIAN METAS  PLANTEADAS  PARA ESTA ACTIVIDAD  DURANTE ESTE TRIMESTRE</v>
      </c>
      <c r="AJ138" s="52">
        <f>IFERROR(__xludf.DUMMYFUNCTION("""COMPUTED_VALUE"""),44298.0)</f>
        <v>44298</v>
      </c>
      <c r="AK138" s="53" t="str">
        <f>IFERROR(IF((AL138+1)&lt;2,Alertas!$B$2&amp;TEXT(AL138,"0%")&amp;Alertas!$D$2, IF((AL138+1)=2,Alertas!$B$3,IF((AL138+1)&gt;2,Alertas!$B$4&amp;TEXT(AL138,"0%")&amp;Alertas!$D$4,AL138+1))),"Sin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38" s="54">
        <f t="shared" si="2"/>
        <v>0</v>
      </c>
      <c r="AM138" s="53" t="str">
        <f t="shared" si="3"/>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N138" s="55"/>
      <c r="AO138" s="56"/>
      <c r="AP138" s="57"/>
      <c r="AQ138" s="57"/>
      <c r="AR138" s="58"/>
      <c r="AS138" s="59"/>
      <c r="AT138" s="60"/>
      <c r="AU138" s="55"/>
      <c r="AV138" s="56"/>
      <c r="AW138" s="61"/>
      <c r="AX138" s="57"/>
      <c r="AY138" s="62"/>
      <c r="AZ138" s="63"/>
      <c r="BA138" s="64"/>
      <c r="BB138" s="65"/>
      <c r="BC138" s="56"/>
      <c r="BD138" s="61"/>
      <c r="BE138" s="57"/>
      <c r="BF138" s="58"/>
      <c r="BG138" s="63"/>
      <c r="BH138" s="64"/>
      <c r="BI138" s="66"/>
      <c r="BK138" s="21" t="str">
        <f t="shared" si="23"/>
        <v>-1</v>
      </c>
      <c r="BM138" s="21"/>
    </row>
    <row r="139" ht="33.75" customHeight="1">
      <c r="A139" s="37"/>
      <c r="B139" s="38">
        <f>IFERROR(__xludf.DUMMYFUNCTION("""COMPUTED_VALUE"""),137.0)</f>
        <v>137</v>
      </c>
      <c r="C139" s="39" t="str">
        <f>IFERROR(__xludf.DUMMYFUNCTION("""COMPUTED_VALUE"""),"Gestión de la inspección y vigilancia")</f>
        <v>Gestión de la inspección y vigilancia</v>
      </c>
      <c r="D139" s="40" t="str">
        <f>IFERROR(__xludf.DUMMYFUNCTION("""COMPUTED_VALUE"""),"Regional Magangué")</f>
        <v>Regional Magangué</v>
      </c>
      <c r="E139"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39" s="40">
        <f>IFERROR(__xludf.DUMMYFUNCTION("""COMPUTED_VALUE"""),2.019011000276E12)</f>
        <v>2019011000276</v>
      </c>
      <c r="G139" s="41" t="str">
        <f>IFERROR(__xludf.DUMMYFUNCTION("""COMPUTED_VALUE"""),"Inspección")</f>
        <v>Inspección</v>
      </c>
      <c r="H139" s="40" t="str">
        <f>IFERROR(__xludf.DUMMYFUNCTION("""COMPUTED_VALUE"""),"Fortalecer los mecanismos de seguimiento y control de la actividad pesquera y de la acuicultura.")</f>
        <v>Fortalecer los mecanismos de seguimiento y control de la actividad pesquera y de la acuicultura.</v>
      </c>
      <c r="I139" s="40" t="str">
        <f>IFERROR(__xludf.DUMMYFUNCTION("""COMPUTED_VALUE"""),"Servicio de inspección, vigilancia y control de la pesca y la acuicultura")</f>
        <v>Servicio de inspección, vigilancia y control de la pesca y la acuicultura</v>
      </c>
      <c r="J139" s="40" t="str">
        <f>IFERROR(__xludf.DUMMYFUNCTION("""COMPUTED_VALUE"""),"Realizar los operativos de inspección, vigilancia y control.")</f>
        <v>Realizar los operativos de inspección, vigilancia y control.</v>
      </c>
      <c r="K139" s="42" t="str">
        <f>IFERROR(__xludf.DUMMYFUNCTION("""COMPUTED_VALUE"""),"Producto")</f>
        <v>Producto</v>
      </c>
      <c r="L139" s="42" t="str">
        <f>IFERROR(__xludf.DUMMYFUNCTION("""COMPUTED_VALUE"""),"Eficacia")</f>
        <v>Eficacia</v>
      </c>
      <c r="M139" s="42" t="str">
        <f>IFERROR(__xludf.DUMMYFUNCTION("""COMPUTED_VALUE"""),"Número")</f>
        <v>Número</v>
      </c>
      <c r="N139" s="43" t="str">
        <f>IFERROR(__xludf.DUMMYFUNCTION("""COMPUTED_VALUE"""),"Operativos de inspección, vigilancia y control realizados")</f>
        <v>Operativos de inspección, vigilancia y control realizados</v>
      </c>
      <c r="O139" s="44">
        <f>IFERROR(__xludf.DUMMYFUNCTION("""COMPUTED_VALUE"""),157.0)</f>
        <v>157</v>
      </c>
      <c r="P139" s="45">
        <f>IFERROR(__xludf.DUMMYFUNCTION("""COMPUTED_VALUE"""),240.0)</f>
        <v>240</v>
      </c>
      <c r="Q139" s="46" t="str">
        <f>IFERROR(__xludf.DUMMYFUNCTION("""COMPUTED_VALUE"""),"Realizar operativos de control")</f>
        <v>Realizar operativos de control</v>
      </c>
      <c r="R139" s="47" t="str">
        <f>IFERROR(__xludf.DUMMYFUNCTION("""COMPUTED_VALUE"""),"Trimestral")</f>
        <v>Trimestral</v>
      </c>
      <c r="S139" s="45">
        <f>IFERROR(__xludf.DUMMYFUNCTION("""COMPUTED_VALUE"""),40.0)</f>
        <v>40</v>
      </c>
      <c r="T139" s="45">
        <f>IFERROR(__xludf.DUMMYFUNCTION("""COMPUTED_VALUE"""),70.0)</f>
        <v>70</v>
      </c>
      <c r="U139" s="45">
        <f>IFERROR(__xludf.DUMMYFUNCTION("""COMPUTED_VALUE"""),70.0)</f>
        <v>70</v>
      </c>
      <c r="V139" s="45">
        <f>IFERROR(__xludf.DUMMYFUNCTION("""COMPUTED_VALUE"""),60.0)</f>
        <v>60</v>
      </c>
      <c r="W139" s="48" t="str">
        <f>IFERROR(__xludf.DUMMYFUNCTION("""COMPUTED_VALUE"""),"Regional Magangue")</f>
        <v>Regional Magangue</v>
      </c>
      <c r="X139" s="49" t="str">
        <f>IFERROR(__xludf.DUMMYFUNCTION("""COMPUTED_VALUE"""),"Alfredo De Avila")</f>
        <v>Alfredo De Avila</v>
      </c>
      <c r="Y139" s="39" t="str">
        <f>IFERROR(__xludf.DUMMYFUNCTION("""COMPUTED_VALUE"""),"Director regional Magangue")</f>
        <v>Director regional Magangue</v>
      </c>
      <c r="Z139" s="49" t="str">
        <f>IFERROR(__xludf.DUMMYFUNCTION("""COMPUTED_VALUE"""),"alfredo.deavila@aunap.gov.co")</f>
        <v>alfredo.deavila@aunap.gov.co</v>
      </c>
      <c r="AA139" s="39" t="str">
        <f>IFERROR(__xludf.DUMMYFUNCTION("""COMPUTED_VALUE"""),"Humanos, Físicos, Financieros, Tecnológicos")</f>
        <v>Humanos, Físicos, Financieros, Tecnológicos</v>
      </c>
      <c r="AB139" s="39" t="str">
        <f>IFERROR(__xludf.DUMMYFUNCTION("""COMPUTED_VALUE"""),"Plan Anticorrupción y de Atención al Ciudadano - PAAC")</f>
        <v>Plan Anticorrupción y de Atención al Ciudadano - PAAC</v>
      </c>
      <c r="AC139"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39" s="39" t="str">
        <f>IFERROR(__xludf.DUMMYFUNCTION("""COMPUTED_VALUE"""),"Direccionamiento Estratégico")</f>
        <v>Direccionamiento Estratégico</v>
      </c>
      <c r="AE139" s="39" t="str">
        <f>IFERROR(__xludf.DUMMYFUNCTION("""COMPUTED_VALUE"""),"Planeación Institucional")</f>
        <v>Planeación Institucional</v>
      </c>
      <c r="AF139" s="39" t="str">
        <f>IFERROR(__xludf.DUMMYFUNCTION("""COMPUTED_VALUE"""),"8. Trabajo decente y crecimiento económico")</f>
        <v>8. Trabajo decente y crecimiento económico</v>
      </c>
      <c r="AG139" s="76">
        <f>IFERROR(__xludf.DUMMYFUNCTION("""COMPUTED_VALUE"""),40.0)</f>
        <v>40</v>
      </c>
      <c r="AH139" s="51" t="str">
        <f>IFERROR(__xludf.DUMMYFUNCTION("""COMPUTED_VALUE"""),"Durante el primer trimestre del 2021 se hizo un total de 40 operativos (9 operativos a Comerciantes, 5 operativos a embarcaciones y 26 operativos de decomiso) Mes de Enero: 10 operativos, 5 a comerciantes Pesqueros y 5 a embarcaciones en los diferentes pu"&amp;"ertos de Magangue (Albarrada, Fundepesca y corregimiento Panseguita. Mes de Febrero: 14 Operativos de Control en los Puertos Mercado barrió Sur, Puesto de Control El Retiro, Puesto de Control de la Armada Nacional.  Mes de Marzo: 16 operativos; 4 operativ"&amp;"os a comerciantes y 12 operativos de Decomiso, en los diferentes puestos de control de Magangue y puertos de desembarque.")</f>
        <v>Durante el primer trimestre del 2021 se hizo un total de 40 operativos (9 operativos a Comerciantes, 5 operativos a embarcaciones y 26 operativos de decomiso) Mes de Enero: 10 operativos, 5 a comerciantes Pesqueros y 5 a embarcaciones en los diferentes puertos de Magangue (Albarrada, Fundepesca y corregimiento Panseguita. Mes de Febrero: 14 Operativos de Control en los Puertos Mercado barrió Sur, Puesto de Control El Retiro, Puesto de Control de la Armada Nacional.  Mes de Marzo: 16 operativos; 4 operativos a comerciantes y 12 operativos de Decomiso, en los diferentes puestos de control de Magangue y puertos de desembarque.</v>
      </c>
      <c r="AI139" s="72" t="str">
        <f>IFERROR(__xludf.DUMMYFUNCTION("""COMPUTED_VALUE"""),"https://drive.google.com/drive/folders/1GfBCyHhqvb6WjKbHt6PHxZqeV7FAMk_A?usp=sharing")</f>
        <v>https://drive.google.com/drive/folders/1GfBCyHhqvb6WjKbHt6PHxZqeV7FAMk_A?usp=sharing</v>
      </c>
      <c r="AJ139" s="52">
        <f>IFERROR(__xludf.DUMMYFUNCTION("""COMPUTED_VALUE"""),44298.0)</f>
        <v>44298</v>
      </c>
      <c r="AK139" s="53" t="str">
        <f>IFERROR(IF((AL139+1)&lt;2,Alertas!$B$2&amp;TEXT(AL139,"0%")&amp;Alertas!$D$2, IF((AL139+1)=2,Alertas!$B$3,IF((AL139+1)&gt;2,Alertas!$B$4&amp;TEXT(AL139,"0%")&amp;Alertas!$D$4,AL139+1))),"Sin meta para el cuarto trimestre")</f>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L139" s="54">
        <f t="shared" si="2"/>
        <v>0.6666666667</v>
      </c>
      <c r="AM139" s="53" t="str">
        <f t="shared" si="3"/>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N139" s="55"/>
      <c r="AO139" s="56"/>
      <c r="AP139" s="57"/>
      <c r="AQ139" s="57"/>
      <c r="AR139" s="58"/>
      <c r="AS139" s="59"/>
      <c r="AT139" s="60"/>
      <c r="AU139" s="55"/>
      <c r="AV139" s="56"/>
      <c r="AW139" s="61"/>
      <c r="AX139" s="57"/>
      <c r="AY139" s="62"/>
      <c r="AZ139" s="63"/>
      <c r="BA139" s="64"/>
      <c r="BB139" s="65"/>
      <c r="BC139" s="56"/>
      <c r="BD139" s="61"/>
      <c r="BE139" s="57"/>
      <c r="BF139" s="58"/>
      <c r="BG139" s="63"/>
      <c r="BH139" s="64"/>
      <c r="BI139" s="66"/>
      <c r="BK139" s="21" t="str">
        <f t="shared" si="23"/>
        <v>-1</v>
      </c>
      <c r="BM139" s="21"/>
    </row>
    <row r="140" ht="33.75" customHeight="1">
      <c r="A140" s="37"/>
      <c r="B140" s="38">
        <f>IFERROR(__xludf.DUMMYFUNCTION("""COMPUTED_VALUE"""),138.0)</f>
        <v>138</v>
      </c>
      <c r="C140" s="39" t="str">
        <f>IFERROR(__xludf.DUMMYFUNCTION("""COMPUTED_VALUE"""),"Gestión de la administración y fomento")</f>
        <v>Gestión de la administración y fomento</v>
      </c>
      <c r="D140" s="40" t="str">
        <f>IFERROR(__xludf.DUMMYFUNCTION("""COMPUTED_VALUE"""),"Regional Magangué")</f>
        <v>Regional Magangué</v>
      </c>
      <c r="E140" s="40" t="str">
        <f>IFERROR(__xludf.DUMMYFUNCTION("""COMPUTED_VALUE"""),"Fortalecimiento de la sostenibilidad del sector pesquero y de la acuicultura en el territorio nacional")</f>
        <v>Fortalecimiento de la sostenibilidad del sector pesquero y de la acuicultura en el territorio nacional</v>
      </c>
      <c r="F140" s="40">
        <f>IFERROR(__xludf.DUMMYFUNCTION("""COMPUTED_VALUE"""),2.01901100028E12)</f>
        <v>2019011000280</v>
      </c>
      <c r="G140" s="41" t="str">
        <f>IFERROR(__xludf.DUMMYFUNCTION("""COMPUTED_VALUE"""),"Sostenibilidad")</f>
        <v>Sostenibilidad</v>
      </c>
      <c r="H140" s="40" t="str">
        <f>IFERROR(__xludf.DUMMYFUNCTION("""COMPUTED_VALUE"""),"Aumentar el conocimiento de la normatividad pesquera y de la acuicultura por parte de la comunidad.")</f>
        <v>Aumentar el conocimiento de la normatividad pesquera y de la acuicultura por parte de la comunidad.</v>
      </c>
      <c r="I140" s="40" t="str">
        <f>IFERROR(__xludf.DUMMYFUNCTION("""COMPUTED_VALUE"""),"Servicio de divulgación y socialización")</f>
        <v>Servicio de divulgación y socialización</v>
      </c>
      <c r="J140" s="40" t="str">
        <f>IFERROR(__xludf.DUMMYFUNCTION("""COMPUTED_VALUE"""),"Implementar las estrategias de socialización y Divulgación a la comunidad")</f>
        <v>Implementar las estrategias de socialización y Divulgación a la comunidad</v>
      </c>
      <c r="K140" s="42" t="str">
        <f>IFERROR(__xludf.DUMMYFUNCTION("""COMPUTED_VALUE"""),"Gestión del área")</f>
        <v>Gestión del área</v>
      </c>
      <c r="L140" s="42" t="str">
        <f>IFERROR(__xludf.DUMMYFUNCTION("""COMPUTED_VALUE"""),"Eficacia")</f>
        <v>Eficacia</v>
      </c>
      <c r="M140" s="42" t="str">
        <f>IFERROR(__xludf.DUMMYFUNCTION("""COMPUTED_VALUE"""),"Número")</f>
        <v>Número</v>
      </c>
      <c r="N140" s="43" t="str">
        <f>IFERROR(__xludf.DUMMYFUNCTION("""COMPUTED_VALUE"""),"Número de eventos realizados/Número de eventos programados")</f>
        <v>Número de eventos realizados/Número de eventos programados</v>
      </c>
      <c r="O140" s="44"/>
      <c r="P140" s="45">
        <f>IFERROR(__xludf.DUMMYFUNCTION("""COMPUTED_VALUE"""),60.0)</f>
        <v>60</v>
      </c>
      <c r="Q140" s="46" t="str">
        <f>IFERROR(__xludf.DUMMYFUNCTION("""COMPUTED_VALUE"""),"Numero de eventos de divulgacion y socializacion nivel nacional en pro de disminuir las malas practicas,en el ejercicio del control y vigilancia preventiva de la actividad pesquera y acuicula")</f>
        <v>Numero de eventos de divulgacion y socializacion nivel nacional en pro de disminuir las malas practicas,en el ejercicio del control y vigilancia preventiva de la actividad pesquera y acuicula</v>
      </c>
      <c r="R140" s="47" t="str">
        <f>IFERROR(__xludf.DUMMYFUNCTION("""COMPUTED_VALUE"""),"trimestral")</f>
        <v>trimestral</v>
      </c>
      <c r="S140" s="45">
        <f>IFERROR(__xludf.DUMMYFUNCTION("""COMPUTED_VALUE"""),10.0)</f>
        <v>10</v>
      </c>
      <c r="T140" s="45">
        <f>IFERROR(__xludf.DUMMYFUNCTION("""COMPUTED_VALUE"""),20.0)</f>
        <v>20</v>
      </c>
      <c r="U140" s="45">
        <f>IFERROR(__xludf.DUMMYFUNCTION("""COMPUTED_VALUE"""),20.0)</f>
        <v>20</v>
      </c>
      <c r="V140" s="45">
        <f>IFERROR(__xludf.DUMMYFUNCTION("""COMPUTED_VALUE"""),10.0)</f>
        <v>10</v>
      </c>
      <c r="W140" s="48" t="str">
        <f>IFERROR(__xludf.DUMMYFUNCTION("""COMPUTED_VALUE"""),"Regional Magangue")</f>
        <v>Regional Magangue</v>
      </c>
      <c r="X140" s="49" t="str">
        <f>IFERROR(__xludf.DUMMYFUNCTION("""COMPUTED_VALUE"""),"Alfredo De Avila")</f>
        <v>Alfredo De Avila</v>
      </c>
      <c r="Y140" s="39" t="str">
        <f>IFERROR(__xludf.DUMMYFUNCTION("""COMPUTED_VALUE"""),"Director regional Magangue")</f>
        <v>Director regional Magangue</v>
      </c>
      <c r="Z140" s="49" t="str">
        <f>IFERROR(__xludf.DUMMYFUNCTION("""COMPUTED_VALUE"""),"alfredo.deavila@aunap.gov.co")</f>
        <v>alfredo.deavila@aunap.gov.co</v>
      </c>
      <c r="AA140" s="39" t="str">
        <f>IFERROR(__xludf.DUMMYFUNCTION("""COMPUTED_VALUE"""),"Humanos, Físicos, Financieros, Tecnológicos")</f>
        <v>Humanos, Físicos, Financieros, Tecnológicos</v>
      </c>
      <c r="AB140" s="39" t="str">
        <f>IFERROR(__xludf.DUMMYFUNCTION("""COMPUTED_VALUE"""),"Plan Anticorrupción y de Atención al Ciudadano - PAAC")</f>
        <v>Plan Anticorrupción y de Atención al Ciudadano - PAAC</v>
      </c>
      <c r="AC140" s="39" t="str">
        <f>IFERROR(__xludf.DUMMYFUNCTION("""COMPUTED_VALUE"""),"Llegar con actividades de pesca y acuicultura a todas las regiones")</f>
        <v>Llegar con actividades de pesca y acuicultura a todas las regiones</v>
      </c>
      <c r="AD140" s="39" t="str">
        <f>IFERROR(__xludf.DUMMYFUNCTION("""COMPUTED_VALUE"""),"Gestión con valores para resultados")</f>
        <v>Gestión con valores para resultados</v>
      </c>
      <c r="AE140" s="39" t="str">
        <f>IFERROR(__xludf.DUMMYFUNCTION("""COMPUTED_VALUE"""),"Fortalecimiento Organizacional y Simplificación de Procesos")</f>
        <v>Fortalecimiento Organizacional y Simplificación de Procesos</v>
      </c>
      <c r="AF140" s="39" t="str">
        <f>IFERROR(__xludf.DUMMYFUNCTION("""COMPUTED_VALUE"""),"12. Producción y consumo responsable")</f>
        <v>12. Producción y consumo responsable</v>
      </c>
      <c r="AG140" s="76">
        <f>IFERROR(__xludf.DUMMYFUNCTION("""COMPUTED_VALUE"""),14.0)</f>
        <v>14</v>
      </c>
      <c r="AH140" s="51" t="str">
        <f>IFERROR(__xludf.DUMMYFUNCTION("""COMPUTED_VALUE"""),"Mes de enero: se hizo un total de 6 charlas en divulgacion Pesquera; 3 en el Banco y 3 en Magangue.  Mes de Febrero: total 6 de Divulgacion; 4 en el municipio de Magangue, 1 en Margarita , 1 en el Banco-Magdalena.  Mes de Marzo: se realizo 2 divulgacion; "&amp;"1 en el municipio de Achi y 1 en el municipio de Santa Barbara de Pinto-Magdalena ")</f>
        <v>Mes de enero: se hizo un total de 6 charlas en divulgacion Pesquera; 3 en el Banco y 3 en Magangue.  Mes de Febrero: total 6 de Divulgacion; 4 en el municipio de Magangue, 1 en Margarita , 1 en el Banco-Magdalena.  Mes de Marzo: se realizo 2 divulgacion; 1 en el municipio de Achi y 1 en el municipio de Santa Barbara de Pinto-Magdalena </v>
      </c>
      <c r="AI140" s="72" t="str">
        <f>IFERROR(__xludf.DUMMYFUNCTION("""COMPUTED_VALUE"""),"https://drive.google.com/drive/folders/1XZRIvmDgs3aRD2UnqC1aEjH9QRseKO0l?usp=sharing")</f>
        <v>https://drive.google.com/drive/folders/1XZRIvmDgs3aRD2UnqC1aEjH9QRseKO0l?usp=sharing</v>
      </c>
      <c r="AJ140" s="52">
        <f>IFERROR(__xludf.DUMMYFUNCTION("""COMPUTED_VALUE"""),44298.0)</f>
        <v>44298</v>
      </c>
      <c r="AK140" s="53" t="str">
        <f>IFERROR(IF((AL140+1)&lt;2,Alertas!$B$2&amp;TEXT(AL140,"0%")&amp;Alertas!$D$2, IF((AL140+1)=2,Alertas!$B$3,IF((AL140+1)&gt;2,Alertas!$B$4&amp;TEXT(AL140,"0%")&amp;Alertas!$D$4,AL140+1))),"Sin meta para el cuarto trimestre")</f>
        <v>La ejecución de la meta registrada se encuentra por encima de la meta programada en la formulación del plan de acción para el cuarto trimestre, su porcentaje de cumplimiento es 140%, lo cual indica una sobre ejecución que puede ser entendido por los entes de control como falencias en el proceso de planeación. se recomienda tomar este antecedente como insumo para incrementar la meta en la próxima vigencia</v>
      </c>
      <c r="AL140" s="54">
        <f t="shared" si="2"/>
        <v>1.4</v>
      </c>
      <c r="AM140" s="53" t="str">
        <f t="shared" si="3"/>
        <v>La ejecución de la meta registrada se encuentra por encima de la meta programada en la formulación del plan de acción para el cuarto trimestre, su porcentaje de cumplimiento es 140%, lo cual indica una sobre ejecución que puede ser entendido por los entes de control como falencias en el proceso de planeación. se recomienda tomar este antecedente como insumo para incrementar la meta en la próxima vigencia.</v>
      </c>
      <c r="AN140" s="55"/>
      <c r="AO140" s="56"/>
      <c r="AP140" s="57"/>
      <c r="AQ140" s="57"/>
      <c r="AR140" s="58"/>
      <c r="AS140" s="59"/>
      <c r="AT140" s="60"/>
      <c r="AU140" s="55"/>
      <c r="AV140" s="56"/>
      <c r="AW140" s="61"/>
      <c r="AX140" s="57"/>
      <c r="AY140" s="62"/>
      <c r="AZ140" s="63"/>
      <c r="BA140" s="64"/>
      <c r="BB140" s="65"/>
      <c r="BC140" s="56"/>
      <c r="BD140" s="61"/>
      <c r="BE140" s="57"/>
      <c r="BF140" s="58"/>
      <c r="BG140" s="63"/>
      <c r="BH140" s="64"/>
      <c r="BI140" s="66"/>
      <c r="BK140" s="21" t="str">
        <f t="shared" si="23"/>
        <v>1</v>
      </c>
      <c r="BM140" s="21"/>
    </row>
    <row r="141" ht="33.75" customHeight="1">
      <c r="A141" s="37"/>
      <c r="B141" s="38">
        <f>IFERROR(__xludf.DUMMYFUNCTION("""COMPUTED_VALUE"""),139.0)</f>
        <v>139</v>
      </c>
      <c r="C141" s="39" t="str">
        <f>IFERROR(__xludf.DUMMYFUNCTION("""COMPUTED_VALUE"""),"Gestión de la administración y fomento")</f>
        <v>Gestión de la administración y fomento</v>
      </c>
      <c r="D141" s="40" t="str">
        <f>IFERROR(__xludf.DUMMYFUNCTION("""COMPUTED_VALUE"""),"Regional Magangué")</f>
        <v>Regional Magangué</v>
      </c>
      <c r="E141" s="40" t="str">
        <f>IFERROR(__xludf.DUMMYFUNCTION("""COMPUTED_VALUE"""),"Fortalecimiento de la sostenibilidad del sector pesquero y de la acuicultura en el territorio nacional")</f>
        <v>Fortalecimiento de la sostenibilidad del sector pesquero y de la acuicultura en el territorio nacional</v>
      </c>
      <c r="F141" s="40">
        <f>IFERROR(__xludf.DUMMYFUNCTION("""COMPUTED_VALUE"""),2.01901100028E12)</f>
        <v>2019011000280</v>
      </c>
      <c r="G141" s="41" t="str">
        <f>IFERROR(__xludf.DUMMYFUNCTION("""COMPUTED_VALUE"""),"Sostenibilidad")</f>
        <v>Sostenibilidad</v>
      </c>
      <c r="H141" s="40" t="str">
        <f>IFERROR(__xludf.DUMMYFUNCTION("""COMPUTED_VALUE"""),"Mejorar la explotación de los recursos pesqueros y de la acuicultura.")</f>
        <v>Mejorar la explotación de los recursos pesqueros y de la acuicultura.</v>
      </c>
      <c r="I141" s="40" t="str">
        <f>IFERROR(__xludf.DUMMYFUNCTION("""COMPUTED_VALUE"""),"Servicios de administración de los recurso pesqueros y de la acuicultura")</f>
        <v>Servicios de administración de los recurso pesqueros y de la acuicultura</v>
      </c>
      <c r="J141" s="40" t="str">
        <f>IFERROR(__xludf.DUMMYFUNCTION("""COMPUTED_VALUE"""),"Regular el manejo y el ejercicio de la actividad pesquera y de la acuicultura.")</f>
        <v>Regular el manejo y el ejercicio de la actividad pesquera y de la acuicultura.</v>
      </c>
      <c r="K141" s="42" t="str">
        <f>IFERROR(__xludf.DUMMYFUNCTION("""COMPUTED_VALUE"""),"Gestión del área")</f>
        <v>Gestión del área</v>
      </c>
      <c r="L141" s="42" t="str">
        <f>IFERROR(__xludf.DUMMYFUNCTION("""COMPUTED_VALUE"""),"Eficacia")</f>
        <v>Eficacia</v>
      </c>
      <c r="M141" s="42" t="str">
        <f>IFERROR(__xludf.DUMMYFUNCTION("""COMPUTED_VALUE"""),"Número")</f>
        <v>Número</v>
      </c>
      <c r="N141" s="43" t="str">
        <f>IFERROR(__xludf.DUMMYFUNCTION("""COMPUTED_VALUE"""),"Número de pescadores artesanales formalizados/Número de pescadores artesanales programados para formalizar")</f>
        <v>Número de pescadores artesanales formalizados/Número de pescadores artesanales programados para formalizar</v>
      </c>
      <c r="O141" s="44"/>
      <c r="P141" s="45">
        <f>IFERROR(__xludf.DUMMYFUNCTION("""COMPUTED_VALUE"""),3000.0)</f>
        <v>3000</v>
      </c>
      <c r="Q141" s="46" t="str">
        <f>IFERROR(__xludf.DUMMYFUNCTION("""COMPUTED_VALUE"""),"Numero de pescadores formalizados")</f>
        <v>Numero de pescadores formalizados</v>
      </c>
      <c r="R141" s="47" t="str">
        <f>IFERROR(__xludf.DUMMYFUNCTION("""COMPUTED_VALUE"""),"Trimestral")</f>
        <v>Trimestral</v>
      </c>
      <c r="S141" s="45">
        <f>IFERROR(__xludf.DUMMYFUNCTION("""COMPUTED_VALUE"""),400.0)</f>
        <v>400</v>
      </c>
      <c r="T141" s="45">
        <f>IFERROR(__xludf.DUMMYFUNCTION("""COMPUTED_VALUE"""),800.0)</f>
        <v>800</v>
      </c>
      <c r="U141" s="45">
        <f>IFERROR(__xludf.DUMMYFUNCTION("""COMPUTED_VALUE"""),1000.0)</f>
        <v>1000</v>
      </c>
      <c r="V141" s="45">
        <f>IFERROR(__xludf.DUMMYFUNCTION("""COMPUTED_VALUE"""),800.0)</f>
        <v>800</v>
      </c>
      <c r="W141" s="48" t="str">
        <f>IFERROR(__xludf.DUMMYFUNCTION("""COMPUTED_VALUE"""),"Regional Magangue")</f>
        <v>Regional Magangue</v>
      </c>
      <c r="X141" s="49" t="str">
        <f>IFERROR(__xludf.DUMMYFUNCTION("""COMPUTED_VALUE"""),"Alfredo De Avila")</f>
        <v>Alfredo De Avila</v>
      </c>
      <c r="Y141" s="39" t="str">
        <f>IFERROR(__xludf.DUMMYFUNCTION("""COMPUTED_VALUE"""),"Director regional Magangue")</f>
        <v>Director regional Magangue</v>
      </c>
      <c r="Z141" s="49" t="str">
        <f>IFERROR(__xludf.DUMMYFUNCTION("""COMPUTED_VALUE"""),"alfredo.deavila@aunap.gov.co")</f>
        <v>alfredo.deavila@aunap.gov.co</v>
      </c>
      <c r="AA141" s="39" t="str">
        <f>IFERROR(__xludf.DUMMYFUNCTION("""COMPUTED_VALUE"""),"Humanos, Físicos, Financieros, Tecnológicos")</f>
        <v>Humanos, Físicos, Financieros, Tecnológicos</v>
      </c>
      <c r="AB141" s="39" t="str">
        <f>IFERROR(__xludf.DUMMYFUNCTION("""COMPUTED_VALUE"""),"No asociado")</f>
        <v>No asociado</v>
      </c>
      <c r="AC141" s="39" t="str">
        <f>IFERROR(__xludf.DUMMYFUNCTION("""COMPUTED_VALUE"""),"Propiciar la formalización de la pesca y la acuicultura")</f>
        <v>Propiciar la formalización de la pesca y la acuicultura</v>
      </c>
      <c r="AD141" s="39" t="str">
        <f>IFERROR(__xludf.DUMMYFUNCTION("""COMPUTED_VALUE"""),"Gestión con valores para resultados")</f>
        <v>Gestión con valores para resultados</v>
      </c>
      <c r="AE141" s="39" t="str">
        <f>IFERROR(__xludf.DUMMYFUNCTION("""COMPUTED_VALUE"""),"Fortalecimiento Organizacional y Simplificación de Procesos")</f>
        <v>Fortalecimiento Organizacional y Simplificación de Procesos</v>
      </c>
      <c r="AF141" s="39" t="str">
        <f>IFERROR(__xludf.DUMMYFUNCTION("""COMPUTED_VALUE"""),"12. Producción y consumo responsable")</f>
        <v>12. Producción y consumo responsable</v>
      </c>
      <c r="AG141" s="76">
        <f>IFERROR(__xludf.DUMMYFUNCTION("""COMPUTED_VALUE"""),448.0)</f>
        <v>448</v>
      </c>
      <c r="AH141" s="51" t="str">
        <f>IFERROR(__xludf.DUMMYFUNCTION("""COMPUTED_VALUE"""),"El total de carnet en primer  trimestre fue de 448.  Mes de enero: 98 Carnet; en los municipios de Pinillos 15, Achi 1, Montecristo 1, Cicuco 13,, Cordoba-Bolivar 21, Guaranda 46, Altos del Rosario 1. Mes de Febrero: 125 carnet, en los Municipios de Magan"&amp;"gue 27 Montecristo 8, San Jacinto del Cauca 48, Guaranda 2, Cicuco 1, Barranco de Loba 25, Achi 14.  Mes de Marzo: Total 225 carnet en los municipios de Magangue 84, San Marcos 38, Mompox 16, San Benito 17, Montecristo 34, Cicuco 29, Sucre 1, Talaigua 5, "&amp;"Margarita 1")</f>
        <v>El total de carnet en primer  trimestre fue de 448.  Mes de enero: 98 Carnet; en los municipios de Pinillos 15, Achi 1, Montecristo 1, Cicuco 13,, Cordoba-Bolivar 21, Guaranda 46, Altos del Rosario 1. Mes de Febrero: 125 carnet, en los Municipios de Magangue 27 Montecristo 8, San Jacinto del Cauca 48, Guaranda 2, Cicuco 1, Barranco de Loba 25, Achi 14.  Mes de Marzo: Total 225 carnet en los municipios de Magangue 84, San Marcos 38, Mompox 16, San Benito 17, Montecristo 34, Cicuco 29, Sucre 1, Talaigua 5, Margarita 1</v>
      </c>
      <c r="AI141" s="72" t="str">
        <f>IFERROR(__xludf.DUMMYFUNCTION("""COMPUTED_VALUE"""),"https://drive.google.com/file/d/1oWB5XOELuXazamPIjZshLoxEvsaGqZvj/view?usp=sharing")</f>
        <v>https://drive.google.com/file/d/1oWB5XOELuXazamPIjZshLoxEvsaGqZvj/view?usp=sharing</v>
      </c>
      <c r="AJ141" s="52">
        <f>IFERROR(__xludf.DUMMYFUNCTION("""COMPUTED_VALUE"""),44298.0)</f>
        <v>44298</v>
      </c>
      <c r="AK141" s="53" t="str">
        <f>IFERROR(IF((AL141+1)&lt;2,Alertas!$B$2&amp;TEXT(AL141,"0%")&amp;Alertas!$D$2, IF((AL141+1)=2,Alertas!$B$3,IF((AL141+1)&gt;2,Alertas!$B$4&amp;TEXT(AL141,"0%")&amp;Alertas!$D$4,AL141+1))),"Sin meta para el cuarto trimestre")</f>
        <v>La ejecución de la meta registrada se encuentra por debajo de la meta programada en la formulación del plan de acción para el cuarto trimestre, su porcentaje de cumplimiento es 56%, lo cual indica un incumplimiento que puede ser entendido por los entes de control como falencias en el proceso de planeación. se recomienda tomar este antecedente como insumo para disminuir la meta en la próxima vigencia</v>
      </c>
      <c r="AL141" s="54">
        <f t="shared" si="2"/>
        <v>0.56</v>
      </c>
      <c r="AM141" s="53" t="str">
        <f t="shared" si="3"/>
        <v>La ejecución de la meta registrada se encuentra por debajo de la meta programada en la formulación del plan de acción para el cuarto trimestre, su porcentaje de cumplimiento es 56%, lo cual indica un incumplimiento que puede ser entendido por los entes de control como falencias en el proceso de planeación. se recomienda tomar este antecedente como insumo para disminuir la meta en la próxima vigencia.</v>
      </c>
      <c r="AN141" s="55"/>
      <c r="AO141" s="56"/>
      <c r="AP141" s="57"/>
      <c r="AQ141" s="57"/>
      <c r="AR141" s="58"/>
      <c r="AS141" s="59"/>
      <c r="AT141" s="60"/>
      <c r="AU141" s="55"/>
      <c r="AV141" s="56"/>
      <c r="AW141" s="61"/>
      <c r="AX141" s="57"/>
      <c r="AY141" s="62"/>
      <c r="AZ141" s="63"/>
      <c r="BA141" s="64"/>
      <c r="BB141" s="65"/>
      <c r="BC141" s="56"/>
      <c r="BD141" s="61"/>
      <c r="BE141" s="57"/>
      <c r="BF141" s="58"/>
      <c r="BG141" s="63"/>
      <c r="BH141" s="64"/>
      <c r="BI141" s="66"/>
      <c r="BK141" s="21" t="str">
        <f t="shared" si="23"/>
        <v>-1</v>
      </c>
      <c r="BM141" s="21"/>
    </row>
    <row r="142" ht="33.75" customHeight="1">
      <c r="A142" s="37"/>
      <c r="B142" s="38">
        <f>IFERROR(__xludf.DUMMYFUNCTION("""COMPUTED_VALUE"""),140.0)</f>
        <v>140</v>
      </c>
      <c r="C142" s="39" t="str">
        <f>IFERROR(__xludf.DUMMYFUNCTION("""COMPUTED_VALUE"""),"Gestión de la administración y fomento")</f>
        <v>Gestión de la administración y fomento</v>
      </c>
      <c r="D142" s="40" t="str">
        <f>IFERROR(__xludf.DUMMYFUNCTION("""COMPUTED_VALUE"""),"Regional Magangué")</f>
        <v>Regional Magangué</v>
      </c>
      <c r="E142" s="40" t="str">
        <f>IFERROR(__xludf.DUMMYFUNCTION("""COMPUTED_VALUE"""),"Fortalecimiento de la sostenibilidad del sector pesquero y de la acuicultura en el territorio nacional")</f>
        <v>Fortalecimiento de la sostenibilidad del sector pesquero y de la acuicultura en el territorio nacional</v>
      </c>
      <c r="F142" s="40">
        <f>IFERROR(__xludf.DUMMYFUNCTION("""COMPUTED_VALUE"""),2.01901100028E12)</f>
        <v>2019011000280</v>
      </c>
      <c r="G142" s="41" t="str">
        <f>IFERROR(__xludf.DUMMYFUNCTION("""COMPUTED_VALUE"""),"Sostenibilidad")</f>
        <v>Sostenibilidad</v>
      </c>
      <c r="H142" s="40" t="str">
        <f>IFERROR(__xludf.DUMMYFUNCTION("""COMPUTED_VALUE"""),"Mejorar las prácticas de pesca y de acuicultura.")</f>
        <v>Mejorar las prácticas de pesca y de acuicultura.</v>
      </c>
      <c r="I142" s="40" t="str">
        <f>IFERROR(__xludf.DUMMYFUNCTION("""COMPUTED_VALUE"""),"Servicios de apoyo al fomento de la pesca y la acuicultura")</f>
        <v>Servicios de apoyo al fomento de la pesca y la acuicultura</v>
      </c>
      <c r="J142" s="40" t="str">
        <f>IFERROR(__xludf.DUMMYFUNCTION("""COMPUTED_VALUE"""),"Generar acciones de fomento para la pesca, la acuicultura y sus actividades conexas.")</f>
        <v>Generar acciones de fomento para la pesca, la acuicultura y sus actividades conexas.</v>
      </c>
      <c r="K142" s="42" t="str">
        <f>IFERROR(__xludf.DUMMYFUNCTION("""COMPUTED_VALUE"""),"Gestión del área")</f>
        <v>Gestión del área</v>
      </c>
      <c r="L142" s="42" t="str">
        <f>IFERROR(__xludf.DUMMYFUNCTION("""COMPUTED_VALUE"""),"Eficacia")</f>
        <v>Eficacia</v>
      </c>
      <c r="M142" s="42" t="str">
        <f>IFERROR(__xludf.DUMMYFUNCTION("""COMPUTED_VALUE"""),"Número")</f>
        <v>Número</v>
      </c>
      <c r="N142" s="43" t="str">
        <f>IFERROR(__xludf.DUMMYFUNCTION("""COMPUTED_VALUE"""),"Organizaciones atendidas")</f>
        <v>Organizaciones atendidas</v>
      </c>
      <c r="O142" s="44"/>
      <c r="P142" s="45">
        <f>IFERROR(__xludf.DUMMYFUNCTION("""COMPUTED_VALUE"""),125.0)</f>
        <v>125</v>
      </c>
      <c r="Q142" s="46" t="str">
        <f>IFERROR(__xludf.DUMMYFUNCTION("""COMPUTED_VALUE"""),"Capacitacion a los grupos de interes en asociatividad y normatividad para el ejercicio de la acuicultura, pesca y actividades conexas")</f>
        <v>Capacitacion a los grupos de interes en asociatividad y normatividad para el ejercicio de la acuicultura, pesca y actividades conexas</v>
      </c>
      <c r="R142" s="47" t="str">
        <f>IFERROR(__xludf.DUMMYFUNCTION("""COMPUTED_VALUE"""),"Trimestral")</f>
        <v>Trimestral</v>
      </c>
      <c r="S142" s="45">
        <f>IFERROR(__xludf.DUMMYFUNCTION("""COMPUTED_VALUE"""),5.0)</f>
        <v>5</v>
      </c>
      <c r="T142" s="45">
        <f>IFERROR(__xludf.DUMMYFUNCTION("""COMPUTED_VALUE"""),40.0)</f>
        <v>40</v>
      </c>
      <c r="U142" s="45">
        <f>IFERROR(__xludf.DUMMYFUNCTION("""COMPUTED_VALUE"""),50.0)</f>
        <v>50</v>
      </c>
      <c r="V142" s="45">
        <f>IFERROR(__xludf.DUMMYFUNCTION("""COMPUTED_VALUE"""),30.0)</f>
        <v>30</v>
      </c>
      <c r="W142" s="48" t="str">
        <f>IFERROR(__xludf.DUMMYFUNCTION("""COMPUTED_VALUE"""),"Dirección Técnica de Administración y Fomento")</f>
        <v>Dirección Técnica de Administración y Fomento</v>
      </c>
      <c r="X142" s="49" t="str">
        <f>IFERROR(__xludf.DUMMYFUNCTION("""COMPUTED_VALUE"""),"John Jairo Restrepo")</f>
        <v>John Jairo Restrepo</v>
      </c>
      <c r="Y142" s="39" t="str">
        <f>IFERROR(__xludf.DUMMYFUNCTION("""COMPUTED_VALUE"""),"Director tecnico de Administracion y Fomento")</f>
        <v>Director tecnico de Administracion y Fomento</v>
      </c>
      <c r="Z142" s="49" t="str">
        <f>IFERROR(__xludf.DUMMYFUNCTION("""COMPUTED_VALUE"""),"jhon.restrepo@aunap.gov.co")</f>
        <v>jhon.restrepo@aunap.gov.co</v>
      </c>
      <c r="AA142" s="39" t="str">
        <f>IFERROR(__xludf.DUMMYFUNCTION("""COMPUTED_VALUE"""),"Humanos, Físicos, Financieros, Tecnológicos")</f>
        <v>Humanos, Físicos, Financieros, Tecnológicos</v>
      </c>
      <c r="AB142" s="39" t="str">
        <f>IFERROR(__xludf.DUMMYFUNCTION("""COMPUTED_VALUE"""),"No asociado")</f>
        <v>No asociado</v>
      </c>
      <c r="AC142" s="39" t="str">
        <f>IFERROR(__xludf.DUMMYFUNCTION("""COMPUTED_VALUE"""),"Propiciar la formalización de la pesca y la acuicultura")</f>
        <v>Propiciar la formalización de la pesca y la acuicultura</v>
      </c>
      <c r="AD142" s="39" t="str">
        <f>IFERROR(__xludf.DUMMYFUNCTION("""COMPUTED_VALUE"""),"Direccionamiento Estratégico")</f>
        <v>Direccionamiento Estratégico</v>
      </c>
      <c r="AE142" s="39" t="str">
        <f>IFERROR(__xludf.DUMMYFUNCTION("""COMPUTED_VALUE"""),"Fortalecimiento Organizacional y Simplificación de Procesos")</f>
        <v>Fortalecimiento Organizacional y Simplificación de Procesos</v>
      </c>
      <c r="AF142" s="39" t="str">
        <f>IFERROR(__xludf.DUMMYFUNCTION("""COMPUTED_VALUE"""),"8. Trabajo decente y crecimiento económico")</f>
        <v>8. Trabajo decente y crecimiento económico</v>
      </c>
      <c r="AG142" s="76">
        <f>IFERROR(__xludf.DUMMYFUNCTION("""COMPUTED_VALUE"""),18.0)</f>
        <v>18</v>
      </c>
      <c r="AH142" s="51" t="str">
        <f>IFERROR(__xludf.DUMMYFUNCTION("""COMPUTED_VALUE"""),"En total se realizaron 18 charlas en Asociatividad  y Normatividad para el ejercio de  la Acuícultura, Pesca Artesanal y Actividades Conexas.  Mes de Enero:  2 charlas en el municipio de Magangue.  Mes de Febrero: 6 charlas en los municipios de Margarita "&amp;"2, Cicuco 1, Magangue 2, Talaigua 1.  Mes de Marzo: total 10 en los municipios de Pinillos 3, Mompox 4, Magangue 2 y Santa barbara de Pinto 1")</f>
        <v>En total se realizaron 18 charlas en Asociatividad  y Normatividad para el ejercio de  la Acuícultura, Pesca Artesanal y Actividades Conexas.  Mes de Enero:  2 charlas en el municipio de Magangue.  Mes de Febrero: 6 charlas en los municipios de Margarita 2, Cicuco 1, Magangue 2, Talaigua 1.  Mes de Marzo: total 10 en los municipios de Pinillos 3, Mompox 4, Magangue 2 y Santa barbara de Pinto 1</v>
      </c>
      <c r="AI142" s="72" t="str">
        <f>IFERROR(__xludf.DUMMYFUNCTION("""COMPUTED_VALUE"""),"https://drive.google.com/drive/folders/1QMQoJduEwalnC434eGRvKhy8GfhIhyas?usp=sharing")</f>
        <v>https://drive.google.com/drive/folders/1QMQoJduEwalnC434eGRvKhy8GfhIhyas?usp=sharing</v>
      </c>
      <c r="AJ142" s="52">
        <f>IFERROR(__xludf.DUMMYFUNCTION("""COMPUTED_VALUE"""),44298.0)</f>
        <v>44298</v>
      </c>
      <c r="AK142" s="53" t="str">
        <f>IFERROR(IF((AL142+1)&lt;2,Alertas!$B$2&amp;TEXT(AL142,"0%")&amp;Alertas!$D$2, IF((AL142+1)=2,Alertas!$B$3,IF((AL142+1)&gt;2,Alertas!$B$4&amp;TEXT(AL142,"0%")&amp;Alertas!$D$4,AL142+1))),"Sin meta para el cuarto trimestre")</f>
        <v>La ejecución de la meta registrada se encuentra por debajo de la meta programada en la formulación del plan de acción para el cuarto trimestre, su porcentaje de cumplimiento es 60%, lo cual indica un incumplimiento que puede ser entendido por los entes de control como falencias en el proceso de planeación. se recomienda tomar este antecedente como insumo para disminuir la meta en la próxima vigencia</v>
      </c>
      <c r="AL142" s="54">
        <f t="shared" si="2"/>
        <v>0.6</v>
      </c>
      <c r="AM142" s="53" t="str">
        <f t="shared" si="3"/>
        <v>La ejecución de la meta registrada se encuentra por debajo de la meta programada en la formulación del plan de acción para el cuarto trimestre, su porcentaje de cumplimiento es 60%, lo cual indica un incumplimiento que puede ser entendido por los entes de control como falencias en el proceso de planeación. se recomienda tomar este antecedente como insumo para disminuir la meta en la próxima vigencia.</v>
      </c>
      <c r="AN142" s="55"/>
      <c r="AO142" s="56"/>
      <c r="AP142" s="57"/>
      <c r="AQ142" s="57"/>
      <c r="AR142" s="58"/>
      <c r="AS142" s="59"/>
      <c r="AT142" s="60"/>
      <c r="AU142" s="55"/>
      <c r="AV142" s="56"/>
      <c r="AW142" s="61"/>
      <c r="AX142" s="57"/>
      <c r="AY142" s="62"/>
      <c r="AZ142" s="63"/>
      <c r="BA142" s="64"/>
      <c r="BB142" s="65"/>
      <c r="BC142" s="56"/>
      <c r="BD142" s="61"/>
      <c r="BE142" s="57"/>
      <c r="BF142" s="58"/>
      <c r="BG142" s="63"/>
      <c r="BH142" s="64"/>
      <c r="BI142" s="66"/>
      <c r="BK142" s="21" t="str">
        <f t="shared" si="23"/>
        <v>-1</v>
      </c>
      <c r="BM142" s="21"/>
    </row>
    <row r="143" ht="33.75" customHeight="1">
      <c r="A143" s="37"/>
      <c r="B143" s="38">
        <f>IFERROR(__xludf.DUMMYFUNCTION("""COMPUTED_VALUE"""),141.0)</f>
        <v>141</v>
      </c>
      <c r="C143" s="39" t="str">
        <f>IFERROR(__xludf.DUMMYFUNCTION("""COMPUTED_VALUE"""),"Gestión de la administración y fomento")</f>
        <v>Gestión de la administración y fomento</v>
      </c>
      <c r="D143" s="40" t="str">
        <f>IFERROR(__xludf.DUMMYFUNCTION("""COMPUTED_VALUE"""),"Regional Magangué")</f>
        <v>Regional Magangué</v>
      </c>
      <c r="E143" s="40" t="str">
        <f>IFERROR(__xludf.DUMMYFUNCTION("""COMPUTED_VALUE"""),"Fortalecimiento de la sostenibilidad del sector pesquero y de la acuicultura en el territorio nacional")</f>
        <v>Fortalecimiento de la sostenibilidad del sector pesquero y de la acuicultura en el territorio nacional</v>
      </c>
      <c r="F143" s="40">
        <f>IFERROR(__xludf.DUMMYFUNCTION("""COMPUTED_VALUE"""),2.01901100028E12)</f>
        <v>2019011000280</v>
      </c>
      <c r="G143" s="41" t="str">
        <f>IFERROR(__xludf.DUMMYFUNCTION("""COMPUTED_VALUE"""),"Sostenibilidad")</f>
        <v>Sostenibilidad</v>
      </c>
      <c r="H143" s="40" t="str">
        <f>IFERROR(__xludf.DUMMYFUNCTION("""COMPUTED_VALUE"""),"Mejorar la explotación de los recursos pesqueros y de la acuicultura.")</f>
        <v>Mejorar la explotación de los recursos pesqueros y de la acuicultura.</v>
      </c>
      <c r="I143" s="40" t="str">
        <f>IFERROR(__xludf.DUMMYFUNCTION("""COMPUTED_VALUE"""),"Servicios de administración de los recurso pesqueros y de la acuicultura")</f>
        <v>Servicios de administración de los recurso pesqueros y de la acuicultura</v>
      </c>
      <c r="J143" s="40" t="str">
        <f>IFERROR(__xludf.DUMMYFUNCTION("""COMPUTED_VALUE"""),"Regular el manejo y el ejercicio de la actividad pesquera y de la acuicultura.")</f>
        <v>Regular el manejo y el ejercicio de la actividad pesquera y de la acuicultura.</v>
      </c>
      <c r="K143" s="42" t="str">
        <f>IFERROR(__xludf.DUMMYFUNCTION("""COMPUTED_VALUE"""),"Gestión del área")</f>
        <v>Gestión del área</v>
      </c>
      <c r="L143" s="42" t="str">
        <f>IFERROR(__xludf.DUMMYFUNCTION("""COMPUTED_VALUE"""),"Eficacia")</f>
        <v>Eficacia</v>
      </c>
      <c r="M143" s="42" t="str">
        <f>IFERROR(__xludf.DUMMYFUNCTION("""COMPUTED_VALUE"""),"Número")</f>
        <v>Número</v>
      </c>
      <c r="N143" s="43" t="str">
        <f>IFERROR(__xludf.DUMMYFUNCTION("""COMPUTED_VALUE"""),"Actos Administrativos Notificados")</f>
        <v>Actos Administrativos Notificados</v>
      </c>
      <c r="O143" s="44"/>
      <c r="P143" s="45">
        <f>IFERROR(__xludf.DUMMYFUNCTION("""COMPUTED_VALUE"""),30.0)</f>
        <v>30</v>
      </c>
      <c r="Q143" s="46" t="str">
        <f>IFERROR(__xludf.DUMMYFUNCTION("""COMPUTED_VALUE"""),"Regular el manejo y el ejercicio de la actividad pesquera y de la acuicultura")</f>
        <v>Regular el manejo y el ejercicio de la actividad pesquera y de la acuicultura</v>
      </c>
      <c r="R143" s="47" t="str">
        <f>IFERROR(__xludf.DUMMYFUNCTION("""COMPUTED_VALUE"""),"Trimestral")</f>
        <v>Trimestral</v>
      </c>
      <c r="S143" s="45">
        <f>IFERROR(__xludf.DUMMYFUNCTION("""COMPUTED_VALUE"""),5.0)</f>
        <v>5</v>
      </c>
      <c r="T143" s="45">
        <f>IFERROR(__xludf.DUMMYFUNCTION("""COMPUTED_VALUE"""),10.0)</f>
        <v>10</v>
      </c>
      <c r="U143" s="45">
        <f>IFERROR(__xludf.DUMMYFUNCTION("""COMPUTED_VALUE"""),10.0)</f>
        <v>10</v>
      </c>
      <c r="V143" s="45">
        <f>IFERROR(__xludf.DUMMYFUNCTION("""COMPUTED_VALUE"""),5.0)</f>
        <v>5</v>
      </c>
      <c r="W143" s="48" t="str">
        <f>IFERROR(__xludf.DUMMYFUNCTION("""COMPUTED_VALUE"""),"Regional Magangue")</f>
        <v>Regional Magangue</v>
      </c>
      <c r="X143" s="49" t="str">
        <f>IFERROR(__xludf.DUMMYFUNCTION("""COMPUTED_VALUE"""),"Alfredo De Avila")</f>
        <v>Alfredo De Avila</v>
      </c>
      <c r="Y143" s="39" t="str">
        <f>IFERROR(__xludf.DUMMYFUNCTION("""COMPUTED_VALUE"""),"Director regional Magangue")</f>
        <v>Director regional Magangue</v>
      </c>
      <c r="Z143" s="49" t="str">
        <f>IFERROR(__xludf.DUMMYFUNCTION("""COMPUTED_VALUE"""),"alfredo.deavila@aunap.gov.co")</f>
        <v>alfredo.deavila@aunap.gov.co</v>
      </c>
      <c r="AA143" s="39" t="str">
        <f>IFERROR(__xludf.DUMMYFUNCTION("""COMPUTED_VALUE"""),"Humanos, Físicos, Financieros, Tecnológicos")</f>
        <v>Humanos, Físicos, Financieros, Tecnológicos</v>
      </c>
      <c r="AB143" s="39" t="str">
        <f>IFERROR(__xludf.DUMMYFUNCTION("""COMPUTED_VALUE"""),"No asociado")</f>
        <v>No asociado</v>
      </c>
      <c r="AC14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43" s="39" t="str">
        <f>IFERROR(__xludf.DUMMYFUNCTION("""COMPUTED_VALUE"""),"Gestión con valores para resultados")</f>
        <v>Gestión con valores para resultados</v>
      </c>
      <c r="AE143" s="39" t="str">
        <f>IFERROR(__xludf.DUMMYFUNCTION("""COMPUTED_VALUE"""),"Fortalecimiento Organizacional y Simplificación de Procesos")</f>
        <v>Fortalecimiento Organizacional y Simplificación de Procesos</v>
      </c>
      <c r="AF143" s="39" t="str">
        <f>IFERROR(__xludf.DUMMYFUNCTION("""COMPUTED_VALUE"""),"12. Producción y consumo responsable")</f>
        <v>12. Producción y consumo responsable</v>
      </c>
      <c r="AG143" s="76">
        <f>IFERROR(__xludf.DUMMYFUNCTION("""COMPUTED_VALUE"""),10.0)</f>
        <v>10</v>
      </c>
      <c r="AH143" s="51" t="str">
        <f>IFERROR(__xludf.DUMMYFUNCTION("""COMPUTED_VALUE"""),"Durante el primer  trimestre la Regional Recepcionó 10 solicitudes de permisos distribuidos asi:
Mes de Febrero: 2 solicitudes de Cultivo con los radicados No E2021DRM000041 de 18/02/2021
, Asociación Renacer Campesina de Juan Arias – ASORECAMJA y Resoluc"&amp;"ión No 440 del 15/3/2021; Radicado No E2021DRM000059 de E2021DRM000059 de JEORGINA FLOREZ MARTINEZ, proceso en subsanación por documentación incompleta.
Mes de Marzo: 8 solicitudes (1 Nuevo de pesca Artesanal y 7 de Cultivo, 3 Prorrogas y 4 permisos nuevo"&amp;").  Radicado E2021DRM000060 de 1/03/2021, prorroga  ASOCIACION DE PRODUCTORES DE LOS NISPEROS-ASOPRONIS , en trámite Bogotá., Radicado E2021DRM000068 de 1/03/2021, prorroga  ASOCIACION MUJERES PISCICOLAS,ACUICOLAS NUEVO HORIZONTE CORREGIMIENTO LOS NISPERO"&amp;"S-ASOMUNIS, en trámite Bogotá; Radicado E2021DRM000069 de  2/3/2021, Nuevo ASOPEISGRA-LIMNANI HERNANDEZ ESPINOZA, en subsanación por DTAF; Radicado E2021DRM000085 16/3/2021, nuevo ASOCIACION DE PRODUCTORES  AGROPECUARIOS Y PISCICOLAS DEL SAN JORGE, en trá"&amp;"mite Bogotá; Radicado E2021DRM000088 de 17/3/2021 ASOCIACION DE CAMPESINOS Y PESCADORES DE ARMENIA MUNICIPIO DE PINILLOS, en trámite., Radicado E2021DRM0000118 de 25/3/2021,  ASOCIACION DE PESCADORES Y AGRICULTORES DE TALAIGUA VIEJO- ASAPATAV En Trámite; "&amp;"Radicado E2021DRM0000119 de 30/03/2021 , prorroga ASOCIACION DE PEQUEÑOS PRODUCTORES AGROPECUARIOS DE EL PORVENIR, en trámite.
")</f>
        <v>Durante el primer  trimestre la Regional Recepcionó 10 solicitudes de permisos distribuidos asi:
Mes de Febrero: 2 solicitudes de Cultivo con los radicados No E2021DRM000041 de 18/02/2021
, Asociación Renacer Campesina de Juan Arias – ASORECAMJA y Resolución No 440 del 15/3/2021; Radicado No E2021DRM000059 de E2021DRM000059 de JEORGINA FLOREZ MARTINEZ, proceso en subsanación por documentación incompleta.
Mes de Marzo: 8 solicitudes (1 Nuevo de pesca Artesanal y 7 de Cultivo, 3 Prorrogas y 4 permisos nuevo).  Radicado E2021DRM000060 de 1/03/2021, prorroga  ASOCIACION DE PRODUCTORES DE LOS NISPEROS-ASOPRONIS , en trámite Bogotá., Radicado E2021DRM000068 de 1/03/2021, prorroga  ASOCIACION MUJERES PISCICOLAS,ACUICOLAS NUEVO HORIZONTE CORREGIMIENTO LOS NISPEROS-ASOMUNIS, en trámite Bogotá; Radicado E2021DRM000069 de  2/3/2021, Nuevo ASOPEISGRA-LIMNANI HERNANDEZ ESPINOZA, en subsanación por DTAF; Radicado E2021DRM000085 16/3/2021, nuevo ASOCIACION DE PRODUCTORES  AGROPECUARIOS Y PISCICOLAS DEL SAN JORGE, en trámite Bogotá; Radicado E2021DRM000088 de 17/3/2021 ASOCIACION DE CAMPESINOS Y PESCADORES DE ARMENIA MUNICIPIO DE PINILLOS, en trámite., Radicado E2021DRM0000118 de 25/3/2021,  ASOCIACION DE PESCADORES Y AGRICULTORES DE TALAIGUA VIEJO- ASAPATAV En Trámite; Radicado E2021DRM0000119 de 30/03/2021 , prorroga ASOCIACION DE PEQUEÑOS PRODUCTORES AGROPECUARIOS DE EL PORVENIR, en trámite.
</v>
      </c>
      <c r="AI143" s="51" t="str">
        <f>IFERROR(__xludf.DUMMYFUNCTION("""COMPUTED_VALUE"""),"https://drive.google.com/drive/folders/1jG7uuWa0susUWIoodqE5ikLrGrfQZgvp?usp=sharing https://drive.google.com/file/d/1D7SlbqFKMUfkCcKnW61TUiZWg0_xn1Zc/view?usp=sharing")</f>
        <v>https://drive.google.com/drive/folders/1jG7uuWa0susUWIoodqE5ikLrGrfQZgvp?usp=sharing https://drive.google.com/file/d/1D7SlbqFKMUfkCcKnW61TUiZWg0_xn1Zc/view?usp=sharing</v>
      </c>
      <c r="AJ143" s="52">
        <f>IFERROR(__xludf.DUMMYFUNCTION("""COMPUTED_VALUE"""),44298.0)</f>
        <v>44298</v>
      </c>
      <c r="AK143" s="53" t="str">
        <f>IFERROR(IF((AL143+1)&lt;2,Alertas!$B$2&amp;TEXT(AL143,"0%")&amp;Alertas!$D$2, IF((AL143+1)=2,Alertas!$B$3,IF((AL143+1)&gt;2,Alertas!$B$4&amp;TEXT(AL143,"0%")&amp;Alertas!$D$4,AL143+1))),"Sin meta para el cuarto trimestre")</f>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L143" s="54">
        <f t="shared" si="2"/>
        <v>2</v>
      </c>
      <c r="AM143" s="53" t="str">
        <f t="shared" si="3"/>
        <v>La ejecución de la meta registrada se encuentra por encima de la meta programada en la formulación del plan de acción para el cuarto trimestre, su porcentaje de cumplimiento es 200%, lo cual indica una sobre ejecución que puede ser entendido por los entes de control como falencias en el proceso de planeación. se recomienda tomar este antecedente como insumo para incrementar la meta en la próxima vigencia.</v>
      </c>
      <c r="AN143" s="55"/>
      <c r="AO143" s="56"/>
      <c r="AP143" s="57"/>
      <c r="AQ143" s="57"/>
      <c r="AR143" s="58"/>
      <c r="AS143" s="59"/>
      <c r="AT143" s="60"/>
      <c r="AU143" s="55"/>
      <c r="AV143" s="56"/>
      <c r="AW143" s="61"/>
      <c r="AX143" s="57"/>
      <c r="AY143" s="62"/>
      <c r="AZ143" s="63"/>
      <c r="BA143" s="64"/>
      <c r="BB143" s="65"/>
      <c r="BC143" s="56"/>
      <c r="BD143" s="61"/>
      <c r="BE143" s="57"/>
      <c r="BF143" s="58"/>
      <c r="BG143" s="63"/>
      <c r="BH143" s="64"/>
      <c r="BI143" s="66"/>
      <c r="BK143" s="21" t="str">
        <f t="shared" si="23"/>
        <v>1</v>
      </c>
      <c r="BM143" s="21"/>
    </row>
    <row r="144" ht="33.75" customHeight="1">
      <c r="A144" s="37"/>
      <c r="B144" s="38">
        <f>IFERROR(__xludf.DUMMYFUNCTION("""COMPUTED_VALUE"""),142.0)</f>
        <v>142</v>
      </c>
      <c r="C144" s="39" t="str">
        <f>IFERROR(__xludf.DUMMYFUNCTION("""COMPUTED_VALUE"""),"Gestión de la administración y fomento")</f>
        <v>Gestión de la administración y fomento</v>
      </c>
      <c r="D144" s="40" t="str">
        <f>IFERROR(__xludf.DUMMYFUNCTION("""COMPUTED_VALUE"""),"Regional Magangué")</f>
        <v>Regional Magangué</v>
      </c>
      <c r="E144" s="40" t="str">
        <f>IFERROR(__xludf.DUMMYFUNCTION("""COMPUTED_VALUE"""),"Fortalecimiento de la sostenibilidad del sector pesquero y de la acuicultura en el territorio nacional")</f>
        <v>Fortalecimiento de la sostenibilidad del sector pesquero y de la acuicultura en el territorio nacional</v>
      </c>
      <c r="F144" s="40">
        <f>IFERROR(__xludf.DUMMYFUNCTION("""COMPUTED_VALUE"""),2.01901100028E12)</f>
        <v>2019011000280</v>
      </c>
      <c r="G144" s="41" t="str">
        <f>IFERROR(__xludf.DUMMYFUNCTION("""COMPUTED_VALUE"""),"Sostenibilidad")</f>
        <v>Sostenibilidad</v>
      </c>
      <c r="H144" s="40" t="str">
        <f>IFERROR(__xludf.DUMMYFUNCTION("""COMPUTED_VALUE"""),"Mejorar la explotación de los recursos pesqueros y de la acuicultura.")</f>
        <v>Mejorar la explotación de los recursos pesqueros y de la acuicultura.</v>
      </c>
      <c r="I144" s="40" t="str">
        <f>IFERROR(__xludf.DUMMYFUNCTION("""COMPUTED_VALUE"""),"Servicios de administración de los recurso pesqueros y de la acuicultura")</f>
        <v>Servicios de administración de los recurso pesqueros y de la acuicultura</v>
      </c>
      <c r="J144" s="40" t="str">
        <f>IFERROR(__xludf.DUMMYFUNCTION("""COMPUTED_VALUE"""),"Realizar acciones de divulgación y formalización de la actividad pesquera y de la acuicultura.")</f>
        <v>Realizar acciones de divulgación y formalización de la actividad pesquera y de la acuicultura.</v>
      </c>
      <c r="K144" s="42" t="str">
        <f>IFERROR(__xludf.DUMMYFUNCTION("""COMPUTED_VALUE"""),"Gestión")</f>
        <v>Gestión</v>
      </c>
      <c r="L144" s="42" t="str">
        <f>IFERROR(__xludf.DUMMYFUNCTION("""COMPUTED_VALUE"""),"Efectividad")</f>
        <v>Efectividad</v>
      </c>
      <c r="M144" s="42" t="str">
        <f>IFERROR(__xludf.DUMMYFUNCTION("""COMPUTED_VALUE"""),"Número")</f>
        <v>Número</v>
      </c>
      <c r="N144" s="43" t="str">
        <f>IFERROR(__xludf.DUMMYFUNCTION("""COMPUTED_VALUE"""),"Numero de asociaciones capacitadas/Numero asociaciones programadas")</f>
        <v>Numero de asociaciones capacitadas/Numero asociaciones programadas</v>
      </c>
      <c r="O144" s="44">
        <f>IFERROR(__xludf.DUMMYFUNCTION("""COMPUTED_VALUE"""),15.0)</f>
        <v>15</v>
      </c>
      <c r="P144" s="45">
        <f>IFERROR(__xludf.DUMMYFUNCTION("""COMPUTED_VALUE"""),3000.0)</f>
        <v>3000</v>
      </c>
      <c r="Q144" s="46" t="str">
        <f>IFERROR(__xludf.DUMMYFUNCTION("""COMPUTED_VALUE"""),"Numero de personas Capacitadas en Pesca y Acuícultura las cuales corresponde 2500")</f>
        <v>Numero de personas Capacitadas en Pesca y Acuícultura las cuales corresponde 2500</v>
      </c>
      <c r="R144" s="47" t="str">
        <f>IFERROR(__xludf.DUMMYFUNCTION("""COMPUTED_VALUE"""),"Trimestral")</f>
        <v>Trimestral</v>
      </c>
      <c r="S144" s="45">
        <f>IFERROR(__xludf.DUMMYFUNCTION("""COMPUTED_VALUE"""),350.0)</f>
        <v>350</v>
      </c>
      <c r="T144" s="45">
        <f>IFERROR(__xludf.DUMMYFUNCTION("""COMPUTED_VALUE"""),1000.0)</f>
        <v>1000</v>
      </c>
      <c r="U144" s="45">
        <f>IFERROR(__xludf.DUMMYFUNCTION("""COMPUTED_VALUE"""),1000.0)</f>
        <v>1000</v>
      </c>
      <c r="V144" s="45">
        <f>IFERROR(__xludf.DUMMYFUNCTION("""COMPUTED_VALUE"""),650.0)</f>
        <v>650</v>
      </c>
      <c r="W144" s="48" t="str">
        <f>IFERROR(__xludf.DUMMYFUNCTION("""COMPUTED_VALUE"""),"Dirección Técnica de Administración y Fomento")</f>
        <v>Dirección Técnica de Administración y Fomento</v>
      </c>
      <c r="X144" s="49" t="str">
        <f>IFERROR(__xludf.DUMMYFUNCTION("""COMPUTED_VALUE"""),"John Jairo Restrepo")</f>
        <v>John Jairo Restrepo</v>
      </c>
      <c r="Y144" s="39" t="str">
        <f>IFERROR(__xludf.DUMMYFUNCTION("""COMPUTED_VALUE"""),"Director tecnico de Administracion y Fomento")</f>
        <v>Director tecnico de Administracion y Fomento</v>
      </c>
      <c r="Z144" s="49" t="str">
        <f>IFERROR(__xludf.DUMMYFUNCTION("""COMPUTED_VALUE"""),"jhon.restrepo@aunap.gov.co")</f>
        <v>jhon.restrepo@aunap.gov.co</v>
      </c>
      <c r="AA144" s="39" t="str">
        <f>IFERROR(__xludf.DUMMYFUNCTION("""COMPUTED_VALUE"""),"Humanos, Físicos, Financieros, Tecnológicos")</f>
        <v>Humanos, Físicos, Financieros, Tecnológicos</v>
      </c>
      <c r="AB144" s="39" t="str">
        <f>IFERROR(__xludf.DUMMYFUNCTION("""COMPUTED_VALUE"""),"No asociado")</f>
        <v>No asociado</v>
      </c>
      <c r="AC144" s="39" t="str">
        <f>IFERROR(__xludf.DUMMYFUNCTION("""COMPUTED_VALUE"""),"Llegar con actividades de pesca y acuicultura a todas las regiones")</f>
        <v>Llegar con actividades de pesca y acuicultura a todas las regiones</v>
      </c>
      <c r="AD144" s="39" t="str">
        <f>IFERROR(__xludf.DUMMYFUNCTION("""COMPUTED_VALUE"""),"Gestión con valores para resultados")</f>
        <v>Gestión con valores para resultados</v>
      </c>
      <c r="AE144" s="39" t="str">
        <f>IFERROR(__xludf.DUMMYFUNCTION("""COMPUTED_VALUE"""),"Fortalecimiento Organizacional y Simplificación de Procesos")</f>
        <v>Fortalecimiento Organizacional y Simplificación de Procesos</v>
      </c>
      <c r="AF144" s="39" t="str">
        <f>IFERROR(__xludf.DUMMYFUNCTION("""COMPUTED_VALUE"""),"12. Producción y consumo responsable")</f>
        <v>12. Producción y consumo responsable</v>
      </c>
      <c r="AG144" s="76">
        <f>IFERROR(__xludf.DUMMYFUNCTION("""COMPUTED_VALUE"""),439.0)</f>
        <v>439</v>
      </c>
      <c r="AH144" s="51" t="str">
        <f>IFERROR(__xludf.DUMMYFUNCTION("""COMPUTED_VALUE"""),"En este trimestre se cumplió en un en un 125,4% que corresponde a 439 personas capacitadas en Pesca y Acuiculta; lo cual supero la meta programada, debido a la demanda de solicitudes pidiendo capacitaciones de parte de las asociaciones y al cumplimiento q"&amp;"ue ha tenido la entidad en los diferentes  programas de Pesca y Acuicultura y actividades conexas en estos últimos años.")</f>
        <v>En este trimestre se cumplió en un en un 125,4% que corresponde a 439 personas capacitadas en Pesca y Acuiculta; lo cual supero la meta programada, debido a la demanda de solicitudes pidiendo capacitaciones de parte de las asociaciones y al cumplimiento que ha tenido la entidad en los diferentes  programas de Pesca y Acuicultura y actividades conexas en estos últimos años.</v>
      </c>
      <c r="AI144" s="72" t="str">
        <f>IFERROR(__xludf.DUMMYFUNCTION("""COMPUTED_VALUE"""),"https://drive.google.com/file/d/1JEKV34wvF7JSVNs-OPHkf9cFo75ksfHe/view?usp=sharing")</f>
        <v>https://drive.google.com/file/d/1JEKV34wvF7JSVNs-OPHkf9cFo75ksfHe/view?usp=sharing</v>
      </c>
      <c r="AJ144" s="52">
        <f>IFERROR(__xludf.DUMMYFUNCTION("""COMPUTED_VALUE"""),44298.0)</f>
        <v>44298</v>
      </c>
      <c r="AK144" s="53" t="str">
        <f>IFERROR(IF((AL144+1)&lt;2,Alertas!$B$2&amp;TEXT(AL144,"0%")&amp;Alertas!$D$2, IF((AL144+1)=2,Alertas!$B$3,IF((AL144+1)&gt;2,Alertas!$B$4&amp;TEXT(AL144,"0%")&amp;Alertas!$D$4,AL144+1))),"Sin meta para el cuarto trimestre")</f>
        <v>La ejecución de la meta registrada se encuentra por debajo de la meta programada en la formulación del plan de acción para el cuarto trimestre, su porcentaje de cumplimiento es 68%, lo cual indica un incumplimiento que puede ser entendido por los entes de control como falencias en el proceso de planeación. se recomienda tomar este antecedente como insumo para disminuir la meta en la próxima vigencia</v>
      </c>
      <c r="AL144" s="54">
        <f t="shared" si="2"/>
        <v>0.6753846154</v>
      </c>
      <c r="AM144" s="53" t="str">
        <f t="shared" si="3"/>
        <v>La ejecución de la meta registrada se encuentra por debajo de la meta programada en la formulación del plan de acción para el cuarto trimestre, su porcentaje de cumplimiento es 68%, lo cual indica un incumplimiento que puede ser entendido por los entes de control como falencias en el proceso de planeación. se recomienda tomar este antecedente como insumo para disminuir la meta en la próxima vigencia.</v>
      </c>
      <c r="AN144" s="55"/>
      <c r="AO144" s="56"/>
      <c r="AP144" s="57"/>
      <c r="AQ144" s="57"/>
      <c r="AR144" s="58"/>
      <c r="AS144" s="59"/>
      <c r="AT144" s="60"/>
      <c r="AU144" s="55"/>
      <c r="AV144" s="56"/>
      <c r="AW144" s="61"/>
      <c r="AX144" s="57"/>
      <c r="AY144" s="62"/>
      <c r="AZ144" s="63"/>
      <c r="BA144" s="64"/>
      <c r="BB144" s="65"/>
      <c r="BC144" s="56"/>
      <c r="BD144" s="61"/>
      <c r="BE144" s="57"/>
      <c r="BF144" s="58"/>
      <c r="BG144" s="63"/>
      <c r="BH144" s="64"/>
      <c r="BI144" s="66"/>
      <c r="BK144" s="21" t="str">
        <f t="shared" si="23"/>
        <v>-1</v>
      </c>
      <c r="BM144" s="21"/>
    </row>
    <row r="145" ht="33.75" customHeight="1">
      <c r="A145" s="37"/>
      <c r="B145" s="38">
        <f>IFERROR(__xludf.DUMMYFUNCTION("""COMPUTED_VALUE"""),143.0)</f>
        <v>143</v>
      </c>
      <c r="C145" s="39" t="str">
        <f>IFERROR(__xludf.DUMMYFUNCTION("""COMPUTED_VALUE"""),"Gestión de la inspección y vigilancia")</f>
        <v>Gestión de la inspección y vigilancia</v>
      </c>
      <c r="D145" s="40" t="str">
        <f>IFERROR(__xludf.DUMMYFUNCTION("""COMPUTED_VALUE"""),"Regional Medellín")</f>
        <v>Regional Medellín</v>
      </c>
      <c r="E145"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45" s="40">
        <f>IFERROR(__xludf.DUMMYFUNCTION("""COMPUTED_VALUE"""),2.019011000276E12)</f>
        <v>2019011000276</v>
      </c>
      <c r="G145" s="41" t="str">
        <f>IFERROR(__xludf.DUMMYFUNCTION("""COMPUTED_VALUE"""),"Inspección")</f>
        <v>Inspección</v>
      </c>
      <c r="H145" s="40" t="str">
        <f>IFERROR(__xludf.DUMMYFUNCTION("""COMPUTED_VALUE"""),"Aumentar el conocimiento de la normatividad pesquera y de la acuicultura por parte de la comunidad.")</f>
        <v>Aumentar el conocimiento de la normatividad pesquera y de la acuicultura por parte de la comunidad.</v>
      </c>
      <c r="I145" s="40" t="str">
        <f>IFERROR(__xludf.DUMMYFUNCTION("""COMPUTED_VALUE"""),"Servicio de divulgación y socialización")</f>
        <v>Servicio de divulgación y socialización</v>
      </c>
      <c r="J145" s="40" t="str">
        <f>IFERROR(__xludf.DUMMYFUNCTION("""COMPUTED_VALUE"""),"Implementar las estrategias de socialización y Divulgación a la comunidad")</f>
        <v>Implementar las estrategias de socialización y Divulgación a la comunidad</v>
      </c>
      <c r="K145" s="42" t="str">
        <f>IFERROR(__xludf.DUMMYFUNCTION("""COMPUTED_VALUE"""),"Gestión")</f>
        <v>Gestión</v>
      </c>
      <c r="L145" s="42" t="str">
        <f>IFERROR(__xludf.DUMMYFUNCTION("""COMPUTED_VALUE"""),"Efectividad")</f>
        <v>Efectividad</v>
      </c>
      <c r="M145" s="42" t="str">
        <f>IFERROR(__xludf.DUMMYFUNCTION("""COMPUTED_VALUE"""),"Número")</f>
        <v>Número</v>
      </c>
      <c r="N145" s="43" t="str">
        <f>IFERROR(__xludf.DUMMYFUNCTION("""COMPUTED_VALUE"""),"Operativos de control a la actividad pesquera realizados")</f>
        <v>Operativos de control a la actividad pesquera realizados</v>
      </c>
      <c r="O145" s="44">
        <f>IFERROR(__xludf.DUMMYFUNCTION("""COMPUTED_VALUE"""),3582.0)</f>
        <v>3582</v>
      </c>
      <c r="P145" s="45">
        <f>IFERROR(__xludf.DUMMYFUNCTION("""COMPUTED_VALUE"""),30.0)</f>
        <v>30</v>
      </c>
      <c r="Q145" s="46" t="str">
        <f>IFERROR(__xludf.DUMMYFUNCTION("""COMPUTED_VALUE"""),"Realizar eventos de divulgación y socialización apoyados en pro de disminuir las malas prácticas , en el ejercicio del control y vigilancia preventiva de la actividad pesquera y acuícola.")</f>
        <v>Realizar eventos de divulgación y socialización apoyados en pro de disminuir las malas prácticas , en el ejercicio del control y vigilancia preventiva de la actividad pesquera y acuícola.</v>
      </c>
      <c r="R145" s="47" t="str">
        <f>IFERROR(__xludf.DUMMYFUNCTION("""COMPUTED_VALUE"""),"Trimestral")</f>
        <v>Trimestral</v>
      </c>
      <c r="S145" s="45">
        <f>IFERROR(__xludf.DUMMYFUNCTION("""COMPUTED_VALUE"""),6.0)</f>
        <v>6</v>
      </c>
      <c r="T145" s="45">
        <f>IFERROR(__xludf.DUMMYFUNCTION("""COMPUTED_VALUE"""),2.0)</f>
        <v>2</v>
      </c>
      <c r="U145" s="45">
        <f>IFERROR(__xludf.DUMMYFUNCTION("""COMPUTED_VALUE"""),11.0)</f>
        <v>11</v>
      </c>
      <c r="V145" s="45">
        <f>IFERROR(__xludf.DUMMYFUNCTION("""COMPUTED_VALUE"""),11.0)</f>
        <v>11</v>
      </c>
      <c r="W145" s="48" t="str">
        <f>IFERROR(__xludf.DUMMYFUNCTION("""COMPUTED_VALUE"""),"Regional Medellin")</f>
        <v>Regional Medellin</v>
      </c>
      <c r="X145" s="49" t="str">
        <f>IFERROR(__xludf.DUMMYFUNCTION("""COMPUTED_VALUE"""),"CARLOS MARIO ZAPATA MORALES")</f>
        <v>CARLOS MARIO ZAPATA MORALES</v>
      </c>
      <c r="Y145" s="39" t="str">
        <f>IFERROR(__xludf.DUMMYFUNCTION("""COMPUTED_VALUE"""),"DIRECTOR REGIONAL MEDILLIN")</f>
        <v>DIRECTOR REGIONAL MEDILLIN</v>
      </c>
      <c r="Z145" s="49" t="str">
        <f>IFERROR(__xludf.DUMMYFUNCTION("""COMPUTED_VALUE"""),"CARLOS.ZAPATA@AUNAP.GOV.CO")</f>
        <v>CARLOS.ZAPATA@AUNAP.GOV.CO</v>
      </c>
      <c r="AA145" s="39" t="str">
        <f>IFERROR(__xludf.DUMMYFUNCTION("""COMPUTED_VALUE"""),"Humano, físico, financiero, tecnológico")</f>
        <v>Humano, físico, financiero, tecnológico</v>
      </c>
      <c r="AB145" s="39" t="str">
        <f>IFERROR(__xludf.DUMMYFUNCTION("""COMPUTED_VALUE"""),"No asociado")</f>
        <v>No asociado</v>
      </c>
      <c r="AC145"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45" s="39" t="str">
        <f>IFERROR(__xludf.DUMMYFUNCTION("""COMPUTED_VALUE"""),"Gestión con valores para resultados")</f>
        <v>Gestión con valores para resultados</v>
      </c>
      <c r="AE145" s="39" t="str">
        <f>IFERROR(__xludf.DUMMYFUNCTION("""COMPUTED_VALUE"""),"Fortalecimiento Organizacional y Simplificación de Procesos")</f>
        <v>Fortalecimiento Organizacional y Simplificación de Procesos</v>
      </c>
      <c r="AF145" s="39" t="str">
        <f>IFERROR(__xludf.DUMMYFUNCTION("""COMPUTED_VALUE"""),"12. Producción y consumo responsable")</f>
        <v>12. Producción y consumo responsable</v>
      </c>
      <c r="AG145" s="76">
        <f>IFERROR(__xludf.DUMMYFUNCTION("""COMPUTED_VALUE"""),6.0)</f>
        <v>6</v>
      </c>
      <c r="AH145" s="51" t="str">
        <f>IFERROR(__xludf.DUMMYFUNCTION("""COMPUTED_VALUE"""),"SE APROVECHARON LOS ESPACIOS PARA LA DIVULGACION Y FROTALECIMIENTO DE LAS MEDIDAS DE CONTROL Y ADMINISTRATIVAS EN LAS LOCALIDADES")</f>
        <v>SE APROVECHARON LOS ESPACIOS PARA LA DIVULGACION Y FROTALECIMIENTO DE LAS MEDIDAS DE CONTROL Y ADMINISTRATIVAS EN LAS LOCALIDADES</v>
      </c>
      <c r="AI145" s="72" t="str">
        <f>IFERROR(__xludf.DUMMYFUNCTION("""COMPUTED_VALUE"""),"TRIMESTRE 1 REG MEDELLIN")</f>
        <v>TRIMESTRE 1 REG MEDELLIN</v>
      </c>
      <c r="AJ145" s="52">
        <f>IFERROR(__xludf.DUMMYFUNCTION("""COMPUTED_VALUE"""),44298.0)</f>
        <v>44298</v>
      </c>
      <c r="AK145" s="53" t="str">
        <f>IFERROR(IF((AL145+1)&lt;2,Alertas!$B$2&amp;TEXT(AL145,"0%")&amp;Alertas!$D$2, IF((AL145+1)=2,Alertas!$B$3,IF((AL145+1)&gt;2,Alertas!$B$4&amp;TEXT(AL145,"0%")&amp;Alertas!$D$4,AL145+1))),"Sin meta para el cuarto trimestre")</f>
        <v>La ejecución de la meta registrada se encuentra por debajo de la meta programada en la formulación del plan de acción para el cuarto trimestre, su porcentaje de cumplimiento es 55%, lo cual indica un incumplimiento que puede ser entendido por los entes de control como falencias en el proceso de planeación. se recomienda tomar este antecedente como insumo para disminuir la meta en la próxima vigencia</v>
      </c>
      <c r="AL145" s="54">
        <f t="shared" si="2"/>
        <v>0.5454545455</v>
      </c>
      <c r="AM145" s="53" t="str">
        <f t="shared" si="3"/>
        <v>La ejecución de la meta registrada se encuentra por debajo de la meta programada en la formulación del plan de acción para el cuarto trimestre, su porcentaje de cumplimiento es 55%, lo cual indica un incumplimiento que puede ser entendido por los entes de control como falencias en el proceso de planeación. se recomienda tomar este antecedente como insumo para disminuir la meta en la próxima vigencia.</v>
      </c>
      <c r="AN145" s="55"/>
      <c r="AO145" s="56"/>
      <c r="AP145" s="57"/>
      <c r="AQ145" s="57"/>
      <c r="AR145" s="58"/>
      <c r="AS145" s="59"/>
      <c r="AT145" s="60"/>
      <c r="AU145" s="55"/>
      <c r="AV145" s="56"/>
      <c r="AW145" s="61"/>
      <c r="AX145" s="57"/>
      <c r="AY145" s="62"/>
      <c r="AZ145" s="63"/>
      <c r="BA145" s="64"/>
      <c r="BB145" s="65"/>
      <c r="BC145" s="56"/>
      <c r="BD145" s="61"/>
      <c r="BE145" s="57"/>
      <c r="BF145" s="58"/>
      <c r="BG145" s="63"/>
      <c r="BH145" s="64"/>
      <c r="BI145" s="66"/>
      <c r="BK145" s="21" t="str">
        <f t="shared" si="23"/>
        <v>-1</v>
      </c>
      <c r="BM145" s="21"/>
    </row>
    <row r="146" ht="33.75" customHeight="1">
      <c r="A146" s="37"/>
      <c r="B146" s="38">
        <f>IFERROR(__xludf.DUMMYFUNCTION("""COMPUTED_VALUE"""),144.0)</f>
        <v>144</v>
      </c>
      <c r="C146" s="39" t="str">
        <f>IFERROR(__xludf.DUMMYFUNCTION("""COMPUTED_VALUE"""),"Gestión de la administración y fomento")</f>
        <v>Gestión de la administración y fomento</v>
      </c>
      <c r="D146" s="40" t="str">
        <f>IFERROR(__xludf.DUMMYFUNCTION("""COMPUTED_VALUE"""),"Regional Medellín")</f>
        <v>Regional Medellín</v>
      </c>
      <c r="E146" s="40" t="str">
        <f>IFERROR(__xludf.DUMMYFUNCTION("""COMPUTED_VALUE"""),"Fortalecimiento de la sostenibilidad del sector pesquero y de la acuicultura en el territorio nacional")</f>
        <v>Fortalecimiento de la sostenibilidad del sector pesquero y de la acuicultura en el territorio nacional</v>
      </c>
      <c r="F146" s="40">
        <f>IFERROR(__xludf.DUMMYFUNCTION("""COMPUTED_VALUE"""),2.01901100028E12)</f>
        <v>2019011000280</v>
      </c>
      <c r="G146" s="41" t="str">
        <f>IFERROR(__xludf.DUMMYFUNCTION("""COMPUTED_VALUE"""),"Sostenibilidad")</f>
        <v>Sostenibilidad</v>
      </c>
      <c r="H146" s="40" t="str">
        <f>IFERROR(__xludf.DUMMYFUNCTION("""COMPUTED_VALUE"""),"Mejorar la explotación de los recursos pesqueros y de la acuicultura.")</f>
        <v>Mejorar la explotación de los recursos pesqueros y de la acuicultura.</v>
      </c>
      <c r="I146" s="40" t="str">
        <f>IFERROR(__xludf.DUMMYFUNCTION("""COMPUTED_VALUE"""),"Servicios de administración de los recurso pesqueros y de la acuicultura")</f>
        <v>Servicios de administración de los recurso pesqueros y de la acuicultura</v>
      </c>
      <c r="J146" s="40" t="str">
        <f>IFERROR(__xludf.DUMMYFUNCTION("""COMPUTED_VALUE"""),"Regular el manejo y el ejercicio de la actividad pesquera y de la acuicultura.")</f>
        <v>Regular el manejo y el ejercicio de la actividad pesquera y de la acuicultura.</v>
      </c>
      <c r="K146" s="42" t="str">
        <f>IFERROR(__xludf.DUMMYFUNCTION("""COMPUTED_VALUE"""),"Producto")</f>
        <v>Producto</v>
      </c>
      <c r="L146" s="42" t="str">
        <f>IFERROR(__xludf.DUMMYFUNCTION("""COMPUTED_VALUE"""),"Eficacia")</f>
        <v>Eficacia</v>
      </c>
      <c r="M146" s="42" t="str">
        <f>IFERROR(__xludf.DUMMYFUNCTION("""COMPUTED_VALUE"""),"Número")</f>
        <v>Número</v>
      </c>
      <c r="N146" s="43" t="str">
        <f>IFERROR(__xludf.DUMMYFUNCTION("""COMPUTED_VALUE"""),"Trámites atendidos")</f>
        <v>Trámites atendidos</v>
      </c>
      <c r="O146" s="44">
        <f>IFERROR(__xludf.DUMMYFUNCTION("""COMPUTED_VALUE"""),-7140.0)</f>
        <v>-7140</v>
      </c>
      <c r="P146" s="45">
        <f>IFERROR(__xludf.DUMMYFUNCTION("""COMPUTED_VALUE"""),300.0)</f>
        <v>300</v>
      </c>
      <c r="Q146" s="46" t="str">
        <f>IFERROR(__xludf.DUMMYFUNCTION("""COMPUTED_VALUE"""),"Atender trámites")</f>
        <v>Atender trámites</v>
      </c>
      <c r="R146" s="47" t="str">
        <f>IFERROR(__xludf.DUMMYFUNCTION("""COMPUTED_VALUE"""),"Trimestral")</f>
        <v>Trimestral</v>
      </c>
      <c r="S146" s="45">
        <f>IFERROR(__xludf.DUMMYFUNCTION("""COMPUTED_VALUE"""),50.0)</f>
        <v>50</v>
      </c>
      <c r="T146" s="45">
        <f>IFERROR(__xludf.DUMMYFUNCTION("""COMPUTED_VALUE"""),60.0)</f>
        <v>60</v>
      </c>
      <c r="U146" s="45">
        <f>IFERROR(__xludf.DUMMYFUNCTION("""COMPUTED_VALUE"""),90.0)</f>
        <v>90</v>
      </c>
      <c r="V146" s="45">
        <f>IFERROR(__xludf.DUMMYFUNCTION("""COMPUTED_VALUE"""),100.0)</f>
        <v>100</v>
      </c>
      <c r="W146" s="48" t="str">
        <f>IFERROR(__xludf.DUMMYFUNCTION("""COMPUTED_VALUE"""),"Regional Medellin")</f>
        <v>Regional Medellin</v>
      </c>
      <c r="X146" s="49" t="str">
        <f>IFERROR(__xludf.DUMMYFUNCTION("""COMPUTED_VALUE"""),"CARLOS MARIO ZAPATA MORALES")</f>
        <v>CARLOS MARIO ZAPATA MORALES</v>
      </c>
      <c r="Y146" s="39" t="str">
        <f>IFERROR(__xludf.DUMMYFUNCTION("""COMPUTED_VALUE"""),"DIRECTOR REGIONAL MEDILLIN")</f>
        <v>DIRECTOR REGIONAL MEDILLIN</v>
      </c>
      <c r="Z146" s="49" t="str">
        <f>IFERROR(__xludf.DUMMYFUNCTION("""COMPUTED_VALUE"""),"CARLOS.ZAPATA@AUNAP.GOV.CO")</f>
        <v>CARLOS.ZAPATA@AUNAP.GOV.CO</v>
      </c>
      <c r="AA146" s="39" t="str">
        <f>IFERROR(__xludf.DUMMYFUNCTION("""COMPUTED_VALUE"""),"Humano, físico, financiero, tecnológico")</f>
        <v>Humano, físico, financiero, tecnológico</v>
      </c>
      <c r="AB146" s="39" t="str">
        <f>IFERROR(__xludf.DUMMYFUNCTION("""COMPUTED_VALUE"""),"No asociado")</f>
        <v>No asociado</v>
      </c>
      <c r="AC146"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46" s="39" t="str">
        <f>IFERROR(__xludf.DUMMYFUNCTION("""COMPUTED_VALUE"""),"Gestión con valores para resultados")</f>
        <v>Gestión con valores para resultados</v>
      </c>
      <c r="AE146" s="39" t="str">
        <f>IFERROR(__xludf.DUMMYFUNCTION("""COMPUTED_VALUE"""),"Fortalecimiento Organizacional y Simplificación de Procesos")</f>
        <v>Fortalecimiento Organizacional y Simplificación de Procesos</v>
      </c>
      <c r="AF146" s="39" t="str">
        <f>IFERROR(__xludf.DUMMYFUNCTION("""COMPUTED_VALUE"""),"12. Producción y consumo responsable")</f>
        <v>12. Producción y consumo responsable</v>
      </c>
      <c r="AG146" s="76">
        <f>IFERROR(__xludf.DUMMYFUNCTION("""COMPUTED_VALUE"""),67.0)</f>
        <v>67</v>
      </c>
      <c r="AH146" s="51" t="str">
        <f>IFERROR(__xludf.DUMMYFUNCTION("""COMPUTED_VALUE"""),"EL INDICADOR SE BASA EN LA DEMANDA DEL SERVICIO POR PARTE DE LOS USUARIOS Y LAS DINAMICAS COMERCIALES EN LAS DIFERENTES REGIONES")</f>
        <v>EL INDICADOR SE BASA EN LA DEMANDA DEL SERVICIO POR PARTE DE LOS USUARIOS Y LAS DINAMICAS COMERCIALES EN LAS DIFERENTES REGIONES</v>
      </c>
      <c r="AI146" s="72" t="str">
        <f>IFERROR(__xludf.DUMMYFUNCTION("""COMPUTED_VALUE"""),"TRAMITES TRIMESTRE 1 2021")</f>
        <v>TRAMITES TRIMESTRE 1 2021</v>
      </c>
      <c r="AJ146" s="52">
        <f>IFERROR(__xludf.DUMMYFUNCTION("""COMPUTED_VALUE"""),44298.0)</f>
        <v>44298</v>
      </c>
      <c r="AK146" s="53" t="str">
        <f>IFERROR(IF((AL146+1)&lt;2,Alertas!$B$2&amp;TEXT(AL146,"0%")&amp;Alertas!$D$2, IF((AL146+1)=2,Alertas!$B$3,IF((AL146+1)&gt;2,Alertas!$B$4&amp;TEXT(AL146,"0%")&amp;Alertas!$D$4,AL146+1))),"Sin meta para el cuarto trimestre")</f>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L146" s="54">
        <f t="shared" si="2"/>
        <v>0.67</v>
      </c>
      <c r="AM146" s="53" t="str">
        <f t="shared" si="3"/>
        <v>La ejecución de la meta registrada se encuentra por debajo de la meta programada en la formulación del plan de acción para el cuarto trimestre, su porcentaje de cumplimiento es 67%, lo cual indica un incumplimiento que puede ser entendido por los entes de control como falencias en el proceso de planeación. se recomienda tomar este antecedente como insumo para disminuir la meta en la próxima vigencia.</v>
      </c>
      <c r="AN146" s="55"/>
      <c r="AO146" s="56"/>
      <c r="AP146" s="57"/>
      <c r="AQ146" s="57"/>
      <c r="AR146" s="58"/>
      <c r="AS146" s="59"/>
      <c r="AT146" s="60"/>
      <c r="AU146" s="55"/>
      <c r="AV146" s="56"/>
      <c r="AW146" s="61"/>
      <c r="AX146" s="57"/>
      <c r="AY146" s="62"/>
      <c r="AZ146" s="63"/>
      <c r="BA146" s="64"/>
      <c r="BB146" s="65"/>
      <c r="BC146" s="56"/>
      <c r="BD146" s="61"/>
      <c r="BE146" s="57"/>
      <c r="BF146" s="58"/>
      <c r="BG146" s="63"/>
      <c r="BH146" s="64"/>
      <c r="BI146" s="66"/>
      <c r="BK146" s="21" t="str">
        <f t="shared" si="23"/>
        <v>-1</v>
      </c>
      <c r="BM146" s="21"/>
    </row>
    <row r="147" ht="33.75" customHeight="1">
      <c r="A147" s="37"/>
      <c r="B147" s="38">
        <f>IFERROR(__xludf.DUMMYFUNCTION("""COMPUTED_VALUE"""),145.0)</f>
        <v>145</v>
      </c>
      <c r="C147" s="39" t="str">
        <f>IFERROR(__xludf.DUMMYFUNCTION("""COMPUTED_VALUE"""),"Gestión de la administración y fomento")</f>
        <v>Gestión de la administración y fomento</v>
      </c>
      <c r="D147" s="40" t="str">
        <f>IFERROR(__xludf.DUMMYFUNCTION("""COMPUTED_VALUE"""),"Regional Medellín")</f>
        <v>Regional Medellín</v>
      </c>
      <c r="E147" s="40" t="str">
        <f>IFERROR(__xludf.DUMMYFUNCTION("""COMPUTED_VALUE"""),"Fortalecimiento de la sostenibilidad del sector pesquero y de la acuicultura en el territorio nacional")</f>
        <v>Fortalecimiento de la sostenibilidad del sector pesquero y de la acuicultura en el territorio nacional</v>
      </c>
      <c r="F147" s="40">
        <f>IFERROR(__xludf.DUMMYFUNCTION("""COMPUTED_VALUE"""),2.01901100028E12)</f>
        <v>2019011000280</v>
      </c>
      <c r="G147" s="41" t="str">
        <f>IFERROR(__xludf.DUMMYFUNCTION("""COMPUTED_VALUE"""),"Sostenibilidad")</f>
        <v>Sostenibilidad</v>
      </c>
      <c r="H147" s="40" t="str">
        <f>IFERROR(__xludf.DUMMYFUNCTION("""COMPUTED_VALUE"""),"Mejorar las prácticas de pesca y de acuicultura.")</f>
        <v>Mejorar las prácticas de pesca y de acuicultura.</v>
      </c>
      <c r="I147" s="40" t="str">
        <f>IFERROR(__xludf.DUMMYFUNCTION("""COMPUTED_VALUE"""),"Servicios de apoyo al fomento de la pesca y la acuicultura")</f>
        <v>Servicios de apoyo al fomento de la pesca y la acuicultura</v>
      </c>
      <c r="J147" s="40" t="str">
        <f>IFERROR(__xludf.DUMMYFUNCTION("""COMPUTED_VALUE"""),"Generar acciones de fomento para la pesca, la acuicultura y sus actividades conexas.")</f>
        <v>Generar acciones de fomento para la pesca, la acuicultura y sus actividades conexas.</v>
      </c>
      <c r="K147" s="42" t="str">
        <f>IFERROR(__xludf.DUMMYFUNCTION("""COMPUTED_VALUE"""),"Gestión del área")</f>
        <v>Gestión del área</v>
      </c>
      <c r="L147" s="42" t="str">
        <f>IFERROR(__xludf.DUMMYFUNCTION("""COMPUTED_VALUE"""),"Eficacia")</f>
        <v>Eficacia</v>
      </c>
      <c r="M147" s="42" t="str">
        <f>IFERROR(__xludf.DUMMYFUNCTION("""COMPUTED_VALUE"""),"Número")</f>
        <v>Número</v>
      </c>
      <c r="N147" s="43" t="str">
        <f>IFERROR(__xludf.DUMMYFUNCTION("""COMPUTED_VALUE"""),"Número de asociaciones capacitadas/número de capacitacio a asociaciones programadas.")</f>
        <v>Número de asociaciones capacitadas/número de capacitacio a asociaciones programadas.</v>
      </c>
      <c r="O147" s="44"/>
      <c r="P147" s="45">
        <f>IFERROR(__xludf.DUMMYFUNCTION("""COMPUTED_VALUE"""),20.0)</f>
        <v>20</v>
      </c>
      <c r="Q147" s="46" t="str">
        <f>IFERROR(__xludf.DUMMYFUNCTION("""COMPUTED_VALUE"""),"Capacitadar asociaciones en temas de pesca y acuicultura")</f>
        <v>Capacitadar asociaciones en temas de pesca y acuicultura</v>
      </c>
      <c r="R147" s="47" t="str">
        <f>IFERROR(__xludf.DUMMYFUNCTION("""COMPUTED_VALUE"""),"Trimestral")</f>
        <v>Trimestral</v>
      </c>
      <c r="S147" s="45">
        <f>IFERROR(__xludf.DUMMYFUNCTION("""COMPUTED_VALUE"""),3.0)</f>
        <v>3</v>
      </c>
      <c r="T147" s="45">
        <f>IFERROR(__xludf.DUMMYFUNCTION("""COMPUTED_VALUE"""),2.0)</f>
        <v>2</v>
      </c>
      <c r="U147" s="45">
        <f>IFERROR(__xludf.DUMMYFUNCTION("""COMPUTED_VALUE"""),7.0)</f>
        <v>7</v>
      </c>
      <c r="V147" s="45">
        <f>IFERROR(__xludf.DUMMYFUNCTION("""COMPUTED_VALUE"""),8.0)</f>
        <v>8</v>
      </c>
      <c r="W147" s="48" t="str">
        <f>IFERROR(__xludf.DUMMYFUNCTION("""COMPUTED_VALUE"""),"Regional Medellin")</f>
        <v>Regional Medellin</v>
      </c>
      <c r="X147" s="49" t="str">
        <f>IFERROR(__xludf.DUMMYFUNCTION("""COMPUTED_VALUE"""),"CARLOS MARIO ZAPATA MORALES")</f>
        <v>CARLOS MARIO ZAPATA MORALES</v>
      </c>
      <c r="Y147" s="39" t="str">
        <f>IFERROR(__xludf.DUMMYFUNCTION("""COMPUTED_VALUE"""),"DIRECTOR REGIONAL MEDILLIN")</f>
        <v>DIRECTOR REGIONAL MEDILLIN</v>
      </c>
      <c r="Z147" s="49" t="str">
        <f>IFERROR(__xludf.DUMMYFUNCTION("""COMPUTED_VALUE"""),"CARLOS.ZAPATA@AUNAP.GOV.CO")</f>
        <v>CARLOS.ZAPATA@AUNAP.GOV.CO</v>
      </c>
      <c r="AA147" s="39" t="str">
        <f>IFERROR(__xludf.DUMMYFUNCTION("""COMPUTED_VALUE"""),"Humano, físico, financiero, tecnológico")</f>
        <v>Humano, físico, financiero, tecnológico</v>
      </c>
      <c r="AB147" s="39" t="str">
        <f>IFERROR(__xludf.DUMMYFUNCTION("""COMPUTED_VALUE"""),"No asociado")</f>
        <v>No asociado</v>
      </c>
      <c r="AC147"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47" s="39" t="str">
        <f>IFERROR(__xludf.DUMMYFUNCTION("""COMPUTED_VALUE"""),"Gestión con valores para resultados")</f>
        <v>Gestión con valores para resultados</v>
      </c>
      <c r="AE147" s="39" t="str">
        <f>IFERROR(__xludf.DUMMYFUNCTION("""COMPUTED_VALUE"""),"Fortalecimiento Organizacional y Simplificación de Procesos")</f>
        <v>Fortalecimiento Organizacional y Simplificación de Procesos</v>
      </c>
      <c r="AF147" s="39" t="str">
        <f>IFERROR(__xludf.DUMMYFUNCTION("""COMPUTED_VALUE"""),"12. Producción y consumo responsable")</f>
        <v>12. Producción y consumo responsable</v>
      </c>
      <c r="AG147" s="76">
        <f>IFERROR(__xludf.DUMMYFUNCTION("""COMPUTED_VALUE"""),3.0)</f>
        <v>3</v>
      </c>
      <c r="AH147" s="51" t="str">
        <f>IFERROR(__xludf.DUMMYFUNCTION("""COMPUTED_VALUE"""),"SE ADELANTAN ACCIONES DE ORDENACION EN URABA, CAUCASIA Y BAHIA SOLANO, POR LO QUE SE PERM,ITE CUMPLIR LA META")</f>
        <v>SE ADELANTAN ACCIONES DE ORDENACION EN URABA, CAUCASIA Y BAHIA SOLANO, POR LO QUE SE PERM,ITE CUMPLIR LA META</v>
      </c>
      <c r="AI147" s="72" t="str">
        <f>IFERROR(__xludf.DUMMYFUNCTION("""COMPUTED_VALUE"""),"TRIMESTRE 1 REG MEDELLIN")</f>
        <v>TRIMESTRE 1 REG MEDELLIN</v>
      </c>
      <c r="AJ147" s="52">
        <f>IFERROR(__xludf.DUMMYFUNCTION("""COMPUTED_VALUE"""),44298.0)</f>
        <v>44298</v>
      </c>
      <c r="AK147" s="53" t="str">
        <f>IFERROR(IF((AL147+1)&lt;2,Alertas!$B$2&amp;TEXT(AL147,"0%")&amp;Alertas!$D$2, IF((AL147+1)=2,Alertas!$B$3,IF((AL147+1)&gt;2,Alertas!$B$4&amp;TEXT(AL147,"0%")&amp;Alertas!$D$4,AL147+1))),"Sin meta para el cuarto trimestre")</f>
        <v>La ejecución de la meta registrada se encuentra por debajo de la meta programada en la formulación del plan de acción para el cuarto trimestre, su porcentaje de cumplimiento es 38%, lo cual indica un incumplimiento que puede ser entendido por los entes de control como falencias en el proceso de planeación. se recomienda tomar este antecedente como insumo para disminuir la meta en la próxima vigencia</v>
      </c>
      <c r="AL147" s="54">
        <f t="shared" si="2"/>
        <v>0.375</v>
      </c>
      <c r="AM147" s="53" t="str">
        <f t="shared" si="3"/>
        <v>La ejecución de la meta registrada se encuentra por debajo de la meta programada en la formulación del plan de acción para el cuarto trimestre, su porcentaje de cumplimiento es 38%, lo cual indica un incumplimiento que puede ser entendido por los entes de control como falencias en el proceso de planeación. se recomienda tomar este antecedente como insumo para disminuir la meta en la próxima vigencia.</v>
      </c>
      <c r="AN147" s="55"/>
      <c r="AO147" s="56"/>
      <c r="AP147" s="57"/>
      <c r="AQ147" s="57"/>
      <c r="AR147" s="58"/>
      <c r="AS147" s="59"/>
      <c r="AT147" s="60"/>
      <c r="AU147" s="55"/>
      <c r="AV147" s="56"/>
      <c r="AW147" s="61"/>
      <c r="AX147" s="57"/>
      <c r="AY147" s="62"/>
      <c r="AZ147" s="63"/>
      <c r="BA147" s="64"/>
      <c r="BB147" s="65"/>
      <c r="BC147" s="56"/>
      <c r="BD147" s="61"/>
      <c r="BE147" s="57"/>
      <c r="BF147" s="58"/>
      <c r="BG147" s="63"/>
      <c r="BH147" s="64"/>
      <c r="BI147" s="66"/>
      <c r="BK147" s="21" t="str">
        <f t="shared" si="23"/>
        <v>-1</v>
      </c>
      <c r="BM147" s="21"/>
    </row>
    <row r="148" ht="33.75" customHeight="1">
      <c r="A148" s="37"/>
      <c r="B148" s="38">
        <f>IFERROR(__xludf.DUMMYFUNCTION("""COMPUTED_VALUE"""),146.0)</f>
        <v>146</v>
      </c>
      <c r="C148" s="39" t="str">
        <f>IFERROR(__xludf.DUMMYFUNCTION("""COMPUTED_VALUE"""),"Gestión de la administración y fomento")</f>
        <v>Gestión de la administración y fomento</v>
      </c>
      <c r="D148" s="40" t="str">
        <f>IFERROR(__xludf.DUMMYFUNCTION("""COMPUTED_VALUE"""),"Regional Medellín")</f>
        <v>Regional Medellín</v>
      </c>
      <c r="E148" s="40" t="str">
        <f>IFERROR(__xludf.DUMMYFUNCTION("""COMPUTED_VALUE"""),"Fortalecimiento de la sostenibilidad del sector pesquero y de la acuicultura en el territorio nacional")</f>
        <v>Fortalecimiento de la sostenibilidad del sector pesquero y de la acuicultura en el territorio nacional</v>
      </c>
      <c r="F148" s="40">
        <f>IFERROR(__xludf.DUMMYFUNCTION("""COMPUTED_VALUE"""),2.01901100028E12)</f>
        <v>2019011000280</v>
      </c>
      <c r="G148" s="41" t="str">
        <f>IFERROR(__xludf.DUMMYFUNCTION("""COMPUTED_VALUE"""),"Sostenibilidad")</f>
        <v>Sostenibilidad</v>
      </c>
      <c r="H148" s="40" t="str">
        <f>IFERROR(__xludf.DUMMYFUNCTION("""COMPUTED_VALUE"""),"Mejorar la explotación de los recursos pesqueros y de la acuicultura.")</f>
        <v>Mejorar la explotación de los recursos pesqueros y de la acuicultura.</v>
      </c>
      <c r="I148" s="40" t="str">
        <f>IFERROR(__xludf.DUMMYFUNCTION("""COMPUTED_VALUE"""),"Servicios de administración de los recurso pesqueros y de la acuicultura")</f>
        <v>Servicios de administración de los recurso pesqueros y de la acuicultura</v>
      </c>
      <c r="J148" s="40" t="str">
        <f>IFERROR(__xludf.DUMMYFUNCTION("""COMPUTED_VALUE"""),"Realizar acciones de divulgación y formalización de la actividad pesquera y de la acuicultura.")</f>
        <v>Realizar acciones de divulgación y formalización de la actividad pesquera y de la acuicultura.</v>
      </c>
      <c r="K148" s="42" t="str">
        <f>IFERROR(__xludf.DUMMYFUNCTION("""COMPUTED_VALUE"""),"Gestión del área")</f>
        <v>Gestión del área</v>
      </c>
      <c r="L148" s="42" t="str">
        <f>IFERROR(__xludf.DUMMYFUNCTION("""COMPUTED_VALUE"""),"Eficacia")</f>
        <v>Eficacia</v>
      </c>
      <c r="M148" s="42" t="str">
        <f>IFERROR(__xludf.DUMMYFUNCTION("""COMPUTED_VALUE"""),"Número")</f>
        <v>Número</v>
      </c>
      <c r="N148" s="43" t="str">
        <f>IFERROR(__xludf.DUMMYFUNCTION("""COMPUTED_VALUE"""),"Número de capacitaciones realizadas/número de capacitaciones programadas.")</f>
        <v>Número de capacitaciones realizadas/número de capacitaciones programadas.</v>
      </c>
      <c r="O148" s="44"/>
      <c r="P148" s="45">
        <f>IFERROR(__xludf.DUMMYFUNCTION("""COMPUTED_VALUE"""),66.0)</f>
        <v>66</v>
      </c>
      <c r="Q148" s="46" t="str">
        <f>IFERROR(__xludf.DUMMYFUNCTION("""COMPUTED_VALUE"""),"Capacitar a los grupos de interés en asociatividad y normatividad para el ejercicio de la acuicultura y pesca y actividades conexas")</f>
        <v>Capacitar a los grupos de interés en asociatividad y normatividad para el ejercicio de la acuicultura y pesca y actividades conexas</v>
      </c>
      <c r="R148" s="47" t="str">
        <f>IFERROR(__xludf.DUMMYFUNCTION("""COMPUTED_VALUE"""),"Trimestral")</f>
        <v>Trimestral</v>
      </c>
      <c r="S148" s="45">
        <f>IFERROR(__xludf.DUMMYFUNCTION("""COMPUTED_VALUE"""),12.0)</f>
        <v>12</v>
      </c>
      <c r="T148" s="45">
        <f>IFERROR(__xludf.DUMMYFUNCTION("""COMPUTED_VALUE"""),8.0)</f>
        <v>8</v>
      </c>
      <c r="U148" s="45">
        <f>IFERROR(__xludf.DUMMYFUNCTION("""COMPUTED_VALUE"""),23.0)</f>
        <v>23</v>
      </c>
      <c r="V148" s="45">
        <f>IFERROR(__xludf.DUMMYFUNCTION("""COMPUTED_VALUE"""),23.0)</f>
        <v>23</v>
      </c>
      <c r="W148" s="48" t="str">
        <f>IFERROR(__xludf.DUMMYFUNCTION("""COMPUTED_VALUE"""),"Regional Medellin")</f>
        <v>Regional Medellin</v>
      </c>
      <c r="X148" s="49" t="str">
        <f>IFERROR(__xludf.DUMMYFUNCTION("""COMPUTED_VALUE"""),"CARLOS MARIO ZAPATA MORALES")</f>
        <v>CARLOS MARIO ZAPATA MORALES</v>
      </c>
      <c r="Y148" s="39" t="str">
        <f>IFERROR(__xludf.DUMMYFUNCTION("""COMPUTED_VALUE"""),"DIRECTOR REGIONAL MEDILLIN")</f>
        <v>DIRECTOR REGIONAL MEDILLIN</v>
      </c>
      <c r="Z148" s="49" t="str">
        <f>IFERROR(__xludf.DUMMYFUNCTION("""COMPUTED_VALUE"""),"CARLOS.ZAPATA@AUNAP.GOV.CO")</f>
        <v>CARLOS.ZAPATA@AUNAP.GOV.CO</v>
      </c>
      <c r="AA148" s="39" t="str">
        <f>IFERROR(__xludf.DUMMYFUNCTION("""COMPUTED_VALUE"""),"Humano, físico, financiero, tecnológico")</f>
        <v>Humano, físico, financiero, tecnológico</v>
      </c>
      <c r="AB148" s="39" t="str">
        <f>IFERROR(__xludf.DUMMYFUNCTION("""COMPUTED_VALUE"""),"No asociado")</f>
        <v>No asociado</v>
      </c>
      <c r="AC148"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48" s="39" t="str">
        <f>IFERROR(__xludf.DUMMYFUNCTION("""COMPUTED_VALUE"""),"Gestión con valores para resultados")</f>
        <v>Gestión con valores para resultados</v>
      </c>
      <c r="AE148" s="39" t="str">
        <f>IFERROR(__xludf.DUMMYFUNCTION("""COMPUTED_VALUE"""),"Fortalecimiento Organizacional y Simplificación de Procesos")</f>
        <v>Fortalecimiento Organizacional y Simplificación de Procesos</v>
      </c>
      <c r="AF148" s="39" t="str">
        <f>IFERROR(__xludf.DUMMYFUNCTION("""COMPUTED_VALUE"""),"12. Producción y consumo responsable")</f>
        <v>12. Producción y consumo responsable</v>
      </c>
      <c r="AG148" s="76">
        <f>IFERROR(__xludf.DUMMYFUNCTION("""COMPUTED_VALUE"""),13.0)</f>
        <v>13</v>
      </c>
      <c r="AH148" s="51" t="str">
        <f>IFERROR(__xludf.DUMMYFUNCTION("""COMPUTED_VALUE"""),"EL TRABAJO SE CONCENTRO EN EL LITORAL PACIFICO, URABA Y BAJO CAUCA POR SUS CONDICIONES SOCIALES, QUEDANDO PROGRAMADO PARA LAS DEMAS AREAS DE COBERTURA DE LA REGIONAL")</f>
        <v>EL TRABAJO SE CONCENTRO EN EL LITORAL PACIFICO, URABA Y BAJO CAUCA POR SUS CONDICIONES SOCIALES, QUEDANDO PROGRAMADO PARA LAS DEMAS AREAS DE COBERTURA DE LA REGIONAL</v>
      </c>
      <c r="AI148" s="72" t="str">
        <f>IFERROR(__xludf.DUMMYFUNCTION("""COMPUTED_VALUE"""),"TRIMESTRE 1 REG MEDELLIN")</f>
        <v>TRIMESTRE 1 REG MEDELLIN</v>
      </c>
      <c r="AJ148" s="52">
        <f>IFERROR(__xludf.DUMMYFUNCTION("""COMPUTED_VALUE"""),44298.0)</f>
        <v>44298</v>
      </c>
      <c r="AK148" s="53" t="str">
        <f>IFERROR(IF((AL148+1)&lt;2,Alertas!$B$2&amp;TEXT(AL148,"0%")&amp;Alertas!$D$2, IF((AL148+1)=2,Alertas!$B$3,IF((AL148+1)&gt;2,Alertas!$B$4&amp;TEXT(AL148,"0%")&amp;Alertas!$D$4,AL148+1))),"Sin meta para el cuarto trimestre")</f>
        <v>La ejecución de la meta registrada se encuentra por debajo de la meta programada en la formulación del plan de acción para el cuarto trimestre, su porcentaje de cumplimiento es 57%, lo cual indica un incumplimiento que puede ser entendido por los entes de control como falencias en el proceso de planeación. se recomienda tomar este antecedente como insumo para disminuir la meta en la próxima vigencia</v>
      </c>
      <c r="AL148" s="54">
        <f t="shared" si="2"/>
        <v>0.5652173913</v>
      </c>
      <c r="AM148" s="53" t="str">
        <f t="shared" si="3"/>
        <v>La ejecución de la meta registrada se encuentra por debajo de la meta programada en la formulación del plan de acción para el cuarto trimestre, su porcentaje de cumplimiento es 57%, lo cual indica un incumplimiento que puede ser entendido por los entes de control como falencias en el proceso de planeación. se recomienda tomar este antecedente como insumo para disminuir la meta en la próxima vigencia.</v>
      </c>
      <c r="AN148" s="55"/>
      <c r="AO148" s="56"/>
      <c r="AP148" s="57"/>
      <c r="AQ148" s="57"/>
      <c r="AR148" s="58"/>
      <c r="AS148" s="59"/>
      <c r="AT148" s="60"/>
      <c r="AU148" s="55"/>
      <c r="AV148" s="56"/>
      <c r="AW148" s="61"/>
      <c r="AX148" s="57"/>
      <c r="AY148" s="62"/>
      <c r="AZ148" s="63"/>
      <c r="BA148" s="64"/>
      <c r="BB148" s="65"/>
      <c r="BC148" s="56"/>
      <c r="BD148" s="61"/>
      <c r="BE148" s="57"/>
      <c r="BF148" s="58"/>
      <c r="BG148" s="63"/>
      <c r="BH148" s="64"/>
      <c r="BI148" s="66"/>
      <c r="BK148" s="21" t="str">
        <f t="shared" si="23"/>
        <v>-1</v>
      </c>
      <c r="BM148" s="21"/>
    </row>
    <row r="149" ht="33.75" customHeight="1">
      <c r="A149" s="37"/>
      <c r="B149" s="38">
        <f>IFERROR(__xludf.DUMMYFUNCTION("""COMPUTED_VALUE"""),147.0)</f>
        <v>147</v>
      </c>
      <c r="C149" s="39" t="str">
        <f>IFERROR(__xludf.DUMMYFUNCTION("""COMPUTED_VALUE"""),"Gestión de la administración y fomento")</f>
        <v>Gestión de la administración y fomento</v>
      </c>
      <c r="D149" s="40" t="str">
        <f>IFERROR(__xludf.DUMMYFUNCTION("""COMPUTED_VALUE"""),"Regional Medellín")</f>
        <v>Regional Medellín</v>
      </c>
      <c r="E149" s="40" t="str">
        <f>IFERROR(__xludf.DUMMYFUNCTION("""COMPUTED_VALUE"""),"Fortalecimiento de la sostenibilidad del sector pesquero y de la acuicultura en el territorio nacional")</f>
        <v>Fortalecimiento de la sostenibilidad del sector pesquero y de la acuicultura en el territorio nacional</v>
      </c>
      <c r="F149" s="40">
        <f>IFERROR(__xludf.DUMMYFUNCTION("""COMPUTED_VALUE"""),2.01901100028E12)</f>
        <v>2019011000280</v>
      </c>
      <c r="G149" s="41" t="str">
        <f>IFERROR(__xludf.DUMMYFUNCTION("""COMPUTED_VALUE"""),"Sostenibilidad")</f>
        <v>Sostenibilidad</v>
      </c>
      <c r="H149" s="40" t="str">
        <f>IFERROR(__xludf.DUMMYFUNCTION("""COMPUTED_VALUE"""),"Mejorar la explotación de los recursos pesqueros y de la acuicultura.")</f>
        <v>Mejorar la explotación de los recursos pesqueros y de la acuicultura.</v>
      </c>
      <c r="I149" s="40" t="str">
        <f>IFERROR(__xludf.DUMMYFUNCTION("""COMPUTED_VALUE"""),"Servicios de administración de los recurso pesqueros y de la acuicultura")</f>
        <v>Servicios de administración de los recurso pesqueros y de la acuicultura</v>
      </c>
      <c r="J149" s="40" t="str">
        <f>IFERROR(__xludf.DUMMYFUNCTION("""COMPUTED_VALUE"""),"Realizar acciones de divulgación y formalización de la actividad pesquera y de la acuicultura.")</f>
        <v>Realizar acciones de divulgación y formalización de la actividad pesquera y de la acuicultura.</v>
      </c>
      <c r="K149" s="42" t="str">
        <f>IFERROR(__xludf.DUMMYFUNCTION("""COMPUTED_VALUE"""),"Gestión del área")</f>
        <v>Gestión del área</v>
      </c>
      <c r="L149" s="42" t="str">
        <f>IFERROR(__xludf.DUMMYFUNCTION("""COMPUTED_VALUE"""),"Eficacia")</f>
        <v>Eficacia</v>
      </c>
      <c r="M149" s="42" t="str">
        <f>IFERROR(__xludf.DUMMYFUNCTION("""COMPUTED_VALUE"""),"Número")</f>
        <v>Número</v>
      </c>
      <c r="N149" s="43" t="str">
        <f>IFERROR(__xludf.DUMMYFUNCTION("""COMPUTED_VALUE"""),"Número de personas capacitadas/número de personas programadas")</f>
        <v>Número de personas capacitadas/número de personas programadas</v>
      </c>
      <c r="O149" s="44"/>
      <c r="P149" s="45">
        <f>IFERROR(__xludf.DUMMYFUNCTION("""COMPUTED_VALUE"""),500.0)</f>
        <v>500</v>
      </c>
      <c r="Q149" s="46" t="str">
        <f>IFERROR(__xludf.DUMMYFUNCTION("""COMPUTED_VALUE"""),"Capacitar a Personas en normatividad y procedimientos para el ejercicio de la acuicultura")</f>
        <v>Capacitar a Personas en normatividad y procedimientos para el ejercicio de la acuicultura</v>
      </c>
      <c r="R149" s="47" t="str">
        <f>IFERROR(__xludf.DUMMYFUNCTION("""COMPUTED_VALUE"""),"Trimestral")</f>
        <v>Trimestral</v>
      </c>
      <c r="S149" s="45">
        <f>IFERROR(__xludf.DUMMYFUNCTION("""COMPUTED_VALUE"""),100.0)</f>
        <v>100</v>
      </c>
      <c r="T149" s="45">
        <f>IFERROR(__xludf.DUMMYFUNCTION("""COMPUTED_VALUE"""),60.0)</f>
        <v>60</v>
      </c>
      <c r="U149" s="45">
        <f>IFERROR(__xludf.DUMMYFUNCTION("""COMPUTED_VALUE"""),170.0)</f>
        <v>170</v>
      </c>
      <c r="V149" s="45">
        <f>IFERROR(__xludf.DUMMYFUNCTION("""COMPUTED_VALUE"""),170.0)</f>
        <v>170</v>
      </c>
      <c r="W149" s="48" t="str">
        <f>IFERROR(__xludf.DUMMYFUNCTION("""COMPUTED_VALUE"""),"Regional Medellin")</f>
        <v>Regional Medellin</v>
      </c>
      <c r="X149" s="49" t="str">
        <f>IFERROR(__xludf.DUMMYFUNCTION("""COMPUTED_VALUE"""),"CARLOS MARIO ZAPATA MORALES")</f>
        <v>CARLOS MARIO ZAPATA MORALES</v>
      </c>
      <c r="Y149" s="39" t="str">
        <f>IFERROR(__xludf.DUMMYFUNCTION("""COMPUTED_VALUE"""),"DIRECTOR REGIONAL MEDILLIN")</f>
        <v>DIRECTOR REGIONAL MEDILLIN</v>
      </c>
      <c r="Z149" s="49" t="str">
        <f>IFERROR(__xludf.DUMMYFUNCTION("""COMPUTED_VALUE"""),"CARLOS.ZAPATA@AUNAP.GOV.CO")</f>
        <v>CARLOS.ZAPATA@AUNAP.GOV.CO</v>
      </c>
      <c r="AA149" s="39" t="str">
        <f>IFERROR(__xludf.DUMMYFUNCTION("""COMPUTED_VALUE"""),"Humano, físico, financiero, tecnológico")</f>
        <v>Humano, físico, financiero, tecnológico</v>
      </c>
      <c r="AB149" s="39" t="str">
        <f>IFERROR(__xludf.DUMMYFUNCTION("""COMPUTED_VALUE"""),"No asociado")</f>
        <v>No asociado</v>
      </c>
      <c r="AC149"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49" s="39" t="str">
        <f>IFERROR(__xludf.DUMMYFUNCTION("""COMPUTED_VALUE"""),"Gestión con valores para resultados")</f>
        <v>Gestión con valores para resultados</v>
      </c>
      <c r="AE149" s="39" t="str">
        <f>IFERROR(__xludf.DUMMYFUNCTION("""COMPUTED_VALUE"""),"Fortalecimiento Organizacional y Simplificación de Procesos")</f>
        <v>Fortalecimiento Organizacional y Simplificación de Procesos</v>
      </c>
      <c r="AF149" s="39" t="str">
        <f>IFERROR(__xludf.DUMMYFUNCTION("""COMPUTED_VALUE"""),"12. Producción y consumo responsable")</f>
        <v>12. Producción y consumo responsable</v>
      </c>
      <c r="AG149" s="76">
        <f>IFERROR(__xludf.DUMMYFUNCTION("""COMPUTED_VALUE"""),144.0)</f>
        <v>144</v>
      </c>
      <c r="AH149" s="51" t="str">
        <f>IFERROR(__xludf.DUMMYFUNCTION("""COMPUTED_VALUE"""),"POR LAS DIFICULTADES DERIVADAS DE LA PANDEMIA SE UTILIZAN LOS ESPACIOS CON LA COMUNIDAD PARA ADELANTAR LAS CAPACITACIONES Y TEMAS INDICADOS EN EL PLAN DE ACCION")</f>
        <v>POR LAS DIFICULTADES DERIVADAS DE LA PANDEMIA SE UTILIZAN LOS ESPACIOS CON LA COMUNIDAD PARA ADELANTAR LAS CAPACITACIONES Y TEMAS INDICADOS EN EL PLAN DE ACCION</v>
      </c>
      <c r="AI149" s="72" t="str">
        <f>IFERROR(__xludf.DUMMYFUNCTION("""COMPUTED_VALUE"""),"TRIMESTRE 1 REG MEDELLIN")</f>
        <v>TRIMESTRE 1 REG MEDELLIN</v>
      </c>
      <c r="AJ149" s="52">
        <f>IFERROR(__xludf.DUMMYFUNCTION("""COMPUTED_VALUE"""),44298.0)</f>
        <v>44298</v>
      </c>
      <c r="AK149" s="53" t="str">
        <f>IFERROR(IF((AL149+1)&lt;2,Alertas!$B$2&amp;TEXT(AL149,"0%")&amp;Alertas!$D$2, IF((AL149+1)=2,Alertas!$B$3,IF((AL149+1)&gt;2,Alertas!$B$4&amp;TEXT(AL149,"0%")&amp;Alertas!$D$4,AL149+1))),"Sin meta para el cuarto trimestre")</f>
        <v>La ejecución de la meta registrada se encuentra por debajo de la meta programada en la formulación del plan de acción para el cuarto trimestre, su porcentaje de cumplimiento es 85%, lo cual indica un incumplimiento que puede ser entendido por los entes de control como falencias en el proceso de planeación. se recomienda tomar este antecedente como insumo para disminuir la meta en la próxima vigencia</v>
      </c>
      <c r="AL149" s="54">
        <f t="shared" si="2"/>
        <v>0.8470588235</v>
      </c>
      <c r="AM149" s="53" t="str">
        <f t="shared" si="3"/>
        <v>La ejecución de la meta registrada se encuentra por debajo de la meta programada en la formulación del plan de acción para el cuarto trimestre, su porcentaje de cumplimiento es 85%, lo cual indica un incumplimiento que puede ser entendido por los entes de control como falencias en el proceso de planeación. se recomienda tomar este antecedente como insumo para disminuir la meta en la próxima vigencia.</v>
      </c>
      <c r="AN149" s="55"/>
      <c r="AO149" s="56"/>
      <c r="AP149" s="57"/>
      <c r="AQ149" s="57"/>
      <c r="AR149" s="58"/>
      <c r="AS149" s="59"/>
      <c r="AT149" s="60"/>
      <c r="AU149" s="55"/>
      <c r="AV149" s="56"/>
      <c r="AW149" s="61"/>
      <c r="AX149" s="57"/>
      <c r="AY149" s="62"/>
      <c r="AZ149" s="63"/>
      <c r="BA149" s="64"/>
      <c r="BB149" s="65"/>
      <c r="BC149" s="56"/>
      <c r="BD149" s="61"/>
      <c r="BE149" s="57"/>
      <c r="BF149" s="58"/>
      <c r="BG149" s="63"/>
      <c r="BH149" s="64"/>
      <c r="BI149" s="66"/>
      <c r="BK149" s="21" t="str">
        <f t="shared" si="23"/>
        <v>-1</v>
      </c>
      <c r="BM149" s="21"/>
    </row>
    <row r="150" ht="33.75" customHeight="1">
      <c r="A150" s="37"/>
      <c r="B150" s="38">
        <f>IFERROR(__xludf.DUMMYFUNCTION("""COMPUTED_VALUE"""),148.0)</f>
        <v>148</v>
      </c>
      <c r="C150" s="39" t="str">
        <f>IFERROR(__xludf.DUMMYFUNCTION("""COMPUTED_VALUE"""),"Gestión de la inspección y vigilancia")</f>
        <v>Gestión de la inspección y vigilancia</v>
      </c>
      <c r="D150" s="40" t="str">
        <f>IFERROR(__xludf.DUMMYFUNCTION("""COMPUTED_VALUE"""),"Regional Medellín")</f>
        <v>Regional Medellín</v>
      </c>
      <c r="E150"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50" s="40">
        <f>IFERROR(__xludf.DUMMYFUNCTION("""COMPUTED_VALUE"""),2.019011000276E12)</f>
        <v>2019011000276</v>
      </c>
      <c r="G150" s="41" t="str">
        <f>IFERROR(__xludf.DUMMYFUNCTION("""COMPUTED_VALUE"""),"Inspección")</f>
        <v>Inspección</v>
      </c>
      <c r="H150" s="40" t="str">
        <f>IFERROR(__xludf.DUMMYFUNCTION("""COMPUTED_VALUE"""),"Aumentar el conocimiento de la normatividad pesquera y de la acuicultura por parte de la comunidad.")</f>
        <v>Aumentar el conocimiento de la normatividad pesquera y de la acuicultura por parte de la comunidad.</v>
      </c>
      <c r="I150" s="40" t="str">
        <f>IFERROR(__xludf.DUMMYFUNCTION("""COMPUTED_VALUE"""),"Servicio de divulgación y socialización")</f>
        <v>Servicio de divulgación y socialización</v>
      </c>
      <c r="J150" s="40" t="str">
        <f>IFERROR(__xludf.DUMMYFUNCTION("""COMPUTED_VALUE"""),"Implementar las estrategias de socialización y Divulgación a la comunidad")</f>
        <v>Implementar las estrategias de socialización y Divulgación a la comunidad</v>
      </c>
      <c r="K150" s="42" t="str">
        <f>IFERROR(__xludf.DUMMYFUNCTION("""COMPUTED_VALUE"""),"Gestión del área")</f>
        <v>Gestión del área</v>
      </c>
      <c r="L150" s="42" t="str">
        <f>IFERROR(__xludf.DUMMYFUNCTION("""COMPUTED_VALUE"""),"Eficacia")</f>
        <v>Eficacia</v>
      </c>
      <c r="M150" s="42" t="str">
        <f>IFERROR(__xludf.DUMMYFUNCTION("""COMPUTED_VALUE"""),"Número")</f>
        <v>Número</v>
      </c>
      <c r="N150" s="43" t="str">
        <f>IFERROR(__xludf.DUMMYFUNCTION("""COMPUTED_VALUE"""),"Número de personas capacitadas en BPM/Número de personas programadas.")</f>
        <v>Número de personas capacitadas en BPM/Número de personas programadas.</v>
      </c>
      <c r="O150" s="44"/>
      <c r="P150" s="45">
        <f>IFERROR(__xludf.DUMMYFUNCTION("""COMPUTED_VALUE"""),500.0)</f>
        <v>500</v>
      </c>
      <c r="Q150" s="46" t="str">
        <f>IFERROR(__xludf.DUMMYFUNCTION("""COMPUTED_VALUE"""),"Capacitar a Personas en buenas practicas pesqueras (BPP) y buenas practicas de manufactura (BPM)")</f>
        <v>Capacitar a Personas en buenas practicas pesqueras (BPP) y buenas practicas de manufactura (BPM)</v>
      </c>
      <c r="R150" s="47" t="str">
        <f>IFERROR(__xludf.DUMMYFUNCTION("""COMPUTED_VALUE"""),"Trimestral")</f>
        <v>Trimestral</v>
      </c>
      <c r="S150" s="45">
        <f>IFERROR(__xludf.DUMMYFUNCTION("""COMPUTED_VALUE"""),100.0)</f>
        <v>100</v>
      </c>
      <c r="T150" s="45">
        <f>IFERROR(__xludf.DUMMYFUNCTION("""COMPUTED_VALUE"""),60.0)</f>
        <v>60</v>
      </c>
      <c r="U150" s="45">
        <f>IFERROR(__xludf.DUMMYFUNCTION("""COMPUTED_VALUE"""),170.0)</f>
        <v>170</v>
      </c>
      <c r="V150" s="45">
        <f>IFERROR(__xludf.DUMMYFUNCTION("""COMPUTED_VALUE"""),170.0)</f>
        <v>170</v>
      </c>
      <c r="W150" s="48" t="str">
        <f>IFERROR(__xludf.DUMMYFUNCTION("""COMPUTED_VALUE"""),"Regional Medellin")</f>
        <v>Regional Medellin</v>
      </c>
      <c r="X150" s="49" t="str">
        <f>IFERROR(__xludf.DUMMYFUNCTION("""COMPUTED_VALUE"""),"CARLOS MARIO ZAPATA MORALES")</f>
        <v>CARLOS MARIO ZAPATA MORALES</v>
      </c>
      <c r="Y150" s="39" t="str">
        <f>IFERROR(__xludf.DUMMYFUNCTION("""COMPUTED_VALUE"""),"DIRECTOR REGIONAL MEDILLIN")</f>
        <v>DIRECTOR REGIONAL MEDILLIN</v>
      </c>
      <c r="Z150" s="49" t="str">
        <f>IFERROR(__xludf.DUMMYFUNCTION("""COMPUTED_VALUE"""),"CARLOS.ZAPATA@AUNAP.GOV.CO")</f>
        <v>CARLOS.ZAPATA@AUNAP.GOV.CO</v>
      </c>
      <c r="AA150" s="39" t="str">
        <f>IFERROR(__xludf.DUMMYFUNCTION("""COMPUTED_VALUE"""),"Humano, físico, financiero, tecnológico")</f>
        <v>Humano, físico, financiero, tecnológico</v>
      </c>
      <c r="AB150" s="39" t="str">
        <f>IFERROR(__xludf.DUMMYFUNCTION("""COMPUTED_VALUE"""),"No asociado")</f>
        <v>No asociado</v>
      </c>
      <c r="AC150"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0" s="39" t="str">
        <f>IFERROR(__xludf.DUMMYFUNCTION("""COMPUTED_VALUE"""),"Gestión con valores para resultados")</f>
        <v>Gestión con valores para resultados</v>
      </c>
      <c r="AE150" s="39" t="str">
        <f>IFERROR(__xludf.DUMMYFUNCTION("""COMPUTED_VALUE"""),"Fortalecimiento Organizacional y Simplificación de Procesos")</f>
        <v>Fortalecimiento Organizacional y Simplificación de Procesos</v>
      </c>
      <c r="AF150" s="39" t="str">
        <f>IFERROR(__xludf.DUMMYFUNCTION("""COMPUTED_VALUE"""),"12. Producción y consumo responsable")</f>
        <v>12. Producción y consumo responsable</v>
      </c>
      <c r="AG150" s="76">
        <f>IFERROR(__xludf.DUMMYFUNCTION("""COMPUTED_VALUE"""),116.0)</f>
        <v>116</v>
      </c>
      <c r="AH150" s="51" t="str">
        <f>IFERROR(__xludf.DUMMYFUNCTION("""COMPUTED_VALUE"""),"SE PRESENTA DIFICULTAD EN LAS CONVOCATORIAS HACIA LA COMUNIDAD POR SITUACIONES DE ORDEN PUBLICO Y PROBLEMAS DERIVADAS DE LA PANDEMIS.")</f>
        <v>SE PRESENTA DIFICULTAD EN LAS CONVOCATORIAS HACIA LA COMUNIDAD POR SITUACIONES DE ORDEN PUBLICO Y PROBLEMAS DERIVADAS DE LA PANDEMIS.</v>
      </c>
      <c r="AI150" s="72" t="str">
        <f>IFERROR(__xludf.DUMMYFUNCTION("""COMPUTED_VALUE"""),"TRIMESTRE 1 REG MEDELLIN")</f>
        <v>TRIMESTRE 1 REG MEDELLIN</v>
      </c>
      <c r="AJ150" s="52">
        <f>IFERROR(__xludf.DUMMYFUNCTION("""COMPUTED_VALUE"""),44298.0)</f>
        <v>44298</v>
      </c>
      <c r="AK150" s="53" t="str">
        <f>IFERROR(IF((AL150+1)&lt;2,Alertas!$B$2&amp;TEXT(AL150,"0%")&amp;Alertas!$D$2, IF((AL150+1)=2,Alertas!$B$3,IF((AL150+1)&gt;2,Alertas!$B$4&amp;TEXT(AL150,"0%")&amp;Alertas!$D$4,AL150+1))),"Sin meta para el cuarto trimestre")</f>
        <v>La ejecución de la meta registrada se encuentra por debajo de la meta programada en la formulación del plan de acción para el cuarto trimestre, su porcentaje de cumplimiento es 68%, lo cual indica un incumplimiento que puede ser entendido por los entes de control como falencias en el proceso de planeación. se recomienda tomar este antecedente como insumo para disminuir la meta en la próxima vigencia</v>
      </c>
      <c r="AL150" s="54">
        <f t="shared" si="2"/>
        <v>0.6823529412</v>
      </c>
      <c r="AM150" s="53" t="str">
        <f t="shared" si="3"/>
        <v>La ejecución de la meta registrada se encuentra por debajo de la meta programada en la formulación del plan de acción para el cuarto trimestre, su porcentaje de cumplimiento es 68%, lo cual indica un incumplimiento que puede ser entendido por los entes de control como falencias en el proceso de planeación. se recomienda tomar este antecedente como insumo para disminuir la meta en la próxima vigencia.</v>
      </c>
      <c r="AN150" s="55"/>
      <c r="AO150" s="56"/>
      <c r="AP150" s="57"/>
      <c r="AQ150" s="57"/>
      <c r="AR150" s="58"/>
      <c r="AS150" s="59"/>
      <c r="AT150" s="60"/>
      <c r="AU150" s="55"/>
      <c r="AV150" s="56"/>
      <c r="AW150" s="61"/>
      <c r="AX150" s="57"/>
      <c r="AY150" s="62"/>
      <c r="AZ150" s="63"/>
      <c r="BA150" s="64"/>
      <c r="BB150" s="65"/>
      <c r="BC150" s="56"/>
      <c r="BD150" s="61"/>
      <c r="BE150" s="57"/>
      <c r="BF150" s="58"/>
      <c r="BG150" s="63"/>
      <c r="BH150" s="64"/>
      <c r="BI150" s="66"/>
      <c r="BK150" s="21" t="str">
        <f t="shared" si="23"/>
        <v>-1</v>
      </c>
      <c r="BM150" s="21"/>
    </row>
    <row r="151" ht="33.75" customHeight="1">
      <c r="A151" s="37"/>
      <c r="B151" s="38">
        <f>IFERROR(__xludf.DUMMYFUNCTION("""COMPUTED_VALUE"""),149.0)</f>
        <v>149</v>
      </c>
      <c r="C151" s="39" t="str">
        <f>IFERROR(__xludf.DUMMYFUNCTION("""COMPUTED_VALUE"""),"Gestión de la inspección y vigilancia")</f>
        <v>Gestión de la inspección y vigilancia</v>
      </c>
      <c r="D151" s="40" t="str">
        <f>IFERROR(__xludf.DUMMYFUNCTION("""COMPUTED_VALUE"""),"Regional Medellín")</f>
        <v>Regional Medellín</v>
      </c>
      <c r="E151"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51" s="40">
        <f>IFERROR(__xludf.DUMMYFUNCTION("""COMPUTED_VALUE"""),2.019011000276E12)</f>
        <v>2019011000276</v>
      </c>
      <c r="G151" s="41" t="str">
        <f>IFERROR(__xludf.DUMMYFUNCTION("""COMPUTED_VALUE"""),"Inspección")</f>
        <v>Inspección</v>
      </c>
      <c r="H151" s="40" t="str">
        <f>IFERROR(__xludf.DUMMYFUNCTION("""COMPUTED_VALUE"""),"Aumentar el conocimiento de la normatividad pesquera y de la acuicultura por parte de la comunidad.")</f>
        <v>Aumentar el conocimiento de la normatividad pesquera y de la acuicultura por parte de la comunidad.</v>
      </c>
      <c r="I151" s="40" t="str">
        <f>IFERROR(__xludf.DUMMYFUNCTION("""COMPUTED_VALUE"""),"Servicio de divulgación y socialización")</f>
        <v>Servicio de divulgación y socialización</v>
      </c>
      <c r="J151" s="40" t="str">
        <f>IFERROR(__xludf.DUMMYFUNCTION("""COMPUTED_VALUE"""),"Implementar las estrategias de socialización y Divulgación a la comunidad")</f>
        <v>Implementar las estrategias de socialización y Divulgación a la comunidad</v>
      </c>
      <c r="K151" s="42" t="str">
        <f>IFERROR(__xludf.DUMMYFUNCTION("""COMPUTED_VALUE"""),"Gestión del área")</f>
        <v>Gestión del área</v>
      </c>
      <c r="L151" s="42" t="str">
        <f>IFERROR(__xludf.DUMMYFUNCTION("""COMPUTED_VALUE"""),"Eficacia")</f>
        <v>Eficacia</v>
      </c>
      <c r="M151" s="42" t="str">
        <f>IFERROR(__xludf.DUMMYFUNCTION("""COMPUTED_VALUE"""),"Número")</f>
        <v>Número</v>
      </c>
      <c r="N151" s="43" t="str">
        <f>IFERROR(__xludf.DUMMYFUNCTION("""COMPUTED_VALUE"""),"Número de capacitaciones realizadas/Número de capacitaciones programadas.")</f>
        <v>Número de capacitaciones realizadas/Número de capacitaciones programadas.</v>
      </c>
      <c r="O151" s="44"/>
      <c r="P151" s="45">
        <f>IFERROR(__xludf.DUMMYFUNCTION("""COMPUTED_VALUE"""),25.0)</f>
        <v>25</v>
      </c>
      <c r="Q151" s="46" t="str">
        <f>IFERROR(__xludf.DUMMYFUNCTION("""COMPUTED_VALUE"""),"Realizar capacitaciones en normatividad y medidas de inspección y vigilancia de la actividad pesquera y acuícola")</f>
        <v>Realizar capacitaciones en normatividad y medidas de inspección y vigilancia de la actividad pesquera y acuícola</v>
      </c>
      <c r="R151" s="47" t="str">
        <f>IFERROR(__xludf.DUMMYFUNCTION("""COMPUTED_VALUE"""),"Trimestral")</f>
        <v>Trimestral</v>
      </c>
      <c r="S151" s="45">
        <f>IFERROR(__xludf.DUMMYFUNCTION("""COMPUTED_VALUE"""),6.0)</f>
        <v>6</v>
      </c>
      <c r="T151" s="45">
        <f>IFERROR(__xludf.DUMMYFUNCTION("""COMPUTED_VALUE"""),5.0)</f>
        <v>5</v>
      </c>
      <c r="U151" s="45">
        <f>IFERROR(__xludf.DUMMYFUNCTION("""COMPUTED_VALUE"""),7.0)</f>
        <v>7</v>
      </c>
      <c r="V151" s="45">
        <f>IFERROR(__xludf.DUMMYFUNCTION("""COMPUTED_VALUE"""),7.0)</f>
        <v>7</v>
      </c>
      <c r="W151" s="48" t="str">
        <f>IFERROR(__xludf.DUMMYFUNCTION("""COMPUTED_VALUE"""),"Regional Medellin")</f>
        <v>Regional Medellin</v>
      </c>
      <c r="X151" s="49" t="str">
        <f>IFERROR(__xludf.DUMMYFUNCTION("""COMPUTED_VALUE"""),"CARLOS MARIO ZAPATA MORALES")</f>
        <v>CARLOS MARIO ZAPATA MORALES</v>
      </c>
      <c r="Y151" s="39" t="str">
        <f>IFERROR(__xludf.DUMMYFUNCTION("""COMPUTED_VALUE"""),"DIRECTOR REGIONAL MEDILLIN")</f>
        <v>DIRECTOR REGIONAL MEDILLIN</v>
      </c>
      <c r="Z151" s="49" t="str">
        <f>IFERROR(__xludf.DUMMYFUNCTION("""COMPUTED_VALUE"""),"CARLOS.ZAPATA@AUNAP.GOV.CO")</f>
        <v>CARLOS.ZAPATA@AUNAP.GOV.CO</v>
      </c>
      <c r="AA151" s="39" t="str">
        <f>IFERROR(__xludf.DUMMYFUNCTION("""COMPUTED_VALUE"""),"Humano, físico, financiero, tecnológico")</f>
        <v>Humano, físico, financiero, tecnológico</v>
      </c>
      <c r="AB151" s="39" t="str">
        <f>IFERROR(__xludf.DUMMYFUNCTION("""COMPUTED_VALUE"""),"No asociado")</f>
        <v>No asociado</v>
      </c>
      <c r="AC151"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1" s="39" t="str">
        <f>IFERROR(__xludf.DUMMYFUNCTION("""COMPUTED_VALUE"""),"Gestión con valores para resultados")</f>
        <v>Gestión con valores para resultados</v>
      </c>
      <c r="AE151" s="39" t="str">
        <f>IFERROR(__xludf.DUMMYFUNCTION("""COMPUTED_VALUE"""),"Fortalecimiento Organizacional y Simplificación de Procesos")</f>
        <v>Fortalecimiento Organizacional y Simplificación de Procesos</v>
      </c>
      <c r="AF151" s="39" t="str">
        <f>IFERROR(__xludf.DUMMYFUNCTION("""COMPUTED_VALUE"""),"12. Producción y consumo responsable")</f>
        <v>12. Producción y consumo responsable</v>
      </c>
      <c r="AG151" s="76">
        <f>IFERROR(__xludf.DUMMYFUNCTION("""COMPUTED_VALUE"""),5.0)</f>
        <v>5</v>
      </c>
      <c r="AH151" s="51" t="str">
        <f>IFERROR(__xludf.DUMMYFUNCTION("""COMPUTED_VALUE"""),"SE DESARROLLARON CAPACITACIONES CON AUTORIDADES  Y FUNCIONARIOS DE LAS CORPORACIONES Y DE LAS ADMIISTRACIONES MUNICIPALES Y CONCEJOS COMUNITARIOS COMO AUTORIDADES DE TERRIORORIO ")</f>
        <v>SE DESARROLLARON CAPACITACIONES CON AUTORIDADES  Y FUNCIONARIOS DE LAS CORPORACIONES Y DE LAS ADMIISTRACIONES MUNICIPALES Y CONCEJOS COMUNITARIOS COMO AUTORIDADES DE TERRIORORIO </v>
      </c>
      <c r="AI151" s="72" t="str">
        <f>IFERROR(__xludf.DUMMYFUNCTION("""COMPUTED_VALUE"""),"TRIMESTRE 1 REG MEDELLIN")</f>
        <v>TRIMESTRE 1 REG MEDELLIN</v>
      </c>
      <c r="AJ151" s="52">
        <f>IFERROR(__xludf.DUMMYFUNCTION("""COMPUTED_VALUE"""),44298.0)</f>
        <v>44298</v>
      </c>
      <c r="AK151" s="53" t="str">
        <f>IFERROR(IF((AL151+1)&lt;2,Alertas!$B$2&amp;TEXT(AL151,"0%")&amp;Alertas!$D$2, IF((AL151+1)=2,Alertas!$B$3,IF((AL151+1)&gt;2,Alertas!$B$4&amp;TEXT(AL151,"0%")&amp;Alertas!$D$4,AL151+1))),"Sin meta para el cuarto trimestre")</f>
        <v>La ejecución de la meta registrada se encuentra por debajo de la meta programada en la formulación del plan de acción para el cuarto trimestre, su porcentaje de cumplimiento es 71%, lo cual indica un incumplimiento que puede ser entendido por los entes de control como falencias en el proceso de planeación. se recomienda tomar este antecedente como insumo para disminuir la meta en la próxima vigencia</v>
      </c>
      <c r="AL151" s="54">
        <f t="shared" si="2"/>
        <v>0.7142857143</v>
      </c>
      <c r="AM151" s="53" t="str">
        <f t="shared" si="3"/>
        <v>La ejecución de la meta registrada se encuentra por debajo de la meta programada en la formulación del plan de acción para el cuarto trimestre, su porcentaje de cumplimiento es 71%, lo cual indica un incumplimiento que puede ser entendido por los entes de control como falencias en el proceso de planeación. se recomienda tomar este antecedente como insumo para disminuir la meta en la próxima vigencia.</v>
      </c>
      <c r="AN151" s="55"/>
      <c r="AO151" s="56"/>
      <c r="AP151" s="57"/>
      <c r="AQ151" s="57"/>
      <c r="AR151" s="58"/>
      <c r="AS151" s="59"/>
      <c r="AT151" s="60"/>
      <c r="AU151" s="55"/>
      <c r="AV151" s="56"/>
      <c r="AW151" s="61"/>
      <c r="AX151" s="57"/>
      <c r="AY151" s="62"/>
      <c r="AZ151" s="63"/>
      <c r="BA151" s="64"/>
      <c r="BB151" s="65"/>
      <c r="BC151" s="56"/>
      <c r="BD151" s="61"/>
      <c r="BE151" s="57"/>
      <c r="BF151" s="58"/>
      <c r="BG151" s="63"/>
      <c r="BH151" s="64"/>
      <c r="BI151" s="66"/>
      <c r="BK151" s="21" t="str">
        <f t="shared" si="23"/>
        <v>-1</v>
      </c>
      <c r="BM151" s="21"/>
    </row>
    <row r="152" ht="33.75" customHeight="1">
      <c r="A152" s="37"/>
      <c r="B152" s="38">
        <f>IFERROR(__xludf.DUMMYFUNCTION("""COMPUTED_VALUE"""),150.0)</f>
        <v>150</v>
      </c>
      <c r="C152" s="39" t="str">
        <f>IFERROR(__xludf.DUMMYFUNCTION("""COMPUTED_VALUE"""),"Gestión de la administración y fomento")</f>
        <v>Gestión de la administración y fomento</v>
      </c>
      <c r="D152" s="40" t="str">
        <f>IFERROR(__xludf.DUMMYFUNCTION("""COMPUTED_VALUE"""),"Regional Medellín")</f>
        <v>Regional Medellín</v>
      </c>
      <c r="E152" s="40" t="str">
        <f>IFERROR(__xludf.DUMMYFUNCTION("""COMPUTED_VALUE"""),"Fortalecimiento de la sostenibilidad del sector pesquero y de la acuicultura en el territorio nacional")</f>
        <v>Fortalecimiento de la sostenibilidad del sector pesquero y de la acuicultura en el territorio nacional</v>
      </c>
      <c r="F152" s="40">
        <f>IFERROR(__xludf.DUMMYFUNCTION("""COMPUTED_VALUE"""),2.01901100028E12)</f>
        <v>2019011000280</v>
      </c>
      <c r="G152" s="41" t="str">
        <f>IFERROR(__xludf.DUMMYFUNCTION("""COMPUTED_VALUE"""),"Sostenibilidad")</f>
        <v>Sostenibilidad</v>
      </c>
      <c r="H152" s="40" t="str">
        <f>IFERROR(__xludf.DUMMYFUNCTION("""COMPUTED_VALUE"""),"Mejorar las prácticas de pesca y de acuicultura.")</f>
        <v>Mejorar las prácticas de pesca y de acuicultura.</v>
      </c>
      <c r="I152" s="40" t="str">
        <f>IFERROR(__xludf.DUMMYFUNCTION("""COMPUTED_VALUE"""),"Servicios de apoyo al fomento de la pesca y la acuicultura")</f>
        <v>Servicios de apoyo al fomento de la pesca y la acuicultura</v>
      </c>
      <c r="J152" s="40" t="str">
        <f>IFERROR(__xludf.DUMMYFUNCTION("""COMPUTED_VALUE"""),"Generar acciones de fomento para la pesca, la acuicultura y sus actividades conexas.")</f>
        <v>Generar acciones de fomento para la pesca, la acuicultura y sus actividades conexas.</v>
      </c>
      <c r="K152" s="42" t="str">
        <f>IFERROR(__xludf.DUMMYFUNCTION("""COMPUTED_VALUE"""),"Gestión del área")</f>
        <v>Gestión del área</v>
      </c>
      <c r="L152" s="42" t="str">
        <f>IFERROR(__xludf.DUMMYFUNCTION("""COMPUTED_VALUE"""),"Eficacia")</f>
        <v>Eficacia</v>
      </c>
      <c r="M152" s="42" t="str">
        <f>IFERROR(__xludf.DUMMYFUNCTION("""COMPUTED_VALUE"""),"Número")</f>
        <v>Número</v>
      </c>
      <c r="N152" s="43" t="str">
        <f>IFERROR(__xludf.DUMMYFUNCTION("""COMPUTED_VALUE"""),"Número de campañas de divulgaciones y promoción realizadas/Número de campañas de divulgación y promoción programadas")</f>
        <v>Número de campañas de divulgaciones y promoción realizadas/Número de campañas de divulgación y promoción programadas</v>
      </c>
      <c r="O152" s="44"/>
      <c r="P152" s="45">
        <f>IFERROR(__xludf.DUMMYFUNCTION("""COMPUTED_VALUE"""),30.0)</f>
        <v>30</v>
      </c>
      <c r="Q152" s="46" t="str">
        <f>IFERROR(__xludf.DUMMYFUNCTION("""COMPUTED_VALUE"""),"Realizar campañas de divulgación y promoción a nivel nacional, sobre normatividad de pesca y acuicultura")</f>
        <v>Realizar campañas de divulgación y promoción a nivel nacional, sobre normatividad de pesca y acuicultura</v>
      </c>
      <c r="R152" s="47" t="str">
        <f>IFERROR(__xludf.DUMMYFUNCTION("""COMPUTED_VALUE"""),"Trimestral")</f>
        <v>Trimestral</v>
      </c>
      <c r="S152" s="45">
        <f>IFERROR(__xludf.DUMMYFUNCTION("""COMPUTED_VALUE"""),6.0)</f>
        <v>6</v>
      </c>
      <c r="T152" s="45">
        <f>IFERROR(__xludf.DUMMYFUNCTION("""COMPUTED_VALUE"""),6.0)</f>
        <v>6</v>
      </c>
      <c r="U152" s="45">
        <f>IFERROR(__xludf.DUMMYFUNCTION("""COMPUTED_VALUE"""),9.0)</f>
        <v>9</v>
      </c>
      <c r="V152" s="45">
        <f>IFERROR(__xludf.DUMMYFUNCTION("""COMPUTED_VALUE"""),9.0)</f>
        <v>9</v>
      </c>
      <c r="W152" s="48" t="str">
        <f>IFERROR(__xludf.DUMMYFUNCTION("""COMPUTED_VALUE"""),"Regional Medellin")</f>
        <v>Regional Medellin</v>
      </c>
      <c r="X152" s="49" t="str">
        <f>IFERROR(__xludf.DUMMYFUNCTION("""COMPUTED_VALUE"""),"CARLOS MARIO ZAPATA MORALES")</f>
        <v>CARLOS MARIO ZAPATA MORALES</v>
      </c>
      <c r="Y152" s="39" t="str">
        <f>IFERROR(__xludf.DUMMYFUNCTION("""COMPUTED_VALUE"""),"DIRECTOR REGIONAL MEDILLIN")</f>
        <v>DIRECTOR REGIONAL MEDILLIN</v>
      </c>
      <c r="Z152" s="49" t="str">
        <f>IFERROR(__xludf.DUMMYFUNCTION("""COMPUTED_VALUE"""),"CARLOS.ZAPATA@AUNAP.GOV.CO")</f>
        <v>CARLOS.ZAPATA@AUNAP.GOV.CO</v>
      </c>
      <c r="AA152" s="39" t="str">
        <f>IFERROR(__xludf.DUMMYFUNCTION("""COMPUTED_VALUE"""),"Humano, físico, financiero, tecnológico")</f>
        <v>Humano, físico, financiero, tecnológico</v>
      </c>
      <c r="AB152" s="39" t="str">
        <f>IFERROR(__xludf.DUMMYFUNCTION("""COMPUTED_VALUE"""),"No asociado")</f>
        <v>No asociado</v>
      </c>
      <c r="AC152"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2" s="39" t="str">
        <f>IFERROR(__xludf.DUMMYFUNCTION("""COMPUTED_VALUE"""),"Gestión con valores para resultados")</f>
        <v>Gestión con valores para resultados</v>
      </c>
      <c r="AE152" s="39" t="str">
        <f>IFERROR(__xludf.DUMMYFUNCTION("""COMPUTED_VALUE"""),"Fortalecimiento Organizacional y Simplificación de Procesos")</f>
        <v>Fortalecimiento Organizacional y Simplificación de Procesos</v>
      </c>
      <c r="AF152" s="39" t="str">
        <f>IFERROR(__xludf.DUMMYFUNCTION("""COMPUTED_VALUE"""),"12. Producción y consumo responsable")</f>
        <v>12. Producción y consumo responsable</v>
      </c>
      <c r="AG152" s="76">
        <f>IFERROR(__xludf.DUMMYFUNCTION("""COMPUTED_VALUE"""),4.0)</f>
        <v>4</v>
      </c>
      <c r="AH152" s="51" t="str">
        <f>IFERROR(__xludf.DUMMYFUNCTION("""COMPUTED_VALUE"""),"POR LA VINCULACION TARDIA DE LOS FUNCIONARIOS, LAS DIFICULTADES LOGISTICAS EN ALGUNOS TERRIOTRIOS, NO FUE POSIBLE EL CUMPLIMIENTO TOTAL DE LO PROGRAMADO")</f>
        <v>POR LA VINCULACION TARDIA DE LOS FUNCIONARIOS, LAS DIFICULTADES LOGISTICAS EN ALGUNOS TERRIOTRIOS, NO FUE POSIBLE EL CUMPLIMIENTO TOTAL DE LO PROGRAMADO</v>
      </c>
      <c r="AI152" s="72" t="str">
        <f>IFERROR(__xludf.DUMMYFUNCTION("""COMPUTED_VALUE"""),"TRIMESTRE I REG MEDELLIN")</f>
        <v>TRIMESTRE I REG MEDELLIN</v>
      </c>
      <c r="AJ152" s="52">
        <f>IFERROR(__xludf.DUMMYFUNCTION("""COMPUTED_VALUE"""),44298.0)</f>
        <v>44298</v>
      </c>
      <c r="AK152" s="53" t="str">
        <f>IFERROR(IF((AL152+1)&lt;2,Alertas!$B$2&amp;TEXT(AL152,"0%")&amp;Alertas!$D$2, IF((AL152+1)=2,Alertas!$B$3,IF((AL152+1)&gt;2,Alertas!$B$4&amp;TEXT(AL152,"0%")&amp;Alertas!$D$4,AL152+1))),"Sin meta para el cuarto trimestre")</f>
        <v>La ejecución de la meta registrada se encuentra por debajo de la meta programada en la formulación del plan de acción para el cuarto trimestre, su porcentaje de cumplimiento es 44%, lo cual indica un incumplimiento que puede ser entendido por los entes de control como falencias en el proceso de planeación. se recomienda tomar este antecedente como insumo para disminuir la meta en la próxima vigencia</v>
      </c>
      <c r="AL152" s="54">
        <f t="shared" si="2"/>
        <v>0.4444444444</v>
      </c>
      <c r="AM152" s="53" t="str">
        <f t="shared" si="3"/>
        <v>La ejecución de la meta registrada se encuentra por debajo de la meta programada en la formulación del plan de acción para el cuarto trimestre, su porcentaje de cumplimiento es 44%, lo cual indica un incumplimiento que puede ser entendido por los entes de control como falencias en el proceso de planeación. se recomienda tomar este antecedente como insumo para disminuir la meta en la próxima vigencia.</v>
      </c>
      <c r="AN152" s="55"/>
      <c r="AO152" s="56"/>
      <c r="AP152" s="57"/>
      <c r="AQ152" s="57"/>
      <c r="AR152" s="58"/>
      <c r="AS152" s="59"/>
      <c r="AT152" s="60"/>
      <c r="AU152" s="55"/>
      <c r="AV152" s="56"/>
      <c r="AW152" s="61"/>
      <c r="AX152" s="57"/>
      <c r="AY152" s="62"/>
      <c r="AZ152" s="63"/>
      <c r="BA152" s="64"/>
      <c r="BB152" s="65"/>
      <c r="BC152" s="56"/>
      <c r="BD152" s="61"/>
      <c r="BE152" s="57"/>
      <c r="BF152" s="58"/>
      <c r="BG152" s="63"/>
      <c r="BH152" s="64"/>
      <c r="BI152" s="66"/>
      <c r="BK152" s="21" t="str">
        <f t="shared" si="23"/>
        <v>-1</v>
      </c>
      <c r="BM152" s="21"/>
    </row>
    <row r="153" ht="33.75" customHeight="1">
      <c r="A153" s="37"/>
      <c r="B153" s="38">
        <f>IFERROR(__xludf.DUMMYFUNCTION("""COMPUTED_VALUE"""),151.0)</f>
        <v>151</v>
      </c>
      <c r="C153" s="39" t="str">
        <f>IFERROR(__xludf.DUMMYFUNCTION("""COMPUTED_VALUE"""),"Gestión de la administración y fomento")</f>
        <v>Gestión de la administración y fomento</v>
      </c>
      <c r="D153" s="40" t="str">
        <f>IFERROR(__xludf.DUMMYFUNCTION("""COMPUTED_VALUE"""),"Regional Medellín")</f>
        <v>Regional Medellín</v>
      </c>
      <c r="E153" s="40" t="str">
        <f>IFERROR(__xludf.DUMMYFUNCTION("""COMPUTED_VALUE"""),"Fortalecimiento de la sostenibilidad del sector pesquero y de la acuicultura en el territorio nacional")</f>
        <v>Fortalecimiento de la sostenibilidad del sector pesquero y de la acuicultura en el territorio nacional</v>
      </c>
      <c r="F153" s="40">
        <f>IFERROR(__xludf.DUMMYFUNCTION("""COMPUTED_VALUE"""),2.01901100028E12)</f>
        <v>2019011000280</v>
      </c>
      <c r="G153" s="41" t="str">
        <f>IFERROR(__xludf.DUMMYFUNCTION("""COMPUTED_VALUE"""),"Sostenibilidad")</f>
        <v>Sostenibilidad</v>
      </c>
      <c r="H153" s="40" t="str">
        <f>IFERROR(__xludf.DUMMYFUNCTION("""COMPUTED_VALUE"""),"Mejorar la explotación de los recursos pesqueros y de la acuicultura.")</f>
        <v>Mejorar la explotación de los recursos pesqueros y de la acuicultura.</v>
      </c>
      <c r="I153" s="40" t="str">
        <f>IFERROR(__xludf.DUMMYFUNCTION("""COMPUTED_VALUE"""),"Servicios de administración de los recurso pesqueros y de la acuicultura")</f>
        <v>Servicios de administración de los recurso pesqueros y de la acuicultura</v>
      </c>
      <c r="J153" s="40" t="str">
        <f>IFERROR(__xludf.DUMMYFUNCTION("""COMPUTED_VALUE"""),"Regular el manejo y el ejercicio de la actividad pesquera y de la acuicultura.")</f>
        <v>Regular el manejo y el ejercicio de la actividad pesquera y de la acuicultura.</v>
      </c>
      <c r="K153" s="42" t="str">
        <f>IFERROR(__xludf.DUMMYFUNCTION("""COMPUTED_VALUE"""),"Gestión del área")</f>
        <v>Gestión del área</v>
      </c>
      <c r="L153" s="42" t="str">
        <f>IFERROR(__xludf.DUMMYFUNCTION("""COMPUTED_VALUE"""),"Eficacia")</f>
        <v>Eficacia</v>
      </c>
      <c r="M153" s="42" t="str">
        <f>IFERROR(__xludf.DUMMYFUNCTION("""COMPUTED_VALUE"""),"Número")</f>
        <v>Número</v>
      </c>
      <c r="N153" s="43" t="str">
        <f>IFERROR(__xludf.DUMMYFUNCTION("""COMPUTED_VALUE"""),"Número de pescadores artesanales formalizados/Número de pescadores artesanales programados")</f>
        <v>Número de pescadores artesanales formalizados/Número de pescadores artesanales programados</v>
      </c>
      <c r="O153" s="44"/>
      <c r="P153" s="45">
        <f>IFERROR(__xludf.DUMMYFUNCTION("""COMPUTED_VALUE"""),1500.0)</f>
        <v>1500</v>
      </c>
      <c r="Q153" s="46" t="str">
        <f>IFERROR(__xludf.DUMMYFUNCTION("""COMPUTED_VALUE"""),"Formalizar Pescadores artesanales")</f>
        <v>Formalizar Pescadores artesanales</v>
      </c>
      <c r="R153" s="47" t="str">
        <f>IFERROR(__xludf.DUMMYFUNCTION("""COMPUTED_VALUE"""),"Trimestral")</f>
        <v>Trimestral</v>
      </c>
      <c r="S153" s="45">
        <f>IFERROR(__xludf.DUMMYFUNCTION("""COMPUTED_VALUE"""),0.0)</f>
        <v>0</v>
      </c>
      <c r="T153" s="45">
        <f>IFERROR(__xludf.DUMMYFUNCTION("""COMPUTED_VALUE"""),500.0)</f>
        <v>500</v>
      </c>
      <c r="U153" s="45">
        <f>IFERROR(__xludf.DUMMYFUNCTION("""COMPUTED_VALUE"""),500.0)</f>
        <v>500</v>
      </c>
      <c r="V153" s="45">
        <f>IFERROR(__xludf.DUMMYFUNCTION("""COMPUTED_VALUE"""),500.0)</f>
        <v>500</v>
      </c>
      <c r="W153" s="48" t="str">
        <f>IFERROR(__xludf.DUMMYFUNCTION("""COMPUTED_VALUE"""),"Regional Medellin")</f>
        <v>Regional Medellin</v>
      </c>
      <c r="X153" s="49" t="str">
        <f>IFERROR(__xludf.DUMMYFUNCTION("""COMPUTED_VALUE"""),"CARLOS MARIO ZAPATA MORALES")</f>
        <v>CARLOS MARIO ZAPATA MORALES</v>
      </c>
      <c r="Y153" s="39" t="str">
        <f>IFERROR(__xludf.DUMMYFUNCTION("""COMPUTED_VALUE"""),"DIRECTOR REGIONAL MEDILLIN")</f>
        <v>DIRECTOR REGIONAL MEDILLIN</v>
      </c>
      <c r="Z153" s="49" t="str">
        <f>IFERROR(__xludf.DUMMYFUNCTION("""COMPUTED_VALUE"""),"CARLOS.ZAPATA@AUNAP.GOV.CO")</f>
        <v>CARLOS.ZAPATA@AUNAP.GOV.CO</v>
      </c>
      <c r="AA153" s="39" t="str">
        <f>IFERROR(__xludf.DUMMYFUNCTION("""COMPUTED_VALUE"""),"Humano, físico, financiero, tecnológico")</f>
        <v>Humano, físico, financiero, tecnológico</v>
      </c>
      <c r="AB153" s="39" t="str">
        <f>IFERROR(__xludf.DUMMYFUNCTION("""COMPUTED_VALUE"""),"No asociado")</f>
        <v>No asociado</v>
      </c>
      <c r="AC153"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3" s="39" t="str">
        <f>IFERROR(__xludf.DUMMYFUNCTION("""COMPUTED_VALUE"""),"Gestión con valores para resultados")</f>
        <v>Gestión con valores para resultados</v>
      </c>
      <c r="AE153" s="39" t="str">
        <f>IFERROR(__xludf.DUMMYFUNCTION("""COMPUTED_VALUE"""),"Fortalecimiento Organizacional y Simplificación de Procesos")</f>
        <v>Fortalecimiento Organizacional y Simplificación de Procesos</v>
      </c>
      <c r="AF153" s="39" t="str">
        <f>IFERROR(__xludf.DUMMYFUNCTION("""COMPUTED_VALUE"""),"12. Producción y consumo responsable")</f>
        <v>12. Producción y consumo responsable</v>
      </c>
      <c r="AG153" s="76">
        <f>IFERROR(__xludf.DUMMYFUNCTION("""COMPUTED_VALUE"""),409.0)</f>
        <v>409</v>
      </c>
      <c r="AH153" s="51" t="str">
        <f>IFERROR(__xludf.DUMMYFUNCTION("""COMPUTED_VALUE"""),"META ATENDIDA POR DEMANDA DE LOS USUARIOS")</f>
        <v>META ATENDIDA POR DEMANDA DE LOS USUARIOS</v>
      </c>
      <c r="AI153" s="72" t="str">
        <f>IFERROR(__xludf.DUMMYFUNCTION("""COMPUTED_VALUE"""),"TRIMESTRE 1 REG MEDELLIN")</f>
        <v>TRIMESTRE 1 REG MEDELLIN</v>
      </c>
      <c r="AJ153" s="52">
        <f>IFERROR(__xludf.DUMMYFUNCTION("""COMPUTED_VALUE"""),44298.0)</f>
        <v>44298</v>
      </c>
      <c r="AK153" s="53" t="str">
        <f>IFERROR(IF((AL153+1)&lt;2,Alertas!$B$2&amp;TEXT(AL153,"0%")&amp;Alertas!$D$2, IF((AL153+1)=2,Alertas!$B$3,IF((AL153+1)&gt;2,Alertas!$B$4&amp;TEXT(AL153,"0%")&amp;Alertas!$D$4,AL153+1))),"Sin meta para el cuarto trimestre")</f>
        <v>La ejecución de la meta registrada se encuentra por debajo de la meta programada en la formulación del plan de acción para el cuarto trimestre, su porcentaje de cumplimiento es 82%, lo cual indica un incumplimiento que puede ser entendido por los entes de control como falencias en el proceso de planeación. se recomienda tomar este antecedente como insumo para disminuir la meta en la próxima vigencia</v>
      </c>
      <c r="AL153" s="54">
        <f t="shared" si="2"/>
        <v>0.818</v>
      </c>
      <c r="AM153" s="53" t="str">
        <f t="shared" si="3"/>
        <v>La ejecución de la meta registrada se encuentra por debajo de la meta programada en la formulación del plan de acción para el cuarto trimestre, su porcentaje de cumplimiento es 82%, lo cual indica un incumplimiento que puede ser entendido por los entes de control como falencias en el proceso de planeación. se recomienda tomar este antecedente como insumo para disminuir la meta en la próxima vigencia.</v>
      </c>
      <c r="AN153" s="55"/>
      <c r="AO153" s="56"/>
      <c r="AP153" s="57"/>
      <c r="AQ153" s="57"/>
      <c r="AR153" s="58"/>
      <c r="AS153" s="59"/>
      <c r="AT153" s="60"/>
      <c r="AU153" s="55"/>
      <c r="AV153" s="56"/>
      <c r="AW153" s="61"/>
      <c r="AX153" s="57"/>
      <c r="AY153" s="62"/>
      <c r="AZ153" s="63"/>
      <c r="BA153" s="64"/>
      <c r="BB153" s="65"/>
      <c r="BC153" s="56"/>
      <c r="BD153" s="61"/>
      <c r="BE153" s="57"/>
      <c r="BF153" s="58"/>
      <c r="BG153" s="63"/>
      <c r="BH153" s="64"/>
      <c r="BI153" s="66"/>
      <c r="BK153" s="21" t="str">
        <f t="shared" si="23"/>
        <v>-1</v>
      </c>
      <c r="BM153" s="21"/>
    </row>
    <row r="154" ht="33.75" customHeight="1">
      <c r="A154" s="37"/>
      <c r="B154" s="38">
        <f>IFERROR(__xludf.DUMMYFUNCTION("""COMPUTED_VALUE"""),152.0)</f>
        <v>152</v>
      </c>
      <c r="C154" s="39" t="str">
        <f>IFERROR(__xludf.DUMMYFUNCTION("""COMPUTED_VALUE"""),"Gestión de la inspección y vigilancia")</f>
        <v>Gestión de la inspección y vigilancia</v>
      </c>
      <c r="D154" s="40" t="str">
        <f>IFERROR(__xludf.DUMMYFUNCTION("""COMPUTED_VALUE"""),"Regional Medellín")</f>
        <v>Regional Medellín</v>
      </c>
      <c r="E154"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54" s="40">
        <f>IFERROR(__xludf.DUMMYFUNCTION("""COMPUTED_VALUE"""),2.019011000276E12)</f>
        <v>2019011000276</v>
      </c>
      <c r="G154" s="41" t="str">
        <f>IFERROR(__xludf.DUMMYFUNCTION("""COMPUTED_VALUE"""),"Inspección")</f>
        <v>Inspección</v>
      </c>
      <c r="H154" s="40" t="str">
        <f>IFERROR(__xludf.DUMMYFUNCTION("""COMPUTED_VALUE"""),"Fortalecer los mecanismos de seguimiento y control de la actividad pesquera y de la acuicultura.")</f>
        <v>Fortalecer los mecanismos de seguimiento y control de la actividad pesquera y de la acuicultura.</v>
      </c>
      <c r="I154" s="40" t="str">
        <f>IFERROR(__xludf.DUMMYFUNCTION("""COMPUTED_VALUE"""),"Servicio de inspección, vigilancia y control de la pesca y la acuicultura")</f>
        <v>Servicio de inspección, vigilancia y control de la pesca y la acuicultura</v>
      </c>
      <c r="J154" s="40" t="str">
        <f>IFERROR(__xludf.DUMMYFUNCTION("""COMPUTED_VALUE"""),"Realizar seguimiento y actualización al registro general de pesca.")</f>
        <v>Realizar seguimiento y actualización al registro general de pesca.</v>
      </c>
      <c r="K154" s="42" t="str">
        <f>IFERROR(__xludf.DUMMYFUNCTION("""COMPUTED_VALUE"""),"Producto")</f>
        <v>Producto</v>
      </c>
      <c r="L154" s="42" t="str">
        <f>IFERROR(__xludf.DUMMYFUNCTION("""COMPUTED_VALUE"""),"Eficacia")</f>
        <v>Eficacia</v>
      </c>
      <c r="M154" s="42" t="str">
        <f>IFERROR(__xludf.DUMMYFUNCTION("""COMPUTED_VALUE"""),"Número")</f>
        <v>Número</v>
      </c>
      <c r="N154" s="43" t="str">
        <f>IFERROR(__xludf.DUMMYFUNCTION("""COMPUTED_VALUE"""),"Operativos de inspección, vigilancia y control realizados")</f>
        <v>Operativos de inspección, vigilancia y control realizados</v>
      </c>
      <c r="O154" s="44">
        <f>IFERROR(__xludf.DUMMYFUNCTION("""COMPUTED_VALUE"""),157.0)</f>
        <v>157</v>
      </c>
      <c r="P154" s="45">
        <f>IFERROR(__xludf.DUMMYFUNCTION("""COMPUTED_VALUE"""),565.0)</f>
        <v>565</v>
      </c>
      <c r="Q154" s="46" t="str">
        <f>IFERROR(__xludf.DUMMYFUNCTION("""COMPUTED_VALUE"""),"Realizar operativos de control")</f>
        <v>Realizar operativos de control</v>
      </c>
      <c r="R154" s="47" t="str">
        <f>IFERROR(__xludf.DUMMYFUNCTION("""COMPUTED_VALUE"""),"Trimestral")</f>
        <v>Trimestral</v>
      </c>
      <c r="S154" s="45">
        <f>IFERROR(__xludf.DUMMYFUNCTION("""COMPUTED_VALUE"""),152.0)</f>
        <v>152</v>
      </c>
      <c r="T154" s="45">
        <f>IFERROR(__xludf.DUMMYFUNCTION("""COMPUTED_VALUE"""),50.0)</f>
        <v>50</v>
      </c>
      <c r="U154" s="45">
        <f>IFERROR(__xludf.DUMMYFUNCTION("""COMPUTED_VALUE"""),179.0)</f>
        <v>179</v>
      </c>
      <c r="V154" s="45">
        <f>IFERROR(__xludf.DUMMYFUNCTION("""COMPUTED_VALUE"""),184.0)</f>
        <v>184</v>
      </c>
      <c r="W154" s="48" t="str">
        <f>IFERROR(__xludf.DUMMYFUNCTION("""COMPUTED_VALUE"""),"Regional Medellin")</f>
        <v>Regional Medellin</v>
      </c>
      <c r="X154" s="49" t="str">
        <f>IFERROR(__xludf.DUMMYFUNCTION("""COMPUTED_VALUE"""),"CARLOS MARIO ZAPATA MORALES")</f>
        <v>CARLOS MARIO ZAPATA MORALES</v>
      </c>
      <c r="Y154" s="39" t="str">
        <f>IFERROR(__xludf.DUMMYFUNCTION("""COMPUTED_VALUE"""),"DIRECTOR REGIONAL MEDILLIN")</f>
        <v>DIRECTOR REGIONAL MEDILLIN</v>
      </c>
      <c r="Z154" s="49" t="str">
        <f>IFERROR(__xludf.DUMMYFUNCTION("""COMPUTED_VALUE"""),"CARLOS.ZAPATA@AUNAP.GOV.CO")</f>
        <v>CARLOS.ZAPATA@AUNAP.GOV.CO</v>
      </c>
      <c r="AA154" s="39" t="str">
        <f>IFERROR(__xludf.DUMMYFUNCTION("""COMPUTED_VALUE"""),"Humano, físico, financiero, tecnológico")</f>
        <v>Humano, físico, financiero, tecnológico</v>
      </c>
      <c r="AB154" s="39" t="str">
        <f>IFERROR(__xludf.DUMMYFUNCTION("""COMPUTED_VALUE"""),"No asociado")</f>
        <v>No asociado</v>
      </c>
      <c r="AC154"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4" s="39" t="str">
        <f>IFERROR(__xludf.DUMMYFUNCTION("""COMPUTED_VALUE"""),"Gestión con valores para resultados")</f>
        <v>Gestión con valores para resultados</v>
      </c>
      <c r="AE154" s="39" t="str">
        <f>IFERROR(__xludf.DUMMYFUNCTION("""COMPUTED_VALUE"""),"Fortalecimiento Organizacional y Simplificación de Procesos")</f>
        <v>Fortalecimiento Organizacional y Simplificación de Procesos</v>
      </c>
      <c r="AF154" s="39" t="str">
        <f>IFERROR(__xludf.DUMMYFUNCTION("""COMPUTED_VALUE"""),"12. Producción y consumo responsable")</f>
        <v>12. Producción y consumo responsable</v>
      </c>
      <c r="AG154" s="76">
        <f>IFERROR(__xludf.DUMMYFUNCTION("""COMPUTED_VALUE"""),153.0)</f>
        <v>153</v>
      </c>
      <c r="AH154" s="51" t="str">
        <f>IFERROR(__xludf.DUMMYFUNCTION("""COMPUTED_VALUE"""),"INCREMENTO DE ACTIVIDADES POR LA VINCULACION DE CONTRATISTAS Y OPERATIVOS DE SEMANA SANTA Y SUBIENDA EN EL RIO ATRATO.")</f>
        <v>INCREMENTO DE ACTIVIDADES POR LA VINCULACION DE CONTRATISTAS Y OPERATIVOS DE SEMANA SANTA Y SUBIENDA EN EL RIO ATRATO.</v>
      </c>
      <c r="AI154" s="72" t="str">
        <f>IFERROR(__xludf.DUMMYFUNCTION("""COMPUTED_VALUE"""),"EVIDENCIA OPERATIVOS REG MEDELLIN")</f>
        <v>EVIDENCIA OPERATIVOS REG MEDELLIN</v>
      </c>
      <c r="AJ154" s="52">
        <f>IFERROR(__xludf.DUMMYFUNCTION("""COMPUTED_VALUE"""),44298.0)</f>
        <v>44298</v>
      </c>
      <c r="AK154" s="53" t="str">
        <f>IFERROR(IF((AL154+1)&lt;2,Alertas!$B$2&amp;TEXT(AL154,"0%")&amp;Alertas!$D$2, IF((AL154+1)=2,Alertas!$B$3,IF((AL154+1)&gt;2,Alertas!$B$4&amp;TEXT(AL154,"0%")&amp;Alertas!$D$4,AL154+1))),"Sin meta para el cuarto trimestre")</f>
        <v>La ejecución de la meta registrada se encuentra por debajo de la meta programada en la formulación del plan de acción para el cuarto trimestre, su porcentaje de cumplimiento es 83%, lo cual indica un incumplimiento que puede ser entendido por los entes de control como falencias en el proceso de planeación. se recomienda tomar este antecedente como insumo para disminuir la meta en la próxima vigencia</v>
      </c>
      <c r="AL154" s="54">
        <f t="shared" si="2"/>
        <v>0.8315217391</v>
      </c>
      <c r="AM154" s="53" t="str">
        <f t="shared" si="3"/>
        <v>La ejecución de la meta registrada se encuentra por debajo de la meta programada en la formulación del plan de acción para el cuarto trimestre, su porcentaje de cumplimiento es 83%, lo cual indica un incumplimiento que puede ser entendido por los entes de control como falencias en el proceso de planeación. se recomienda tomar este antecedente como insumo para disminuir la meta en la próxima vigencia.</v>
      </c>
      <c r="AN154" s="55"/>
      <c r="AO154" s="56"/>
      <c r="AP154" s="57"/>
      <c r="AQ154" s="57"/>
      <c r="AR154" s="58"/>
      <c r="AS154" s="59"/>
      <c r="AT154" s="60"/>
      <c r="AU154" s="55"/>
      <c r="AV154" s="56"/>
      <c r="AW154" s="61"/>
      <c r="AX154" s="57"/>
      <c r="AY154" s="62"/>
      <c r="AZ154" s="63"/>
      <c r="BA154" s="64"/>
      <c r="BB154" s="65"/>
      <c r="BC154" s="56"/>
      <c r="BD154" s="61"/>
      <c r="BE154" s="57"/>
      <c r="BF154" s="58"/>
      <c r="BG154" s="63"/>
      <c r="BH154" s="64"/>
      <c r="BI154" s="66"/>
      <c r="BK154" s="21" t="str">
        <f t="shared" si="23"/>
        <v>-1</v>
      </c>
      <c r="BM154" s="21"/>
    </row>
    <row r="155" ht="33.75" customHeight="1">
      <c r="A155" s="37"/>
      <c r="B155" s="38">
        <f>IFERROR(__xludf.DUMMYFUNCTION("""COMPUTED_VALUE"""),153.0)</f>
        <v>153</v>
      </c>
      <c r="C155" s="39" t="str">
        <f>IFERROR(__xludf.DUMMYFUNCTION("""COMPUTED_VALUE"""),"Gestión de la inspección y vigilancia")</f>
        <v>Gestión de la inspección y vigilancia</v>
      </c>
      <c r="D155" s="40" t="str">
        <f>IFERROR(__xludf.DUMMYFUNCTION("""COMPUTED_VALUE"""),"Regional Villavicencio")</f>
        <v>Regional Villavicencio</v>
      </c>
      <c r="E155" s="40" t="str">
        <f>IFERROR(__xludf.DUMMYFUNCTION("""COMPUTED_VALUE"""),"Fortalecimiento de la sostenibilidad del sector pesquero y de la acuicultura en el territorio nacional")</f>
        <v>Fortalecimiento de la sostenibilidad del sector pesquero y de la acuicultura en el territorio nacional</v>
      </c>
      <c r="F155" s="40">
        <f>IFERROR(__xludf.DUMMYFUNCTION("""COMPUTED_VALUE"""),2.01901100028E12)</f>
        <v>2019011000280</v>
      </c>
      <c r="G155" s="41" t="str">
        <f>IFERROR(__xludf.DUMMYFUNCTION("""COMPUTED_VALUE"""),"Sostenibilidad")</f>
        <v>Sostenibilidad</v>
      </c>
      <c r="H155" s="40" t="str">
        <f>IFERROR(__xludf.DUMMYFUNCTION("""COMPUTED_VALUE"""),"Mejorar la explotación de los recursos pesqueros y de la acuicultura.")</f>
        <v>Mejorar la explotación de los recursos pesqueros y de la acuicultura.</v>
      </c>
      <c r="I155" s="40" t="str">
        <f>IFERROR(__xludf.DUMMYFUNCTION("""COMPUTED_VALUE"""),"Servicios de administración de los recurso pesqueros y de la acuicultura")</f>
        <v>Servicios de administración de los recurso pesqueros y de la acuicultura</v>
      </c>
      <c r="J155" s="40" t="str">
        <f>IFERROR(__xludf.DUMMYFUNCTION("""COMPUTED_VALUE"""),"Regular el manejo y el ejercicio de la actividad pesquera y de la acuicultura.")</f>
        <v>Regular el manejo y el ejercicio de la actividad pesquera y de la acuicultura.</v>
      </c>
      <c r="K155" s="42" t="str">
        <f>IFERROR(__xludf.DUMMYFUNCTION("""COMPUTED_VALUE"""),"Producto")</f>
        <v>Producto</v>
      </c>
      <c r="L155" s="42" t="str">
        <f>IFERROR(__xludf.DUMMYFUNCTION("""COMPUTED_VALUE"""),"Eficacia")</f>
        <v>Eficacia</v>
      </c>
      <c r="M155" s="42" t="str">
        <f>IFERROR(__xludf.DUMMYFUNCTION("""COMPUTED_VALUE"""),"Porcentaje")</f>
        <v>Porcentaje</v>
      </c>
      <c r="N155" s="43" t="str">
        <f>IFERROR(__xludf.DUMMYFUNCTION("""COMPUTED_VALUE"""),"Trámites atendidos")</f>
        <v>Trámites atendidos</v>
      </c>
      <c r="O155" s="44">
        <f>IFERROR(__xludf.DUMMYFUNCTION("""COMPUTED_VALUE"""),-7140.0)</f>
        <v>-7140</v>
      </c>
      <c r="P155" s="45">
        <f>IFERROR(__xludf.DUMMYFUNCTION("""COMPUTED_VALUE"""),230.0)</f>
        <v>230</v>
      </c>
      <c r="Q155" s="46" t="str">
        <f>IFERROR(__xludf.DUMMYFUNCTION("""COMPUTED_VALUE"""),"Gestionar las solicitudes de los tramites de permisos de para el ejercicio de la pesca y la acuicultura")</f>
        <v>Gestionar las solicitudes de los tramites de permisos de para el ejercicio de la pesca y la acuicultura</v>
      </c>
      <c r="R155" s="47" t="str">
        <f>IFERROR(__xludf.DUMMYFUNCTION("""COMPUTED_VALUE"""),"Mensual")</f>
        <v>Mensual</v>
      </c>
      <c r="S155" s="45">
        <f>IFERROR(__xludf.DUMMYFUNCTION("""COMPUTED_VALUE"""),30.0)</f>
        <v>30</v>
      </c>
      <c r="T155" s="45">
        <f>IFERROR(__xludf.DUMMYFUNCTION("""COMPUTED_VALUE"""),75.0)</f>
        <v>75</v>
      </c>
      <c r="U155" s="45">
        <f>IFERROR(__xludf.DUMMYFUNCTION("""COMPUTED_VALUE"""),75.0)</f>
        <v>75</v>
      </c>
      <c r="V155" s="45">
        <f>IFERROR(__xludf.DUMMYFUNCTION("""COMPUTED_VALUE"""),50.0)</f>
        <v>50</v>
      </c>
      <c r="W155" s="48" t="str">
        <f>IFERROR(__xludf.DUMMYFUNCTION("""COMPUTED_VALUE"""),"Regional Villavicencio")</f>
        <v>Regional Villavicencio</v>
      </c>
      <c r="X155" s="49" t="str">
        <f>IFERROR(__xludf.DUMMYFUNCTION("""COMPUTED_VALUE"""),"Maritza Casallas Delgado")</f>
        <v>Maritza Casallas Delgado</v>
      </c>
      <c r="Y155" s="39" t="str">
        <f>IFERROR(__xludf.DUMMYFUNCTION("""COMPUTED_VALUE"""),"Director Regional")</f>
        <v>Director Regional</v>
      </c>
      <c r="Z155" s="49" t="str">
        <f>IFERROR(__xludf.DUMMYFUNCTION("""COMPUTED_VALUE"""),"maritza.casallas@aunap.gov.co")</f>
        <v>maritza.casallas@aunap.gov.co</v>
      </c>
      <c r="AA155" s="39" t="str">
        <f>IFERROR(__xludf.DUMMYFUNCTION("""COMPUTED_VALUE"""),"Humanos, fisicos, financieros y tecnologicos")</f>
        <v>Humanos, fisicos, financieros y tecnologicos</v>
      </c>
      <c r="AB155" s="39" t="str">
        <f>IFERROR(__xludf.DUMMYFUNCTION("""COMPUTED_VALUE"""),"No asociado")</f>
        <v>No asociado</v>
      </c>
      <c r="AC155" s="39" t="str">
        <f>IFERROR(__xludf.DUMMYFUNCTION("""COMPUTED_VALUE"""),"Propiciar la formalización de la pesca y la acuicultura")</f>
        <v>Propiciar la formalización de la pesca y la acuicultura</v>
      </c>
      <c r="AD155" s="39" t="str">
        <f>IFERROR(__xludf.DUMMYFUNCTION("""COMPUTED_VALUE"""),"Gestión con valores para resultados")</f>
        <v>Gestión con valores para resultados</v>
      </c>
      <c r="AE155" s="39" t="str">
        <f>IFERROR(__xludf.DUMMYFUNCTION("""COMPUTED_VALUE"""),"Fortalecimiento Organizacional y Simplificación de Procesos")</f>
        <v>Fortalecimiento Organizacional y Simplificación de Procesos</v>
      </c>
      <c r="AF155" s="39" t="str">
        <f>IFERROR(__xludf.DUMMYFUNCTION("""COMPUTED_VALUE"""),"12. Producción y consumo responsable")</f>
        <v>12. Producción y consumo responsable</v>
      </c>
      <c r="AG155" s="76">
        <f>IFERROR(__xludf.DUMMYFUNCTION("""COMPUTED_VALUE"""),40.0)</f>
        <v>40</v>
      </c>
      <c r="AH155" s="51" t="str">
        <f>IFERROR(__xludf.DUMMYFUNCTION("""COMPUTED_VALUE"""),"CUMPLIMIENTO AL 133% DE LOS TRÁMITES DE PERMISOS MEDIANTE EXPEDICIÓN DE CONCEPTOS TÉCNICOS EN LA DRV, DURANTE ENERO, FEBRERO Y MARZO DE 2021")</f>
        <v>CUMPLIMIENTO AL 133% DE LOS TRÁMITES DE PERMISOS MEDIANTE EXPEDICIÓN DE CONCEPTOS TÉCNICOS EN LA DRV, DURANTE ENERO, FEBRERO Y MARZO DE 2021</v>
      </c>
      <c r="AI155" s="72" t="str">
        <f>IFERROR(__xludf.DUMMYFUNCTION("""COMPUTED_VALUE"""),"https://docs.google.com/spreadsheets/d/1v74tiL7RLM3kTXgc2fCKgyIWqLsacN2e6runuwf-HYo/edit#gid=1957705063")</f>
        <v>https://docs.google.com/spreadsheets/d/1v74tiL7RLM3kTXgc2fCKgyIWqLsacN2e6runuwf-HYo/edit#gid=1957705063</v>
      </c>
      <c r="AJ155" s="52">
        <f>IFERROR(__xludf.DUMMYFUNCTION("""COMPUTED_VALUE"""),44298.0)</f>
        <v>44298</v>
      </c>
      <c r="AK155" s="53" t="str">
        <f>IFERROR(IF((AL155+1)&lt;2,Alertas!$B$2&amp;TEXT(AL155,"0%")&amp;Alertas!$D$2, IF((AL155+1)=2,Alertas!$B$3,IF((AL155+1)&gt;2,Alertas!$B$4&amp;TEXT(AL155,"0%")&amp;Alertas!$D$4,AL155+1))),"Sin meta para el cuarto trimestre")</f>
        <v>La ejecución de la meta registrada se encuentra por debajo de la meta programada en la formulación del plan de acción para el cuarto trimestre, su porcentaje de cumplimiento es 80%, lo cual indica un incumplimiento que puede ser entendido por los entes de control como falencias en el proceso de planeación. se recomienda tomar este antecedente como insumo para disminuir la meta en la próxima vigencia</v>
      </c>
      <c r="AL155" s="54">
        <f t="shared" si="2"/>
        <v>0.8</v>
      </c>
      <c r="AM155" s="53" t="str">
        <f t="shared" si="3"/>
        <v>La ejecución de la meta registrada se encuentra por debajo de la meta programada en la formulación del plan de acción para el cuarto trimestre, su porcentaje de cumplimiento es 80%, lo cual indica un incumplimiento que puede ser entendido por los entes de control como falencias en el proceso de planeación. se recomienda tomar este antecedente como insumo para disminuir la meta en la próxima vigencia.</v>
      </c>
      <c r="AN155" s="55"/>
      <c r="AO155" s="56"/>
      <c r="AP155" s="57"/>
      <c r="AQ155" s="57"/>
      <c r="AR155" s="58"/>
      <c r="AS155" s="59"/>
      <c r="AT155" s="60"/>
      <c r="AU155" s="55"/>
      <c r="AV155" s="56"/>
      <c r="AW155" s="61"/>
      <c r="AX155" s="57"/>
      <c r="AY155" s="62"/>
      <c r="AZ155" s="63"/>
      <c r="BA155" s="64"/>
      <c r="BB155" s="65"/>
      <c r="BC155" s="56"/>
      <c r="BD155" s="61"/>
      <c r="BE155" s="57"/>
      <c r="BF155" s="58"/>
      <c r="BG155" s="63"/>
      <c r="BH155" s="64"/>
      <c r="BI155" s="66"/>
      <c r="BK155" s="21" t="str">
        <f t="shared" si="23"/>
        <v>-1</v>
      </c>
      <c r="BM155" s="21"/>
    </row>
    <row r="156" ht="33.75" customHeight="1">
      <c r="A156" s="37"/>
      <c r="B156" s="38">
        <f>IFERROR(__xludf.DUMMYFUNCTION("""COMPUTED_VALUE"""),154.0)</f>
        <v>154</v>
      </c>
      <c r="C156" s="39" t="str">
        <f>IFERROR(__xludf.DUMMYFUNCTION("""COMPUTED_VALUE"""),"Gestión de la inspección y vigilancia")</f>
        <v>Gestión de la inspección y vigilancia</v>
      </c>
      <c r="D156" s="40" t="str">
        <f>IFERROR(__xludf.DUMMYFUNCTION("""COMPUTED_VALUE"""),"Regional Villavicencio")</f>
        <v>Regional Villavicencio</v>
      </c>
      <c r="E156" s="40" t="str">
        <f>IFERROR(__xludf.DUMMYFUNCTION("""COMPUTED_VALUE"""),"Fortalecimiento de la sostenibilidad del sector pesquero y de la acuicultura en el territorio nacional")</f>
        <v>Fortalecimiento de la sostenibilidad del sector pesquero y de la acuicultura en el territorio nacional</v>
      </c>
      <c r="F156" s="40">
        <f>IFERROR(__xludf.DUMMYFUNCTION("""COMPUTED_VALUE"""),2.01901100028E12)</f>
        <v>2019011000280</v>
      </c>
      <c r="G156" s="41" t="str">
        <f>IFERROR(__xludf.DUMMYFUNCTION("""COMPUTED_VALUE"""),"Sostenibilidad")</f>
        <v>Sostenibilidad</v>
      </c>
      <c r="H156" s="40" t="str">
        <f>IFERROR(__xludf.DUMMYFUNCTION("""COMPUTED_VALUE"""),"Mejorar la explotación de los recursos pesqueros y de la acuicultura.")</f>
        <v>Mejorar la explotación de los recursos pesqueros y de la acuicultura.</v>
      </c>
      <c r="I156" s="40" t="str">
        <f>IFERROR(__xludf.DUMMYFUNCTION("""COMPUTED_VALUE"""),"Servicios de administración de los recurso pesqueros y de la acuicultura")</f>
        <v>Servicios de administración de los recurso pesqueros y de la acuicultura</v>
      </c>
      <c r="J156" s="40" t="str">
        <f>IFERROR(__xludf.DUMMYFUNCTION("""COMPUTED_VALUE"""),"Realizar acciones de divulgación y formalización de la actividad pesquera y de la acuicultura.")</f>
        <v>Realizar acciones de divulgación y formalización de la actividad pesquera y de la acuicultura.</v>
      </c>
      <c r="K156" s="42" t="str">
        <f>IFERROR(__xludf.DUMMYFUNCTION("""COMPUTED_VALUE"""),"Gestión del área")</f>
        <v>Gestión del área</v>
      </c>
      <c r="L156" s="42" t="str">
        <f>IFERROR(__xludf.DUMMYFUNCTION("""COMPUTED_VALUE"""),"Eficacia")</f>
        <v>Eficacia</v>
      </c>
      <c r="M156" s="42" t="str">
        <f>IFERROR(__xludf.DUMMYFUNCTION("""COMPUTED_VALUE"""),"Número")</f>
        <v>Número</v>
      </c>
      <c r="N156" s="43" t="str">
        <f>IFERROR(__xludf.DUMMYFUNCTION("""COMPUTED_VALUE"""),"Número de asociaciones capacitadas/Número de asociaciones programadas")</f>
        <v>Número de asociaciones capacitadas/Número de asociaciones programadas</v>
      </c>
      <c r="O156" s="44"/>
      <c r="P156" s="45">
        <f>IFERROR(__xludf.DUMMYFUNCTION("""COMPUTED_VALUE"""),35.0)</f>
        <v>35</v>
      </c>
      <c r="Q156" s="46" t="str">
        <f>IFERROR(__xludf.DUMMYFUNCTION("""COMPUTED_VALUE"""),"Asociaciones capacitadas en temas de pesca y acuicultura")</f>
        <v>Asociaciones capacitadas en temas de pesca y acuicultura</v>
      </c>
      <c r="R156" s="47" t="str">
        <f>IFERROR(__xludf.DUMMYFUNCTION("""COMPUTED_VALUE"""),"Trimestral")</f>
        <v>Trimestral</v>
      </c>
      <c r="S156" s="45">
        <f>IFERROR(__xludf.DUMMYFUNCTION("""COMPUTED_VALUE"""),5.0)</f>
        <v>5</v>
      </c>
      <c r="T156" s="45">
        <f>IFERROR(__xludf.DUMMYFUNCTION("""COMPUTED_VALUE"""),10.0)</f>
        <v>10</v>
      </c>
      <c r="U156" s="45">
        <f>IFERROR(__xludf.DUMMYFUNCTION("""COMPUTED_VALUE"""),10.0)</f>
        <v>10</v>
      </c>
      <c r="V156" s="45">
        <f>IFERROR(__xludf.DUMMYFUNCTION("""COMPUTED_VALUE"""),10.0)</f>
        <v>10</v>
      </c>
      <c r="W156" s="48" t="str">
        <f>IFERROR(__xludf.DUMMYFUNCTION("""COMPUTED_VALUE"""),"Regional Villavicencio")</f>
        <v>Regional Villavicencio</v>
      </c>
      <c r="X156" s="49" t="str">
        <f>IFERROR(__xludf.DUMMYFUNCTION("""COMPUTED_VALUE"""),"Maritza Casallas Delgado")</f>
        <v>Maritza Casallas Delgado</v>
      </c>
      <c r="Y156" s="39" t="str">
        <f>IFERROR(__xludf.DUMMYFUNCTION("""COMPUTED_VALUE"""),"Director Regional")</f>
        <v>Director Regional</v>
      </c>
      <c r="Z156" s="49" t="str">
        <f>IFERROR(__xludf.DUMMYFUNCTION("""COMPUTED_VALUE"""),"maritza.casallas@aunap.gov.co")</f>
        <v>maritza.casallas@aunap.gov.co</v>
      </c>
      <c r="AA156" s="39" t="str">
        <f>IFERROR(__xludf.DUMMYFUNCTION("""COMPUTED_VALUE"""),"Humanos, fisicos, financieros y tecnologicos")</f>
        <v>Humanos, fisicos, financieros y tecnologicos</v>
      </c>
      <c r="AB156" s="39" t="str">
        <f>IFERROR(__xludf.DUMMYFUNCTION("""COMPUTED_VALUE"""),"No asociado")</f>
        <v>No asociado</v>
      </c>
      <c r="AC156" s="39" t="str">
        <f>IFERROR(__xludf.DUMMYFUNCTION("""COMPUTED_VALUE"""),"Llegar con actividades de pesca y acuicultura a todas las regiones")</f>
        <v>Llegar con actividades de pesca y acuicultura a todas las regiones</v>
      </c>
      <c r="AD156" s="39" t="str">
        <f>IFERROR(__xludf.DUMMYFUNCTION("""COMPUTED_VALUE"""),"Gestión con valores para resultados")</f>
        <v>Gestión con valores para resultados</v>
      </c>
      <c r="AE156" s="39" t="str">
        <f>IFERROR(__xludf.DUMMYFUNCTION("""COMPUTED_VALUE"""),"Fortalecimiento Organizacional y Simplificación de Procesos")</f>
        <v>Fortalecimiento Organizacional y Simplificación de Procesos</v>
      </c>
      <c r="AF156" s="39" t="str">
        <f>IFERROR(__xludf.DUMMYFUNCTION("""COMPUTED_VALUE"""),"12. Producción y consumo responsable")</f>
        <v>12. Producción y consumo responsable</v>
      </c>
      <c r="AG156" s="76">
        <f>IFERROR(__xludf.DUMMYFUNCTION("""COMPUTED_VALUE"""),11.0)</f>
        <v>11</v>
      </c>
      <c r="AH156" s="51" t="str">
        <f>IFERROR(__xludf.DUMMYFUNCTION("""COMPUTED_VALUE"""),"CUMPLIMIENTO AL 220% DE CAPACITACIONES REALIZADAS A ASOCIACIONES EN LA DRV DURANTE ENERO, FEBRERO Y MARZO DE 2021")</f>
        <v>CUMPLIMIENTO AL 220% DE CAPACITACIONES REALIZADAS A ASOCIACIONES EN LA DRV DURANTE ENERO, FEBRERO Y MARZO DE 2021</v>
      </c>
      <c r="AI156" s="72" t="str">
        <f>IFERROR(__xludf.DUMMYFUNCTION("""COMPUTED_VALUE"""),"https://drive.google.com/drive/folders/1lJta8_iWQrmeCBXaeLtXcaedXwuVzCjf?usp=sharing")</f>
        <v>https://drive.google.com/drive/folders/1lJta8_iWQrmeCBXaeLtXcaedXwuVzCjf?usp=sharing</v>
      </c>
      <c r="AJ156" s="52">
        <f>IFERROR(__xludf.DUMMYFUNCTION("""COMPUTED_VALUE"""),44298.0)</f>
        <v>44298</v>
      </c>
      <c r="AK156" s="53" t="str">
        <f>IFERROR(IF((AL156+1)&lt;2,Alertas!$B$2&amp;TEXT(AL156,"0%")&amp;Alertas!$D$2, IF((AL156+1)=2,Alertas!$B$3,IF((AL156+1)&gt;2,Alertas!$B$4&amp;TEXT(AL156,"0%")&amp;Alertas!$D$4,AL156+1))),"Sin meta para el cuarto trimestre")</f>
        <v>La ejecución de la meta registrada se encuentra por encima de la meta programada en la formulación del plan de acción para el cuarto trimestre, su porcentaje de cumplimiento es 110%, lo cual indica una sobre ejecución que puede ser entendido por los entes de control como falencias en el proceso de planeación. se recomienda tomar este antecedente como insumo para incrementar la meta en la próxima vigencia</v>
      </c>
      <c r="AL156" s="54">
        <f t="shared" si="2"/>
        <v>1.1</v>
      </c>
      <c r="AM156" s="53" t="str">
        <f t="shared" si="3"/>
        <v>La ejecución de la meta registrada se encuentra por encima de la meta programada en la formulación del plan de acción para el cuarto trimestre, su porcentaje de cumplimiento es 110%, lo cual indica una sobre ejecución que puede ser entendido por los entes de control como falencias en el proceso de planeación. se recomienda tomar este antecedente como insumo para incrementar la meta en la próxima vigencia.</v>
      </c>
      <c r="AN156" s="55"/>
      <c r="AO156" s="56"/>
      <c r="AP156" s="57"/>
      <c r="AQ156" s="57"/>
      <c r="AR156" s="58"/>
      <c r="AS156" s="59"/>
      <c r="AT156" s="60"/>
      <c r="AU156" s="55"/>
      <c r="AV156" s="56"/>
      <c r="AW156" s="61"/>
      <c r="AX156" s="57"/>
      <c r="AY156" s="62"/>
      <c r="AZ156" s="63"/>
      <c r="BA156" s="64"/>
      <c r="BB156" s="65"/>
      <c r="BC156" s="56"/>
      <c r="BD156" s="61"/>
      <c r="BE156" s="57"/>
      <c r="BF156" s="58"/>
      <c r="BG156" s="63"/>
      <c r="BH156" s="64"/>
      <c r="BI156" s="66"/>
      <c r="BK156" s="21" t="str">
        <f t="shared" si="23"/>
        <v>1</v>
      </c>
      <c r="BM156" s="21"/>
    </row>
    <row r="157" ht="33.75" customHeight="1">
      <c r="A157" s="37"/>
      <c r="B157" s="38">
        <f>IFERROR(__xludf.DUMMYFUNCTION("""COMPUTED_VALUE"""),155.0)</f>
        <v>155</v>
      </c>
      <c r="C157" s="39" t="str">
        <f>IFERROR(__xludf.DUMMYFUNCTION("""COMPUTED_VALUE"""),"Gestión de la inspección y vigilancia")</f>
        <v>Gestión de la inspección y vigilancia</v>
      </c>
      <c r="D157" s="40" t="str">
        <f>IFERROR(__xludf.DUMMYFUNCTION("""COMPUTED_VALUE"""),"Regional Villavicencio")</f>
        <v>Regional Villavicencio</v>
      </c>
      <c r="E157" s="40" t="str">
        <f>IFERROR(__xludf.DUMMYFUNCTION("""COMPUTED_VALUE"""),"Fortalecimiento de la sostenibilidad del sector pesquero y de la acuicultura en el territorio nacional")</f>
        <v>Fortalecimiento de la sostenibilidad del sector pesquero y de la acuicultura en el territorio nacional</v>
      </c>
      <c r="F157" s="40">
        <f>IFERROR(__xludf.DUMMYFUNCTION("""COMPUTED_VALUE"""),2.01901100028E12)</f>
        <v>2019011000280</v>
      </c>
      <c r="G157" s="41" t="str">
        <f>IFERROR(__xludf.DUMMYFUNCTION("""COMPUTED_VALUE"""),"Sostenibilidad")</f>
        <v>Sostenibilidad</v>
      </c>
      <c r="H157" s="40" t="str">
        <f>IFERROR(__xludf.DUMMYFUNCTION("""COMPUTED_VALUE"""),"Mejorar la explotación de los recursos pesqueros y de la acuicultura.")</f>
        <v>Mejorar la explotación de los recursos pesqueros y de la acuicultura.</v>
      </c>
      <c r="I157" s="40" t="str">
        <f>IFERROR(__xludf.DUMMYFUNCTION("""COMPUTED_VALUE"""),"Servicios de administración de los recurso pesqueros y de la acuicultura")</f>
        <v>Servicios de administración de los recurso pesqueros y de la acuicultura</v>
      </c>
      <c r="J157" s="40" t="str">
        <f>IFERROR(__xludf.DUMMYFUNCTION("""COMPUTED_VALUE"""),"Realizar acciones de divulgación y formalización de la actividad pesquera y de la acuicultura.")</f>
        <v>Realizar acciones de divulgación y formalización de la actividad pesquera y de la acuicultura.</v>
      </c>
      <c r="K157" s="42" t="str">
        <f>IFERROR(__xludf.DUMMYFUNCTION("""COMPUTED_VALUE"""),"Gestión del área")</f>
        <v>Gestión del área</v>
      </c>
      <c r="L157" s="42" t="str">
        <f>IFERROR(__xludf.DUMMYFUNCTION("""COMPUTED_VALUE"""),"Eficacia")</f>
        <v>Eficacia</v>
      </c>
      <c r="M157" s="42" t="str">
        <f>IFERROR(__xludf.DUMMYFUNCTION("""COMPUTED_VALUE"""),"Número")</f>
        <v>Número</v>
      </c>
      <c r="N157" s="43" t="str">
        <f>IFERROR(__xludf.DUMMYFUNCTION("""COMPUTED_VALUE"""),"Número de capacitaciones realizadas/Número de capacitaciones programadas")</f>
        <v>Número de capacitaciones realizadas/Número de capacitaciones programadas</v>
      </c>
      <c r="O157" s="44"/>
      <c r="P157" s="45">
        <f>IFERROR(__xludf.DUMMYFUNCTION("""COMPUTED_VALUE"""),120.0)</f>
        <v>120</v>
      </c>
      <c r="Q157" s="46" t="str">
        <f>IFERROR(__xludf.DUMMYFUNCTION("""COMPUTED_VALUE"""),"Capacitación a los grupos de interés")</f>
        <v>Capacitación a los grupos de interés</v>
      </c>
      <c r="R157" s="47" t="str">
        <f>IFERROR(__xludf.DUMMYFUNCTION("""COMPUTED_VALUE"""),"Trimestral")</f>
        <v>Trimestral</v>
      </c>
      <c r="S157" s="45">
        <f>IFERROR(__xludf.DUMMYFUNCTION("""COMPUTED_VALUE"""),30.0)</f>
        <v>30</v>
      </c>
      <c r="T157" s="45">
        <f>IFERROR(__xludf.DUMMYFUNCTION("""COMPUTED_VALUE"""),30.0)</f>
        <v>30</v>
      </c>
      <c r="U157" s="45">
        <f>IFERROR(__xludf.DUMMYFUNCTION("""COMPUTED_VALUE"""),30.0)</f>
        <v>30</v>
      </c>
      <c r="V157" s="45">
        <f>IFERROR(__xludf.DUMMYFUNCTION("""COMPUTED_VALUE"""),30.0)</f>
        <v>30</v>
      </c>
      <c r="W157" s="48" t="str">
        <f>IFERROR(__xludf.DUMMYFUNCTION("""COMPUTED_VALUE"""),"Regional Villavicencio")</f>
        <v>Regional Villavicencio</v>
      </c>
      <c r="X157" s="49" t="str">
        <f>IFERROR(__xludf.DUMMYFUNCTION("""COMPUTED_VALUE"""),"Maritza Casallas Delgado")</f>
        <v>Maritza Casallas Delgado</v>
      </c>
      <c r="Y157" s="39" t="str">
        <f>IFERROR(__xludf.DUMMYFUNCTION("""COMPUTED_VALUE"""),"Director Regional")</f>
        <v>Director Regional</v>
      </c>
      <c r="Z157" s="49" t="str">
        <f>IFERROR(__xludf.DUMMYFUNCTION("""COMPUTED_VALUE"""),"maritza.casallas@aunap.gov.co")</f>
        <v>maritza.casallas@aunap.gov.co</v>
      </c>
      <c r="AA157" s="39" t="str">
        <f>IFERROR(__xludf.DUMMYFUNCTION("""COMPUTED_VALUE"""),"Humanos, fisicos, financieros y tecnologicos")</f>
        <v>Humanos, fisicos, financieros y tecnologicos</v>
      </c>
      <c r="AB157" s="39" t="str">
        <f>IFERROR(__xludf.DUMMYFUNCTION("""COMPUTED_VALUE"""),"No asociado")</f>
        <v>No asociado</v>
      </c>
      <c r="AC157" s="39" t="str">
        <f>IFERROR(__xludf.DUMMYFUNCTION("""COMPUTED_VALUE"""),"Llegar con actividades de pesca y acuicultura a todas las regiones")</f>
        <v>Llegar con actividades de pesca y acuicultura a todas las regiones</v>
      </c>
      <c r="AD157" s="39" t="str">
        <f>IFERROR(__xludf.DUMMYFUNCTION("""COMPUTED_VALUE"""),"Gestión con valores para resultados")</f>
        <v>Gestión con valores para resultados</v>
      </c>
      <c r="AE157" s="39" t="str">
        <f>IFERROR(__xludf.DUMMYFUNCTION("""COMPUTED_VALUE"""),"Fortalecimiento Organizacional y Simplificación de Procesos")</f>
        <v>Fortalecimiento Organizacional y Simplificación de Procesos</v>
      </c>
      <c r="AF157" s="39" t="str">
        <f>IFERROR(__xludf.DUMMYFUNCTION("""COMPUTED_VALUE"""),"12. Producción y consumo responsable")</f>
        <v>12. Producción y consumo responsable</v>
      </c>
      <c r="AG157" s="76">
        <f>IFERROR(__xludf.DUMMYFUNCTION("""COMPUTED_VALUE"""),30.0)</f>
        <v>30</v>
      </c>
      <c r="AH157" s="51" t="str">
        <f>IFERROR(__xludf.DUMMYFUNCTION("""COMPUTED_VALUE"""),"CUMPLIMIENTO AL 100% DE CAPACITACIONES REALIZADAS A GRUPOS DE INTERÉS EN LA DRV DURANTE ENERO, FEBRERO Y MARZO DE 2021")</f>
        <v>CUMPLIMIENTO AL 100% DE CAPACITACIONES REALIZADAS A GRUPOS DE INTERÉS EN LA DRV DURANTE ENERO, FEBRERO Y MARZO DE 2021</v>
      </c>
      <c r="AI157" s="77" t="str">
        <f>IFERROR(__xludf.DUMMYFUNCTION("""COMPUTED_VALUE"""),"https://drive.google.com/drive/u/0/folders/1dVDxnwaJ51n1RAgkoq63dyUkEyqckfoq")</f>
        <v>https://drive.google.com/drive/u/0/folders/1dVDxnwaJ51n1RAgkoq63dyUkEyqckfoq</v>
      </c>
      <c r="AJ157" s="52">
        <f>IFERROR(__xludf.DUMMYFUNCTION("""COMPUTED_VALUE"""),44298.0)</f>
        <v>44298</v>
      </c>
      <c r="AK157" s="53" t="str">
        <f>IFERROR(IF((AL157+1)&lt;2,Alertas!$B$2&amp;TEXT(AL157,"0%")&amp;Alertas!$D$2, IF((AL157+1)=2,Alertas!$B$3,IF((AL157+1)&gt;2,Alertas!$B$4&amp;TEXT(AL157,"0%")&amp;Alertas!$D$4,AL157+1))),"Sin meta para el cuarto trimestre")</f>
        <v>La ejecución de la meta registrada se encuentra acorde a la meta programada en la formulación del plan de acción para el cuarto trimestre</v>
      </c>
      <c r="AL157" s="54">
        <f t="shared" si="2"/>
        <v>1</v>
      </c>
      <c r="AM157" s="53" t="str">
        <f t="shared" si="3"/>
        <v>La ejecución de la meta registrada se encuentra acorde a la meta programada en la formulación del plan de acción para el cuarto trimestre.</v>
      </c>
      <c r="AN157" s="55"/>
      <c r="AO157" s="56"/>
      <c r="AP157" s="57"/>
      <c r="AQ157" s="57"/>
      <c r="AR157" s="58"/>
      <c r="AS157" s="59"/>
      <c r="AT157" s="60"/>
      <c r="AU157" s="55"/>
      <c r="AV157" s="56"/>
      <c r="AW157" s="61"/>
      <c r="AX157" s="57"/>
      <c r="AY157" s="62"/>
      <c r="AZ157" s="63"/>
      <c r="BA157" s="64"/>
      <c r="BB157" s="65"/>
      <c r="BC157" s="56"/>
      <c r="BD157" s="61"/>
      <c r="BE157" s="57"/>
      <c r="BF157" s="58"/>
      <c r="BG157" s="63"/>
      <c r="BH157" s="64"/>
      <c r="BI157" s="66"/>
      <c r="BK157" s="21" t="str">
        <f t="shared" si="23"/>
        <v>0</v>
      </c>
      <c r="BM157" s="21"/>
    </row>
    <row r="158" ht="33.75" customHeight="1">
      <c r="A158" s="37"/>
      <c r="B158" s="38">
        <f>IFERROR(__xludf.DUMMYFUNCTION("""COMPUTED_VALUE"""),156.0)</f>
        <v>156</v>
      </c>
      <c r="C158" s="39" t="str">
        <f>IFERROR(__xludf.DUMMYFUNCTION("""COMPUTED_VALUE"""),"Gestión de la inspección y vigilancia")</f>
        <v>Gestión de la inspección y vigilancia</v>
      </c>
      <c r="D158" s="40" t="str">
        <f>IFERROR(__xludf.DUMMYFUNCTION("""COMPUTED_VALUE"""),"Regional Villavicencio")</f>
        <v>Regional Villavicencio</v>
      </c>
      <c r="E158"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58" s="40">
        <f>IFERROR(__xludf.DUMMYFUNCTION("""COMPUTED_VALUE"""),2.019011000276E12)</f>
        <v>2019011000276</v>
      </c>
      <c r="G158" s="41" t="str">
        <f>IFERROR(__xludf.DUMMYFUNCTION("""COMPUTED_VALUE"""),"Inspección")</f>
        <v>Inspección</v>
      </c>
      <c r="H158" s="40" t="str">
        <f>IFERROR(__xludf.DUMMYFUNCTION("""COMPUTED_VALUE"""),"Aumentar el conocimiento de la normatividad pesquera y de la acuicultura por parte de la comunidad.")</f>
        <v>Aumentar el conocimiento de la normatividad pesquera y de la acuicultura por parte de la comunidad.</v>
      </c>
      <c r="I158" s="40" t="str">
        <f>IFERROR(__xludf.DUMMYFUNCTION("""COMPUTED_VALUE"""),"Servicio de divulgación y socialización")</f>
        <v>Servicio de divulgación y socialización</v>
      </c>
      <c r="J158" s="40" t="str">
        <f>IFERROR(__xludf.DUMMYFUNCTION("""COMPUTED_VALUE"""),"Implementar las estrategias de socialización y Divulgación a la comunidad")</f>
        <v>Implementar las estrategias de socialización y Divulgación a la comunidad</v>
      </c>
      <c r="K158" s="42" t="str">
        <f>IFERROR(__xludf.DUMMYFUNCTION("""COMPUTED_VALUE"""),"Gestión del área")</f>
        <v>Gestión del área</v>
      </c>
      <c r="L158" s="42" t="str">
        <f>IFERROR(__xludf.DUMMYFUNCTION("""COMPUTED_VALUE"""),"Eficacia")</f>
        <v>Eficacia</v>
      </c>
      <c r="M158" s="42" t="str">
        <f>IFERROR(__xludf.DUMMYFUNCTION("""COMPUTED_VALUE"""),"Número")</f>
        <v>Número</v>
      </c>
      <c r="N158" s="43" t="str">
        <f>IFERROR(__xludf.DUMMYFUNCTION("""COMPUTED_VALUE"""),"Número de eventos realizados/Número de eventos programados")</f>
        <v>Número de eventos realizados/Número de eventos programados</v>
      </c>
      <c r="O158" s="44"/>
      <c r="P158" s="45">
        <f>IFERROR(__xludf.DUMMYFUNCTION("""COMPUTED_VALUE"""),35.0)</f>
        <v>35</v>
      </c>
      <c r="Q158" s="46" t="str">
        <f>IFERROR(__xludf.DUMMYFUNCTION("""COMPUTED_VALUE"""),"Desarrollar actividades orientadas a sensibilizar a la población dedicada a la actividad pesquera y la acuicultura, en normatividad y medidas de ordenación de la pesca y acuicultura en Colombia.")</f>
        <v>Desarrollar actividades orientadas a sensibilizar a la población dedicada a la actividad pesquera y la acuicultura, en normatividad y medidas de ordenación de la pesca y acuicultura en Colombia.</v>
      </c>
      <c r="R158" s="47" t="str">
        <f>IFERROR(__xludf.DUMMYFUNCTION("""COMPUTED_VALUE"""),"Trimestral")</f>
        <v>Trimestral</v>
      </c>
      <c r="S158" s="45">
        <f>IFERROR(__xludf.DUMMYFUNCTION("""COMPUTED_VALUE"""),10.0)</f>
        <v>10</v>
      </c>
      <c r="T158" s="45">
        <f>IFERROR(__xludf.DUMMYFUNCTION("""COMPUTED_VALUE"""),25.0)</f>
        <v>25</v>
      </c>
      <c r="U158" s="45">
        <f>IFERROR(__xludf.DUMMYFUNCTION("""COMPUTED_VALUE"""),0.0)</f>
        <v>0</v>
      </c>
      <c r="V158" s="45">
        <f>IFERROR(__xludf.DUMMYFUNCTION("""COMPUTED_VALUE"""),0.0)</f>
        <v>0</v>
      </c>
      <c r="W158" s="48" t="str">
        <f>IFERROR(__xludf.DUMMYFUNCTION("""COMPUTED_VALUE"""),"Regional Villavicencio")</f>
        <v>Regional Villavicencio</v>
      </c>
      <c r="X158" s="49" t="str">
        <f>IFERROR(__xludf.DUMMYFUNCTION("""COMPUTED_VALUE"""),"Maritza Casallas Delgado")</f>
        <v>Maritza Casallas Delgado</v>
      </c>
      <c r="Y158" s="39" t="str">
        <f>IFERROR(__xludf.DUMMYFUNCTION("""COMPUTED_VALUE"""),"Director Regional")</f>
        <v>Director Regional</v>
      </c>
      <c r="Z158" s="49" t="str">
        <f>IFERROR(__xludf.DUMMYFUNCTION("""COMPUTED_VALUE"""),"maritza.casallas@aunap.gov.co")</f>
        <v>maritza.casallas@aunap.gov.co</v>
      </c>
      <c r="AA158" s="39" t="str">
        <f>IFERROR(__xludf.DUMMYFUNCTION("""COMPUTED_VALUE"""),"Humanos, fisicos, financieros y tecnologicos")</f>
        <v>Humanos, fisicos, financieros y tecnologicos</v>
      </c>
      <c r="AB158" s="39" t="str">
        <f>IFERROR(__xludf.DUMMYFUNCTION("""COMPUTED_VALUE"""),"No asociado")</f>
        <v>No asociado</v>
      </c>
      <c r="AC158"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8" s="39" t="str">
        <f>IFERROR(__xludf.DUMMYFUNCTION("""COMPUTED_VALUE"""),"Gestión con valores para resultados")</f>
        <v>Gestión con valores para resultados</v>
      </c>
      <c r="AE158" s="39" t="str">
        <f>IFERROR(__xludf.DUMMYFUNCTION("""COMPUTED_VALUE"""),"Fortalecimiento Organizacional y Simplificación de Procesos")</f>
        <v>Fortalecimiento Organizacional y Simplificación de Procesos</v>
      </c>
      <c r="AF158" s="39" t="str">
        <f>IFERROR(__xludf.DUMMYFUNCTION("""COMPUTED_VALUE"""),"12. Producción y consumo responsable")</f>
        <v>12. Producción y consumo responsable</v>
      </c>
      <c r="AG158" s="76">
        <f>IFERROR(__xludf.DUMMYFUNCTION("""COMPUTED_VALUE"""),10.0)</f>
        <v>10</v>
      </c>
      <c r="AH158" s="51" t="str">
        <f>IFERROR(__xludf.DUMMYFUNCTION("""COMPUTED_VALUE"""),"CUMPLIMIENTO AL 100% DE ACTIVIDADES  REALIZADAS DE PREVEDA EN LA DRV DURANTE ENERO, FEBRERO Y MARZO DE 2021")</f>
        <v>CUMPLIMIENTO AL 100% DE ACTIVIDADES  REALIZADAS DE PREVEDA EN LA DRV DURANTE ENERO, FEBRERO Y MARZO DE 2021</v>
      </c>
      <c r="AI158" s="77" t="str">
        <f>IFERROR(__xludf.DUMMYFUNCTION("""COMPUTED_VALUE"""),"https://drive.google.com/drive/u/0/folders/1Ra5euOvAwehRJqTNagnXyhscW99BUtVE")</f>
        <v>https://drive.google.com/drive/u/0/folders/1Ra5euOvAwehRJqTNagnXyhscW99BUtVE</v>
      </c>
      <c r="AJ158" s="52">
        <f>IFERROR(__xludf.DUMMYFUNCTION("""COMPUTED_VALUE"""),44298.0)</f>
        <v>44298</v>
      </c>
      <c r="AK158" s="53" t="str">
        <f>IFERROR(IF((AL158+1)&lt;2,Alertas!$B$2&amp;TEXT(AL158,"0%")&amp;Alertas!$D$2, IF((AL158+1)=2,Alertas!$B$3,IF((AL158+1)&gt;2,Alertas!$B$4&amp;TEXT(AL158,"0%")&amp;Alertas!$D$4,AL158+1))),"Sin meta para el cuarto trimestre")</f>
        <v>La ejecución de la meta registrada se encuentra por encima de la meta programada en la formulación del plan de acción para el cuarto trimestre, su porcentaje de cumplimiento es 1100%, lo cual indica una sobre ejecución que puede ser entendido por los entes de control como falencias en el proceso de planeación. se recomienda tomar este antecedente como insumo para incrementar la meta en la próxima vigencia</v>
      </c>
      <c r="AL158" s="54">
        <f t="shared" si="2"/>
        <v>11</v>
      </c>
      <c r="AM158" s="53" t="str">
        <f t="shared" si="3"/>
        <v>La ejecución de la meta registrada se encuentra por encima de la meta programada en la formulación del plan de acción para el cuarto trimestre, su porcentaje de cumplimiento es 1100%, lo cual indica una sobre ejecución que puede ser entendido por los entes de control como falencias en el proceso de planeación. se recomienda tomar este antecedente como insumo para incrementar la meta en la próxima vigencia.</v>
      </c>
      <c r="AN158" s="55"/>
      <c r="AO158" s="56"/>
      <c r="AP158" s="57"/>
      <c r="AQ158" s="57"/>
      <c r="AR158" s="58"/>
      <c r="AS158" s="59"/>
      <c r="AT158" s="60"/>
      <c r="AU158" s="55"/>
      <c r="AV158" s="56"/>
      <c r="AW158" s="61"/>
      <c r="AX158" s="57"/>
      <c r="AY158" s="62"/>
      <c r="AZ158" s="63"/>
      <c r="BA158" s="64"/>
      <c r="BB158" s="65"/>
      <c r="BC158" s="56"/>
      <c r="BD158" s="61"/>
      <c r="BE158" s="57"/>
      <c r="BF158" s="58"/>
      <c r="BG158" s="63"/>
      <c r="BH158" s="64"/>
      <c r="BI158" s="66"/>
      <c r="BK158" s="21" t="str">
        <f t="shared" si="23"/>
        <v>1</v>
      </c>
      <c r="BM158" s="21"/>
    </row>
    <row r="159" ht="33.75" customHeight="1">
      <c r="A159" s="37"/>
      <c r="B159" s="38">
        <f>IFERROR(__xludf.DUMMYFUNCTION("""COMPUTED_VALUE"""),157.0)</f>
        <v>157</v>
      </c>
      <c r="C159" s="39" t="str">
        <f>IFERROR(__xludf.DUMMYFUNCTION("""COMPUTED_VALUE"""),"Gestión de la inspección y vigilancia")</f>
        <v>Gestión de la inspección y vigilancia</v>
      </c>
      <c r="D159" s="40" t="str">
        <f>IFERROR(__xludf.DUMMYFUNCTION("""COMPUTED_VALUE"""),"Regional Villavicencio")</f>
        <v>Regional Villavicencio</v>
      </c>
      <c r="E159" s="40" t="str">
        <f>IFERROR(__xludf.DUMMYFUNCTION("""COMPUTED_VALUE"""),"Desarrollo de las actividades de inspección y vigilancia para el mejoramiento del ejercicio de la actividad pesquera y la acuicultura a nivel nacional")</f>
        <v>Desarrollo de las actividades de inspección y vigilancia para el mejoramiento del ejercicio de la actividad pesquera y la acuicultura a nivel nacional</v>
      </c>
      <c r="F159" s="40">
        <f>IFERROR(__xludf.DUMMYFUNCTION("""COMPUTED_VALUE"""),2.019011000276E12)</f>
        <v>2019011000276</v>
      </c>
      <c r="G159" s="41" t="str">
        <f>IFERROR(__xludf.DUMMYFUNCTION("""COMPUTED_VALUE"""),"Inspección")</f>
        <v>Inspección</v>
      </c>
      <c r="H159" s="40" t="str">
        <f>IFERROR(__xludf.DUMMYFUNCTION("""COMPUTED_VALUE"""),"Fortalecer los mecanismos de seguimiento y control de la actividad pesquera y de la acuicultura.")</f>
        <v>Fortalecer los mecanismos de seguimiento y control de la actividad pesquera y de la acuicultura.</v>
      </c>
      <c r="I159" s="40" t="str">
        <f>IFERROR(__xludf.DUMMYFUNCTION("""COMPUTED_VALUE"""),"Servicio de inspección, vigilancia y control de la pesca y la acuicultura")</f>
        <v>Servicio de inspección, vigilancia y control de la pesca y la acuicultura</v>
      </c>
      <c r="J159" s="40" t="str">
        <f>IFERROR(__xludf.DUMMYFUNCTION("""COMPUTED_VALUE"""),"Realizar los operativos de inspección, vigilancia y control.")</f>
        <v>Realizar los operativos de inspección, vigilancia y control.</v>
      </c>
      <c r="K159" s="42" t="str">
        <f>IFERROR(__xludf.DUMMYFUNCTION("""COMPUTED_VALUE"""),"Producto")</f>
        <v>Producto</v>
      </c>
      <c r="L159" s="42" t="str">
        <f>IFERROR(__xludf.DUMMYFUNCTION("""COMPUTED_VALUE"""),"Eficacia")</f>
        <v>Eficacia</v>
      </c>
      <c r="M159" s="42" t="str">
        <f>IFERROR(__xludf.DUMMYFUNCTION("""COMPUTED_VALUE"""),"Número")</f>
        <v>Número</v>
      </c>
      <c r="N159" s="43" t="str">
        <f>IFERROR(__xludf.DUMMYFUNCTION("""COMPUTED_VALUE"""),"Operativos de inspección, vigilancia y control realizados")</f>
        <v>Operativos de inspección, vigilancia y control realizados</v>
      </c>
      <c r="O159" s="44">
        <f>IFERROR(__xludf.DUMMYFUNCTION("""COMPUTED_VALUE"""),157.0)</f>
        <v>157</v>
      </c>
      <c r="P159" s="45">
        <f>IFERROR(__xludf.DUMMYFUNCTION("""COMPUTED_VALUE"""),850.0)</f>
        <v>850</v>
      </c>
      <c r="Q159" s="46" t="str">
        <f>IFERROR(__xludf.DUMMYFUNCTION("""COMPUTED_VALUE"""),"Realizar operativos de control y vigilancia de la actividad pesquera y de la acuicultura y verificar el cumplimiento de  la normatividad pesquera y acuícola en:(Centros de acopio, Puntos de venta, Plazas principales, Muelles de desembarque, Aeropuertos, V"&amp;"ías terrestres y fluviales (incluidos cuerpos de agua) de la regional.
")</f>
        <v>Realizar operativos de control y vigilancia de la actividad pesquera y de la acuicultura y verificar el cumplimiento de  la normatividad pesquera y acuícola en:(Centros de acopio, Puntos de venta, Plazas principales, Muelles de desembarque, Aeropuertos, Vías terrestres y fluviales (incluidos cuerpos de agua) de la regional.
</v>
      </c>
      <c r="R159" s="47" t="str">
        <f>IFERROR(__xludf.DUMMYFUNCTION("""COMPUTED_VALUE"""),"Mensual")</f>
        <v>Mensual</v>
      </c>
      <c r="S159" s="45">
        <f>IFERROR(__xludf.DUMMYFUNCTION("""COMPUTED_VALUE"""),193.0)</f>
        <v>193</v>
      </c>
      <c r="T159" s="45">
        <f>IFERROR(__xludf.DUMMYFUNCTION("""COMPUTED_VALUE"""),240.0)</f>
        <v>240</v>
      </c>
      <c r="U159" s="45">
        <f>IFERROR(__xludf.DUMMYFUNCTION("""COMPUTED_VALUE"""),231.0)</f>
        <v>231</v>
      </c>
      <c r="V159" s="45">
        <f>IFERROR(__xludf.DUMMYFUNCTION("""COMPUTED_VALUE"""),186.0)</f>
        <v>186</v>
      </c>
      <c r="W159" s="48" t="str">
        <f>IFERROR(__xludf.DUMMYFUNCTION("""COMPUTED_VALUE"""),"Regional Villavicencio")</f>
        <v>Regional Villavicencio</v>
      </c>
      <c r="X159" s="49" t="str">
        <f>IFERROR(__xludf.DUMMYFUNCTION("""COMPUTED_VALUE"""),"Maritza Casallas Delgado")</f>
        <v>Maritza Casallas Delgado</v>
      </c>
      <c r="Y159" s="39" t="str">
        <f>IFERROR(__xludf.DUMMYFUNCTION("""COMPUTED_VALUE"""),"Director Regional")</f>
        <v>Director Regional</v>
      </c>
      <c r="Z159" s="49" t="str">
        <f>IFERROR(__xludf.DUMMYFUNCTION("""COMPUTED_VALUE"""),"maritza.casallas@aunap.gov.co")</f>
        <v>maritza.casallas@aunap.gov.co</v>
      </c>
      <c r="AA159" s="39" t="str">
        <f>IFERROR(__xludf.DUMMYFUNCTION("""COMPUTED_VALUE"""),"Humanos, fisicos, financieros y tecnologicos")</f>
        <v>Humanos, fisicos, financieros y tecnologicos</v>
      </c>
      <c r="AB159" s="39" t="str">
        <f>IFERROR(__xludf.DUMMYFUNCTION("""COMPUTED_VALUE"""),"No asociado")</f>
        <v>No asociado</v>
      </c>
      <c r="AC159" s="39" t="str">
        <f>IFERROR(__xludf.DUMMYFUNCTION("""COMPUTED_VALUE"""),"Hacer ordenación de la actividad pesquera a nivel nacional fomentando la legalidad de la actividad pesquera y acuícola")</f>
        <v>Hacer ordenación de la actividad pesquera a nivel nacional fomentando la legalidad de la actividad pesquera y acuícola</v>
      </c>
      <c r="AD159" s="39" t="str">
        <f>IFERROR(__xludf.DUMMYFUNCTION("""COMPUTED_VALUE"""),"Gestión con valores para resultados")</f>
        <v>Gestión con valores para resultados</v>
      </c>
      <c r="AE159" s="39" t="str">
        <f>IFERROR(__xludf.DUMMYFUNCTION("""COMPUTED_VALUE"""),"Fortalecimiento Organizacional y Simplificación de Procesos")</f>
        <v>Fortalecimiento Organizacional y Simplificación de Procesos</v>
      </c>
      <c r="AF159" s="39" t="str">
        <f>IFERROR(__xludf.DUMMYFUNCTION("""COMPUTED_VALUE"""),"12. Producción y consumo responsable")</f>
        <v>12. Producción y consumo responsable</v>
      </c>
      <c r="AG159" s="76">
        <f>IFERROR(__xludf.DUMMYFUNCTION("""COMPUTED_VALUE"""),199.0)</f>
        <v>199</v>
      </c>
      <c r="AH159" s="51" t="str">
        <f>IFERROR(__xludf.DUMMYFUNCTION("""COMPUTED_VALUE"""),"CUMPLIMIENTO AL 103% DE LOS OPERATIVOS REALIZADOS EN LA DRV DURANTE LOS MESES DE ENERO, FEBRERO Y MARZO DE 2021")</f>
        <v>CUMPLIMIENTO AL 103% DE LOS OPERATIVOS REALIZADOS EN LA DRV DURANTE LOS MESES DE ENERO, FEBRERO Y MARZO DE 2021</v>
      </c>
      <c r="AI159" s="72" t="str">
        <f>IFERROR(__xludf.DUMMYFUNCTION("""COMPUTED_VALUE"""),"https://drive.google.com/drive/u/0/folders/1jjMn-PR8jM_gFRKbUkhzud-CKWQlp0YJ")</f>
        <v>https://drive.google.com/drive/u/0/folders/1jjMn-PR8jM_gFRKbUkhzud-CKWQlp0YJ</v>
      </c>
      <c r="AJ159" s="52">
        <f>IFERROR(__xludf.DUMMYFUNCTION("""COMPUTED_VALUE"""),44298.0)</f>
        <v>44298</v>
      </c>
      <c r="AK159" s="53" t="str">
        <f>IFERROR(IF((AL159+1)&lt;2,Alertas!$B$2&amp;TEXT(AL159,"0%")&amp;Alertas!$D$2, IF((AL159+1)=2,Alertas!$B$3,IF((AL159+1)&gt;2,Alertas!$B$4&amp;TEXT(AL159,"0%")&amp;Alertas!$D$4,AL159+1))),"Sin meta para el cuarto trimestre")</f>
        <v>La ejecución de la meta registrada se encuentra por encima de la meta programada en la formulación del plan de acción para el cuarto trimestre, su porcentaje de cumplimiento es 107%, lo cual indica una sobre ejecución que puede ser entendido por los entes de control como falencias en el proceso de planeación. se recomienda tomar este antecedente como insumo para incrementar la meta en la próxima vigencia</v>
      </c>
      <c r="AL159" s="54">
        <f t="shared" si="2"/>
        <v>1.069892473</v>
      </c>
      <c r="AM159" s="53" t="str">
        <f t="shared" si="3"/>
        <v>La ejecución de la meta registrada se encuentra por encima de la meta programada en la formulación del plan de acción para el cuarto trimestre, su porcentaje de cumplimiento es 107%, lo cual indica una sobre ejecución que puede ser entendido por los entes de control como falencias en el proceso de planeación. se recomienda tomar este antecedente como insumo para incrementar la meta en la próxima vigencia.</v>
      </c>
      <c r="AN159" s="55"/>
      <c r="AO159" s="56"/>
      <c r="AP159" s="57"/>
      <c r="AQ159" s="57"/>
      <c r="AR159" s="58"/>
      <c r="AS159" s="59"/>
      <c r="AT159" s="60"/>
      <c r="AU159" s="55"/>
      <c r="AV159" s="56"/>
      <c r="AW159" s="61"/>
      <c r="AX159" s="57"/>
      <c r="AY159" s="62"/>
      <c r="AZ159" s="63"/>
      <c r="BA159" s="64"/>
      <c r="BB159" s="65"/>
      <c r="BC159" s="56"/>
      <c r="BD159" s="61"/>
      <c r="BE159" s="57"/>
      <c r="BF159" s="58"/>
      <c r="BG159" s="63"/>
      <c r="BH159" s="64"/>
      <c r="BI159" s="66"/>
      <c r="BK159" s="21" t="str">
        <f t="shared" si="23"/>
        <v>1</v>
      </c>
      <c r="BM159" s="21"/>
    </row>
    <row r="160" ht="33.75" customHeight="1">
      <c r="A160" s="37"/>
      <c r="B160" s="38">
        <f>IFERROR(__xludf.DUMMYFUNCTION("""COMPUTED_VALUE"""),158.0)</f>
        <v>158</v>
      </c>
      <c r="C160" s="39" t="str">
        <f>IFERROR(__xludf.DUMMYFUNCTION("""COMPUTED_VALUE"""),"Gestión de la inspección y vigilancia")</f>
        <v>Gestión de la inspección y vigilancia</v>
      </c>
      <c r="D160" s="40" t="str">
        <f>IFERROR(__xludf.DUMMYFUNCTION("""COMPUTED_VALUE"""),"Regional Villavicencio")</f>
        <v>Regional Villavicencio</v>
      </c>
      <c r="E160" s="40" t="str">
        <f>IFERROR(__xludf.DUMMYFUNCTION("""COMPUTED_VALUE"""),"Fortalecimiento de la sostenibilidad del sector pesquero y de la acuicultura en el territorio nacional")</f>
        <v>Fortalecimiento de la sostenibilidad del sector pesquero y de la acuicultura en el territorio nacional</v>
      </c>
      <c r="F160" s="40">
        <f>IFERROR(__xludf.DUMMYFUNCTION("""COMPUTED_VALUE"""),2.01901100028E12)</f>
        <v>2019011000280</v>
      </c>
      <c r="G160" s="41" t="str">
        <f>IFERROR(__xludf.DUMMYFUNCTION("""COMPUTED_VALUE"""),"Sostenibilidad")</f>
        <v>Sostenibilidad</v>
      </c>
      <c r="H160" s="40" t="str">
        <f>IFERROR(__xludf.DUMMYFUNCTION("""COMPUTED_VALUE"""),"Mejorar la explotación de los recursos pesqueros y de la acuicultura.")</f>
        <v>Mejorar la explotación de los recursos pesqueros y de la acuicultura.</v>
      </c>
      <c r="I160" s="40" t="str">
        <f>IFERROR(__xludf.DUMMYFUNCTION("""COMPUTED_VALUE"""),"Servicios de administración de los recurso pesqueros y de la acuicultura")</f>
        <v>Servicios de administración de los recurso pesqueros y de la acuicultura</v>
      </c>
      <c r="J160" s="40" t="str">
        <f>IFERROR(__xludf.DUMMYFUNCTION("""COMPUTED_VALUE"""),"Regular el manejo y el ejercicio de la actividad pesquera y de la acuicultura.")</f>
        <v>Regular el manejo y el ejercicio de la actividad pesquera y de la acuicultura.</v>
      </c>
      <c r="K160" s="42" t="str">
        <f>IFERROR(__xludf.DUMMYFUNCTION("""COMPUTED_VALUE"""),"Gestión del área")</f>
        <v>Gestión del área</v>
      </c>
      <c r="L160" s="42" t="str">
        <f>IFERROR(__xludf.DUMMYFUNCTION("""COMPUTED_VALUE"""),"Eficacia")</f>
        <v>Eficacia</v>
      </c>
      <c r="M160" s="42" t="str">
        <f>IFERROR(__xludf.DUMMYFUNCTION("""COMPUTED_VALUE"""),"Número")</f>
        <v>Número</v>
      </c>
      <c r="N160" s="43" t="str">
        <f>IFERROR(__xludf.DUMMYFUNCTION("""COMPUTED_VALUE"""),"Número de pescadores artesanales formalizados/Número de pescadores artesanales programados para formalizar")</f>
        <v>Número de pescadores artesanales formalizados/Número de pescadores artesanales programados para formalizar</v>
      </c>
      <c r="O160" s="44"/>
      <c r="P160" s="45">
        <f>IFERROR(__xludf.DUMMYFUNCTION("""COMPUTED_VALUE"""),1050.0)</f>
        <v>1050</v>
      </c>
      <c r="Q160" s="46" t="str">
        <f>IFERROR(__xludf.DUMMYFUNCTION("""COMPUTED_VALUE"""),"Pescadores formalizadas")</f>
        <v>Pescadores formalizadas</v>
      </c>
      <c r="R160" s="47" t="str">
        <f>IFERROR(__xludf.DUMMYFUNCTION("""COMPUTED_VALUE"""),"Trimestral")</f>
        <v>Trimestral</v>
      </c>
      <c r="S160" s="45">
        <f>IFERROR(__xludf.DUMMYFUNCTION("""COMPUTED_VALUE"""),250.0)</f>
        <v>250</v>
      </c>
      <c r="T160" s="45">
        <f>IFERROR(__xludf.DUMMYFUNCTION("""COMPUTED_VALUE"""),250.0)</f>
        <v>250</v>
      </c>
      <c r="U160" s="45">
        <f>IFERROR(__xludf.DUMMYFUNCTION("""COMPUTED_VALUE"""),250.0)</f>
        <v>250</v>
      </c>
      <c r="V160" s="45">
        <f>IFERROR(__xludf.DUMMYFUNCTION("""COMPUTED_VALUE"""),300.0)</f>
        <v>300</v>
      </c>
      <c r="W160" s="48" t="str">
        <f>IFERROR(__xludf.DUMMYFUNCTION("""COMPUTED_VALUE"""),"Regional Villavicencio")</f>
        <v>Regional Villavicencio</v>
      </c>
      <c r="X160" s="49" t="str">
        <f>IFERROR(__xludf.DUMMYFUNCTION("""COMPUTED_VALUE"""),"Maritza Casallas Delgado")</f>
        <v>Maritza Casallas Delgado</v>
      </c>
      <c r="Y160" s="39" t="str">
        <f>IFERROR(__xludf.DUMMYFUNCTION("""COMPUTED_VALUE"""),"Director Regional")</f>
        <v>Director Regional</v>
      </c>
      <c r="Z160" s="49" t="str">
        <f>IFERROR(__xludf.DUMMYFUNCTION("""COMPUTED_VALUE"""),"maritza.casallas@aunap.gov.co")</f>
        <v>maritza.casallas@aunap.gov.co</v>
      </c>
      <c r="AA160" s="39" t="str">
        <f>IFERROR(__xludf.DUMMYFUNCTION("""COMPUTED_VALUE"""),"Humanos, fisicos, financieros y tecnologicos")</f>
        <v>Humanos, fisicos, financieros y tecnologicos</v>
      </c>
      <c r="AB160" s="39" t="str">
        <f>IFERROR(__xludf.DUMMYFUNCTION("""COMPUTED_VALUE"""),"No asociado")</f>
        <v>No asociado</v>
      </c>
      <c r="AC160" s="39" t="str">
        <f>IFERROR(__xludf.DUMMYFUNCTION("""COMPUTED_VALUE"""),"Propiciar la formalización de la pesca y la acuicultura")</f>
        <v>Propiciar la formalización de la pesca y la acuicultura</v>
      </c>
      <c r="AD160" s="39" t="str">
        <f>IFERROR(__xludf.DUMMYFUNCTION("""COMPUTED_VALUE"""),"Gestión con valores para resultados")</f>
        <v>Gestión con valores para resultados</v>
      </c>
      <c r="AE160" s="39" t="str">
        <f>IFERROR(__xludf.DUMMYFUNCTION("""COMPUTED_VALUE"""),"Racionalización de Trámites")</f>
        <v>Racionalización de Trámites</v>
      </c>
      <c r="AF160" s="39" t="str">
        <f>IFERROR(__xludf.DUMMYFUNCTION("""COMPUTED_VALUE"""),"12. Producción y consumo responsable")</f>
        <v>12. Producción y consumo responsable</v>
      </c>
      <c r="AG160" s="76">
        <f>IFERROR(__xludf.DUMMYFUNCTION("""COMPUTED_VALUE"""),440.0)</f>
        <v>440</v>
      </c>
      <c r="AH160" s="51" t="str">
        <f>IFERROR(__xludf.DUMMYFUNCTION("""COMPUTED_VALUE"""),"CUMPLIMIENTO AL 176% DE LOS CARNÉS DE PESCA ARTESANAL COMERCIAL EXPEDIDOS, DURANTE LOS MESES DE ENERO, FEBRERO Y MARZO DE 2021, EN LA DRV")</f>
        <v>CUMPLIMIENTO AL 176% DE LOS CARNÉS DE PESCA ARTESANAL COMERCIAL EXPEDIDOS, DURANTE LOS MESES DE ENERO, FEBRERO Y MARZO DE 2021, EN LA DRV</v>
      </c>
      <c r="AI160" s="77" t="str">
        <f>IFERROR(__xludf.DUMMYFUNCTION("""COMPUTED_VALUE"""),"https://drive.google.com/drive/u/0/folders/133r27BB-bHxNWEU5OzSpaHVfwRZpLo5x")</f>
        <v>https://drive.google.com/drive/u/0/folders/133r27BB-bHxNWEU5OzSpaHVfwRZpLo5x</v>
      </c>
      <c r="AJ160" s="52">
        <f>IFERROR(__xludf.DUMMYFUNCTION("""COMPUTED_VALUE"""),44298.0)</f>
        <v>44298</v>
      </c>
      <c r="AK160" s="53" t="str">
        <f>IFERROR(IF((AL160+1)&lt;2,Alertas!$B$2&amp;TEXT(AL160,"0%")&amp;Alertas!$D$2, IF((AL160+1)=2,Alertas!$B$3,IF((AL160+1)&gt;2,Alertas!$B$4&amp;TEXT(AL160,"0%")&amp;Alertas!$D$4,AL160+1))),"Sin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60" s="54"/>
      <c r="AM160" s="53"/>
      <c r="AN160" s="55"/>
      <c r="AO160" s="56"/>
      <c r="AP160" s="57"/>
      <c r="AQ160" s="57"/>
      <c r="AR160" s="58"/>
      <c r="AS160" s="59"/>
      <c r="AT160" s="60"/>
      <c r="AU160" s="55"/>
      <c r="AV160" s="56"/>
      <c r="AW160" s="61"/>
      <c r="AX160" s="57"/>
      <c r="AY160" s="62"/>
      <c r="AZ160" s="63"/>
      <c r="BA160" s="64"/>
      <c r="BB160" s="65"/>
      <c r="BC160" s="56"/>
      <c r="BD160" s="61"/>
      <c r="BE160" s="57"/>
      <c r="BF160" s="58"/>
      <c r="BG160" s="63"/>
      <c r="BH160" s="64"/>
      <c r="BI160" s="66"/>
      <c r="BM160" s="21"/>
    </row>
    <row r="161" ht="33.75" customHeight="1">
      <c r="A161" s="37"/>
      <c r="B161" s="38">
        <f>IFERROR(__xludf.DUMMYFUNCTION("""COMPUTED_VALUE"""),159.0)</f>
        <v>159</v>
      </c>
      <c r="C161" s="39" t="str">
        <f>IFERROR(__xludf.DUMMYFUNCTION("""COMPUTED_VALUE"""),"Gestión de la inspección y vigilancia")</f>
        <v>Gestión de la inspección y vigilancia</v>
      </c>
      <c r="D161" s="40" t="str">
        <f>IFERROR(__xludf.DUMMYFUNCTION("""COMPUTED_VALUE"""),"Regional Villavicencio")</f>
        <v>Regional Villavicencio</v>
      </c>
      <c r="E161" s="40" t="str">
        <f>IFERROR(__xludf.DUMMYFUNCTION("""COMPUTED_VALUE"""),"Fortalecimiento de la sostenibilidad del sector pesquero y de la acuicultura en el territorio nacional")</f>
        <v>Fortalecimiento de la sostenibilidad del sector pesquero y de la acuicultura en el territorio nacional</v>
      </c>
      <c r="F161" s="40">
        <f>IFERROR(__xludf.DUMMYFUNCTION("""COMPUTED_VALUE"""),2.01901100028E12)</f>
        <v>2019011000280</v>
      </c>
      <c r="G161" s="41" t="str">
        <f>IFERROR(__xludf.DUMMYFUNCTION("""COMPUTED_VALUE"""),"Sostenibilidad")</f>
        <v>Sostenibilidad</v>
      </c>
      <c r="H161" s="40" t="str">
        <f>IFERROR(__xludf.DUMMYFUNCTION("""COMPUTED_VALUE"""),"Mejorar la explotación de los recursos pesqueros y de la acuicultura.")</f>
        <v>Mejorar la explotación de los recursos pesqueros y de la acuicultura.</v>
      </c>
      <c r="I161" s="40" t="str">
        <f>IFERROR(__xludf.DUMMYFUNCTION("""COMPUTED_VALUE"""),"Servicios de administración de los recurso pesqueros y de la acuicultura")</f>
        <v>Servicios de administración de los recurso pesqueros y de la acuicultura</v>
      </c>
      <c r="J161" s="40" t="str">
        <f>IFERROR(__xludf.DUMMYFUNCTION("""COMPUTED_VALUE"""),"Regular el manejo y el ejercicio de la actividad pesquera y de la acuicultura.")</f>
        <v>Regular el manejo y el ejercicio de la actividad pesquera y de la acuicultura.</v>
      </c>
      <c r="K161" s="42" t="str">
        <f>IFERROR(__xludf.DUMMYFUNCTION("""COMPUTED_VALUE"""),"Gestión del área")</f>
        <v>Gestión del área</v>
      </c>
      <c r="L161" s="42" t="str">
        <f>IFERROR(__xludf.DUMMYFUNCTION("""COMPUTED_VALUE"""),"Eficacia")</f>
        <v>Eficacia</v>
      </c>
      <c r="M161" s="42" t="str">
        <f>IFERROR(__xludf.DUMMYFUNCTION("""COMPUTED_VALUE"""),"Número")</f>
        <v>Número</v>
      </c>
      <c r="N161" s="43" t="str">
        <f>IFERROR(__xludf.DUMMYFUNCTION("""COMPUTED_VALUE"""),"No de percadores formalizados")</f>
        <v>No de percadores formalizados</v>
      </c>
      <c r="O161" s="44"/>
      <c r="P161" s="45">
        <f>IFERROR(__xludf.DUMMYFUNCTION("""COMPUTED_VALUE"""),120.0)</f>
        <v>120</v>
      </c>
      <c r="Q161" s="46" t="str">
        <f>IFERROR(__xludf.DUMMYFUNCTION("""COMPUTED_VALUE"""),"Promover la formalización de pescadores mediante la entrega del carnet de pesca deportiva")</f>
        <v>Promover la formalización de pescadores mediante la entrega del carnet de pesca deportiva</v>
      </c>
      <c r="R161" s="47" t="str">
        <f>IFERROR(__xludf.DUMMYFUNCTION("""COMPUTED_VALUE"""),"Trimestral")</f>
        <v>Trimestral</v>
      </c>
      <c r="S161" s="45">
        <f>IFERROR(__xludf.DUMMYFUNCTION("""COMPUTED_VALUE"""),80.0)</f>
        <v>80</v>
      </c>
      <c r="T161" s="45">
        <f>IFERROR(__xludf.DUMMYFUNCTION("""COMPUTED_VALUE"""),0.0)</f>
        <v>0</v>
      </c>
      <c r="U161" s="45">
        <f>IFERROR(__xludf.DUMMYFUNCTION("""COMPUTED_VALUE"""),0.0)</f>
        <v>0</v>
      </c>
      <c r="V161" s="45">
        <f>IFERROR(__xludf.DUMMYFUNCTION("""COMPUTED_VALUE"""),40.0)</f>
        <v>40</v>
      </c>
      <c r="W161" s="48" t="str">
        <f>IFERROR(__xludf.DUMMYFUNCTION("""COMPUTED_VALUE"""),"Regional Villavicencio")</f>
        <v>Regional Villavicencio</v>
      </c>
      <c r="X161" s="49" t="str">
        <f>IFERROR(__xludf.DUMMYFUNCTION("""COMPUTED_VALUE"""),"Maritza Casallas Delgado")</f>
        <v>Maritza Casallas Delgado</v>
      </c>
      <c r="Y161" s="39" t="str">
        <f>IFERROR(__xludf.DUMMYFUNCTION("""COMPUTED_VALUE"""),"Director Regional")</f>
        <v>Director Regional</v>
      </c>
      <c r="Z161" s="49" t="str">
        <f>IFERROR(__xludf.DUMMYFUNCTION("""COMPUTED_VALUE"""),"maritza.casallas@aunap.gov.co")</f>
        <v>maritza.casallas@aunap.gov.co</v>
      </c>
      <c r="AA161" s="39" t="str">
        <f>IFERROR(__xludf.DUMMYFUNCTION("""COMPUTED_VALUE"""),"Humanos, fisicos, financieros y tecnologicos")</f>
        <v>Humanos, fisicos, financieros y tecnologicos</v>
      </c>
      <c r="AB161" s="39" t="str">
        <f>IFERROR(__xludf.DUMMYFUNCTION("""COMPUTED_VALUE"""),"No asociado")</f>
        <v>No asociado</v>
      </c>
      <c r="AC161" s="39" t="str">
        <f>IFERROR(__xludf.DUMMYFUNCTION("""COMPUTED_VALUE"""),"Propiciar la formalización de la pesca y la acuicultura")</f>
        <v>Propiciar la formalización de la pesca y la acuicultura</v>
      </c>
      <c r="AD161" s="39" t="str">
        <f>IFERROR(__xludf.DUMMYFUNCTION("""COMPUTED_VALUE"""),"Gestión con valores para resultados")</f>
        <v>Gestión con valores para resultados</v>
      </c>
      <c r="AE161" s="39" t="str">
        <f>IFERROR(__xludf.DUMMYFUNCTION("""COMPUTED_VALUE"""),"Racionalización de Trámites")</f>
        <v>Racionalización de Trámites</v>
      </c>
      <c r="AF161" s="39" t="str">
        <f>IFERROR(__xludf.DUMMYFUNCTION("""COMPUTED_VALUE"""),"12. Producción y consumo responsable")</f>
        <v>12. Producción y consumo responsable</v>
      </c>
      <c r="AG161" s="76">
        <f>IFERROR(__xludf.DUMMYFUNCTION("""COMPUTED_VALUE"""),187.0)</f>
        <v>187</v>
      </c>
      <c r="AH161" s="51" t="str">
        <f>IFERROR(__xludf.DUMMYFUNCTION("""COMPUTED_VALUE"""),"CUMPLIMIENTO AL 234% DE LOS CARNÉS DE PESCA DEPORTIVA EXPEDIDOS EN LA DRV, DURANTE ENERO, FEBRERO Y MARZO DE 2021")</f>
        <v>CUMPLIMIENTO AL 234% DE LOS CARNÉS DE PESCA DEPORTIVA EXPEDIDOS EN LA DRV, DURANTE ENERO, FEBRERO Y MARZO DE 2021</v>
      </c>
      <c r="AI161" s="77" t="str">
        <f>IFERROR(__xludf.DUMMYFUNCTION("""COMPUTED_VALUE"""),"https://drive.google.com/drive/u/0/folders/1nioNz4GRKVM2IpDstxUxlJ7CvKg7x8K-")</f>
        <v>https://drive.google.com/drive/u/0/folders/1nioNz4GRKVM2IpDstxUxlJ7CvKg7x8K-</v>
      </c>
      <c r="AJ161" s="52">
        <f>IFERROR(__xludf.DUMMYFUNCTION("""COMPUTED_VALUE"""),44298.0)</f>
        <v>44298</v>
      </c>
      <c r="AK161" s="53" t="str">
        <f>IFERROR(IF((AL161+1)&lt;2,Alertas!$B$2&amp;TEXT(AL161,"0%")&amp;Alertas!$D$2, IF((AL161+1)=2,Alertas!$B$3,IF((AL161+1)&gt;2,Alertas!$B$4&amp;TEXT(AL161,"0%")&amp;Alertas!$D$4,AL161+1))),"Sin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61" s="54"/>
      <c r="AM161" s="53"/>
      <c r="AN161" s="55"/>
      <c r="AO161" s="56"/>
      <c r="AP161" s="57"/>
      <c r="AQ161" s="57"/>
      <c r="AR161" s="58"/>
      <c r="AS161" s="59"/>
      <c r="AT161" s="60"/>
      <c r="AU161" s="55"/>
      <c r="AV161" s="56"/>
      <c r="AW161" s="61"/>
      <c r="AX161" s="57"/>
      <c r="AY161" s="62"/>
      <c r="AZ161" s="63"/>
      <c r="BA161" s="64"/>
      <c r="BB161" s="65"/>
      <c r="BC161" s="56"/>
      <c r="BD161" s="61"/>
      <c r="BE161" s="57"/>
      <c r="BF161" s="58"/>
      <c r="BG161" s="63"/>
      <c r="BH161" s="64"/>
      <c r="BI161" s="66"/>
      <c r="BM161" s="21"/>
    </row>
    <row r="162" ht="33.75" customHeight="1">
      <c r="A162" s="37"/>
      <c r="B162" s="38">
        <f>IFERROR(__xludf.DUMMYFUNCTION("""COMPUTED_VALUE"""),160.0)</f>
        <v>160</v>
      </c>
      <c r="C162" s="39" t="str">
        <f>IFERROR(__xludf.DUMMYFUNCTION("""COMPUTED_VALUE"""),"Gestión de la inspección y vigilancia")</f>
        <v>Gestión de la inspección y vigilancia</v>
      </c>
      <c r="D162" s="40" t="str">
        <f>IFERROR(__xludf.DUMMYFUNCTION("""COMPUTED_VALUE"""),"Regional Villavicencio")</f>
        <v>Regional Villavicencio</v>
      </c>
      <c r="E162" s="40" t="str">
        <f>IFERROR(__xludf.DUMMYFUNCTION("""COMPUTED_VALUE"""),"Fortalecimiento de la sostenibilidad del sector pesquero y de la acuicultura en el territorio nacional")</f>
        <v>Fortalecimiento de la sostenibilidad del sector pesquero y de la acuicultura en el territorio nacional</v>
      </c>
      <c r="F162" s="40">
        <f>IFERROR(__xludf.DUMMYFUNCTION("""COMPUTED_VALUE"""),2.01901100028E12)</f>
        <v>2019011000280</v>
      </c>
      <c r="G162" s="41" t="str">
        <f>IFERROR(__xludf.DUMMYFUNCTION("""COMPUTED_VALUE"""),"Sostenibilidad")</f>
        <v>Sostenibilidad</v>
      </c>
      <c r="H162" s="40" t="str">
        <f>IFERROR(__xludf.DUMMYFUNCTION("""COMPUTED_VALUE"""),"Mejorar la explotación de los recursos pesqueros y de la acuicultura.")</f>
        <v>Mejorar la explotación de los recursos pesqueros y de la acuicultura.</v>
      </c>
      <c r="I162" s="40" t="str">
        <f>IFERROR(__xludf.DUMMYFUNCTION("""COMPUTED_VALUE"""),"Servicios de administración de los recurso pesqueros y de la acuicultura")</f>
        <v>Servicios de administración de los recurso pesqueros y de la acuicultura</v>
      </c>
      <c r="J162" s="40" t="str">
        <f>IFERROR(__xludf.DUMMYFUNCTION("""COMPUTED_VALUE"""),"Regular el manejo y el ejercicio de la actividad pesquera y de la acuicultura.")</f>
        <v>Regular el manejo y el ejercicio de la actividad pesquera y de la acuicultura.</v>
      </c>
      <c r="K162" s="42" t="str">
        <f>IFERROR(__xludf.DUMMYFUNCTION("""COMPUTED_VALUE"""),"Gestión del área")</f>
        <v>Gestión del área</v>
      </c>
      <c r="L162" s="42" t="str">
        <f>IFERROR(__xludf.DUMMYFUNCTION("""COMPUTED_VALUE"""),"Eficacia")</f>
        <v>Eficacia</v>
      </c>
      <c r="M162" s="42" t="str">
        <f>IFERROR(__xludf.DUMMYFUNCTION("""COMPUTED_VALUE"""),"Número")</f>
        <v>Número</v>
      </c>
      <c r="N162" s="43" t="str">
        <f>IFERROR(__xludf.DUMMYFUNCTION("""COMPUTED_VALUE"""),"No. depersonas  con beneficio de inclusion productiva")</f>
        <v>No. depersonas  con beneficio de inclusion productiva</v>
      </c>
      <c r="O162" s="44"/>
      <c r="P162" s="45">
        <f>IFERROR(__xludf.DUMMYFUNCTION("""COMPUTED_VALUE"""),1500.0)</f>
        <v>1500</v>
      </c>
      <c r="Q162" s="46" t="str">
        <f>IFERROR(__xludf.DUMMYFUNCTION("""COMPUTED_VALUE"""),"Beneficiarios con estrategias de inclusión productiva")</f>
        <v>Beneficiarios con estrategias de inclusión productiva</v>
      </c>
      <c r="R162" s="47" t="str">
        <f>IFERROR(__xludf.DUMMYFUNCTION("""COMPUTED_VALUE"""),"Trimestral")</f>
        <v>Trimestral</v>
      </c>
      <c r="S162" s="45">
        <f>IFERROR(__xludf.DUMMYFUNCTION("""COMPUTED_VALUE"""),1500.0)</f>
        <v>1500</v>
      </c>
      <c r="T162" s="45">
        <f>IFERROR(__xludf.DUMMYFUNCTION("""COMPUTED_VALUE"""),0.0)</f>
        <v>0</v>
      </c>
      <c r="U162" s="45">
        <f>IFERROR(__xludf.DUMMYFUNCTION("""COMPUTED_VALUE"""),0.0)</f>
        <v>0</v>
      </c>
      <c r="V162" s="45">
        <f>IFERROR(__xludf.DUMMYFUNCTION("""COMPUTED_VALUE"""),0.0)</f>
        <v>0</v>
      </c>
      <c r="W162" s="48" t="str">
        <f>IFERROR(__xludf.DUMMYFUNCTION("""COMPUTED_VALUE"""),"Regional Villavicencio")</f>
        <v>Regional Villavicencio</v>
      </c>
      <c r="X162" s="49" t="str">
        <f>IFERROR(__xludf.DUMMYFUNCTION("""COMPUTED_VALUE"""),"Maritza Casallas Delgado")</f>
        <v>Maritza Casallas Delgado</v>
      </c>
      <c r="Y162" s="39" t="str">
        <f>IFERROR(__xludf.DUMMYFUNCTION("""COMPUTED_VALUE"""),"Director Regional")</f>
        <v>Director Regional</v>
      </c>
      <c r="Z162" s="49" t="str">
        <f>IFERROR(__xludf.DUMMYFUNCTION("""COMPUTED_VALUE"""),"maritza.casallas@aunap.gov.co")</f>
        <v>maritza.casallas@aunap.gov.co</v>
      </c>
      <c r="AA162" s="39" t="str">
        <f>IFERROR(__xludf.DUMMYFUNCTION("""COMPUTED_VALUE"""),"Humanos, fisicos, financieros y tecnologicos")</f>
        <v>Humanos, fisicos, financieros y tecnologicos</v>
      </c>
      <c r="AB162" s="39" t="str">
        <f>IFERROR(__xludf.DUMMYFUNCTION("""COMPUTED_VALUE"""),"No asociado")</f>
        <v>No asociado</v>
      </c>
      <c r="AC162" s="39" t="str">
        <f>IFERROR(__xludf.DUMMYFUNCTION("""COMPUTED_VALUE"""),"Propiciar la formalización de la pesca y la acuicultura")</f>
        <v>Propiciar la formalización de la pesca y la acuicultura</v>
      </c>
      <c r="AD162" s="39" t="str">
        <f>IFERROR(__xludf.DUMMYFUNCTION("""COMPUTED_VALUE"""),"Gestión con valores para resultados")</f>
        <v>Gestión con valores para resultados</v>
      </c>
      <c r="AE162" s="39" t="str">
        <f>IFERROR(__xludf.DUMMYFUNCTION("""COMPUTED_VALUE"""),"Racionalización de Trámites")</f>
        <v>Racionalización de Trámites</v>
      </c>
      <c r="AF162" s="39" t="str">
        <f>IFERROR(__xludf.DUMMYFUNCTION("""COMPUTED_VALUE"""),"12. Producción y consumo responsable")</f>
        <v>12. Producción y consumo responsable</v>
      </c>
      <c r="AG162" s="76">
        <f>IFERROR(__xludf.DUMMYFUNCTION("""COMPUTED_VALUE"""),1667.0)</f>
        <v>1667</v>
      </c>
      <c r="AH162" s="51" t="str">
        <f>IFERROR(__xludf.DUMMYFUNCTION("""COMPUTED_VALUE"""),"CUMPLIMIENTO AL 111% DE LOS BENEFICIARIOS DE CONTRATOS DE COSECHE Y VENDA A LA FIJA EN LA DRV, DURANTE ENERO, FEBRERO Y MARZO DE 2021")</f>
        <v>CUMPLIMIENTO AL 111% DE LOS BENEFICIARIOS DE CONTRATOS DE COSECHE Y VENDA A LA FIJA EN LA DRV, DURANTE ENERO, FEBRERO Y MARZO DE 2021</v>
      </c>
      <c r="AI162" s="77" t="str">
        <f>IFERROR(__xludf.DUMMYFUNCTION("""COMPUTED_VALUE"""),"https://docs.google.com/spreadsheets/d/1IEbYLd9xm15Dfd4332eSqZ2sHrnPohAc/edit#gid=208422635")</f>
        <v>https://docs.google.com/spreadsheets/d/1IEbYLd9xm15Dfd4332eSqZ2sHrnPohAc/edit#gid=208422635</v>
      </c>
      <c r="AJ162" s="52">
        <f>IFERROR(__xludf.DUMMYFUNCTION("""COMPUTED_VALUE"""),44298.0)</f>
        <v>44298</v>
      </c>
      <c r="AK162" s="53" t="str">
        <f>IFERROR(IF((AL162+1)&lt;2,Alertas!$B$2&amp;TEXT(AL162,"0%")&amp;Alertas!$D$2, IF((AL162+1)=2,Alertas!$B$3,IF((AL162+1)&gt;2,Alertas!$B$4&amp;TEXT(AL162,"0%")&amp;Alertas!$D$4,AL162+1))),"Sin meta para el cuarto trimestre")</f>
        <v>La ejecución de la meta registrada se encuentra por debajo de la meta programada en la formulación del plan de acción para el cuarto trimestre, su porcentaje de cumplimiento es 0%, lo cual indica un incumplimiento que puede ser entendido por los entes de control como falencias en el proceso de planeación. se recomienda tomar este antecedente como insumo para disminuir la meta en la próxima vigencia</v>
      </c>
      <c r="AL162" s="54"/>
      <c r="AM162" s="53"/>
      <c r="AN162" s="55"/>
      <c r="AO162" s="56"/>
      <c r="AP162" s="57"/>
      <c r="AQ162" s="57"/>
      <c r="AR162" s="58"/>
      <c r="AS162" s="59"/>
      <c r="AT162" s="60"/>
      <c r="AU162" s="55"/>
      <c r="AV162" s="56"/>
      <c r="AW162" s="61"/>
      <c r="AX162" s="57"/>
      <c r="AY162" s="62"/>
      <c r="AZ162" s="63"/>
      <c r="BA162" s="64"/>
      <c r="BB162" s="65"/>
      <c r="BC162" s="56"/>
      <c r="BD162" s="61"/>
      <c r="BE162" s="57"/>
      <c r="BF162" s="58"/>
      <c r="BG162" s="63"/>
      <c r="BH162" s="64"/>
      <c r="BI162" s="66"/>
      <c r="BM162" s="21"/>
    </row>
    <row r="163" ht="15.75" customHeight="1"/>
  </sheetData>
  <autoFilter ref="$A$2:$BI$162"/>
  <mergeCells count="5">
    <mergeCell ref="AG1:AN1"/>
    <mergeCell ref="AO1:AU1"/>
    <mergeCell ref="AV1:BB1"/>
    <mergeCell ref="BC1:BI1"/>
    <mergeCell ref="BM1:BR1"/>
  </mergeCells>
  <conditionalFormatting sqref="AS3:AS162 AZ3:AZ162 BG3:BG162">
    <cfRule type="expression" dxfId="0" priority="1">
      <formula>AQ3:AQ50&lt;&gt;0</formula>
    </cfRule>
  </conditionalFormatting>
  <conditionalFormatting sqref="AS3:AS162 AZ3:AZ162 BG3:BG162">
    <cfRule type="cellIs" dxfId="1" priority="2" operator="lessThan">
      <formula>0</formula>
    </cfRule>
  </conditionalFormatting>
  <conditionalFormatting sqref="BD3:BE162">
    <cfRule type="notContainsBlanks" dxfId="2" priority="3">
      <formula>LEN(TRIM(BD3))&gt;0</formula>
    </cfRule>
  </conditionalFormatting>
  <conditionalFormatting sqref="AS3:AS162 AZ3:AZ162 BG3:BG162">
    <cfRule type="cellIs" dxfId="2" priority="4" operator="greaterThan">
      <formula>0</formula>
    </cfRule>
  </conditionalFormatting>
  <conditionalFormatting sqref="AS3:AS162">
    <cfRule type="notContainsBlanks" dxfId="2" priority="5">
      <formula>LEN(TRIM(AS3))&gt;0</formula>
    </cfRule>
  </conditionalFormatting>
  <conditionalFormatting sqref="AL3:AL162">
    <cfRule type="colorScale" priority="6">
      <colorScale>
        <cfvo type="percent" val="0%"/>
        <cfvo type="percent" val="100%"/>
        <cfvo type="percent" val="105%"/>
        <color rgb="FFDD7E6B"/>
        <color rgb="FF57BB8A"/>
        <color rgb="FFDD7E6B"/>
      </colorScale>
    </cfRule>
  </conditionalFormatting>
  <conditionalFormatting sqref="BQ3:BQ24">
    <cfRule type="colorScale" priority="7">
      <colorScale>
        <cfvo type="min"/>
        <cfvo type="formula" val="1"/>
        <cfvo type="formula" val="140%"/>
        <color rgb="FFEA4335"/>
        <color rgb="FF57BB8A"/>
        <color rgb="FFEA4335"/>
      </colorScale>
    </cfRule>
  </conditionalFormatting>
  <hyperlinks>
    <hyperlink r:id="rId2" ref="AI4"/>
    <hyperlink r:id="rId3" ref="AI5"/>
    <hyperlink r:id="rId4" ref="AI9"/>
    <hyperlink r:id="rId5" ref="AI10"/>
    <hyperlink r:id="rId6" ref="AI12"/>
    <hyperlink r:id="rId7" ref="AI14"/>
    <hyperlink r:id="rId8" ref="AI32"/>
    <hyperlink r:id="rId9" ref="AI38"/>
    <hyperlink r:id="rId10" ref="AI39"/>
    <hyperlink r:id="rId11" ref="AI41"/>
    <hyperlink r:id="rId12" ref="AI44"/>
    <hyperlink r:id="rId13" ref="AI45"/>
    <hyperlink r:id="rId14" ref="AI46"/>
    <hyperlink r:id="rId15" ref="AI48"/>
    <hyperlink r:id="rId16" ref="AI49"/>
    <hyperlink r:id="rId17" ref="AI53"/>
    <hyperlink r:id="rId18" ref="AI54"/>
    <hyperlink r:id="rId19" ref="AI55"/>
    <hyperlink r:id="rId20" ref="AI56"/>
    <hyperlink r:id="rId21" ref="AI57"/>
    <hyperlink r:id="rId22" ref="AI58"/>
    <hyperlink r:id="rId23" ref="AI59"/>
    <hyperlink r:id="rId24" ref="AI60"/>
    <hyperlink r:id="rId25" ref="AI61"/>
    <hyperlink r:id="rId26" ref="AI62"/>
    <hyperlink r:id="rId27" ref="AI65"/>
    <hyperlink r:id="rId28" ref="AI68"/>
    <hyperlink r:id="rId29" ref="AI75"/>
    <hyperlink r:id="rId30" ref="AI76"/>
    <hyperlink r:id="rId31" location="gid=1942166271" ref="AI77"/>
    <hyperlink r:id="rId32" ref="AI87"/>
    <hyperlink r:id="rId33" ref="AI92"/>
    <hyperlink r:id="rId34" ref="AI93"/>
    <hyperlink r:id="rId35" ref="AI94"/>
    <hyperlink r:id="rId36" ref="AI95"/>
    <hyperlink r:id="rId37" ref="AI96"/>
    <hyperlink r:id="rId38" ref="AI97"/>
    <hyperlink r:id="rId39" ref="AI100"/>
    <hyperlink r:id="rId40" ref="AI101"/>
    <hyperlink r:id="rId41" ref="AI102"/>
    <hyperlink r:id="rId42" ref="AI104"/>
    <hyperlink r:id="rId43" ref="AI109"/>
    <hyperlink r:id="rId44" ref="AI112"/>
    <hyperlink r:id="rId45" ref="AI113"/>
    <hyperlink r:id="rId46" ref="AI114"/>
    <hyperlink r:id="rId47" ref="AI115"/>
    <hyperlink r:id="rId48" ref="AI116"/>
    <hyperlink r:id="rId49" ref="AI117"/>
    <hyperlink r:id="rId50" ref="AI118"/>
    <hyperlink r:id="rId51" ref="AI119"/>
    <hyperlink r:id="rId52" ref="AI120"/>
    <hyperlink r:id="rId53" ref="AI121"/>
    <hyperlink r:id="rId54" ref="AI122"/>
    <hyperlink r:id="rId55" ref="AI123"/>
    <hyperlink r:id="rId56" ref="AI124"/>
    <hyperlink r:id="rId57" ref="AI125"/>
    <hyperlink r:id="rId58" ref="AI126"/>
    <hyperlink r:id="rId59" ref="AI127"/>
    <hyperlink r:id="rId60" ref="AI133"/>
    <hyperlink r:id="rId61" ref="AI134"/>
    <hyperlink r:id="rId62" ref="AI135"/>
    <hyperlink r:id="rId63" ref="AI136"/>
    <hyperlink r:id="rId64" ref="AI137"/>
    <hyperlink r:id="rId65" ref="AI139"/>
    <hyperlink r:id="rId66" ref="AI140"/>
    <hyperlink r:id="rId67" ref="AI141"/>
    <hyperlink r:id="rId68" ref="AI142"/>
    <hyperlink r:id="rId69" ref="AI144"/>
    <hyperlink r:id="rId70" ref="AI145"/>
    <hyperlink r:id="rId71" ref="AI146"/>
    <hyperlink r:id="rId72" ref="AI147"/>
    <hyperlink r:id="rId73" ref="AI148"/>
    <hyperlink r:id="rId74" ref="AI149"/>
    <hyperlink r:id="rId75" ref="AI150"/>
    <hyperlink r:id="rId76" ref="AI151"/>
    <hyperlink r:id="rId77" ref="AI152"/>
    <hyperlink r:id="rId78" ref="AI153"/>
    <hyperlink r:id="rId79" ref="AI154"/>
    <hyperlink r:id="rId80" location="gid=1957705063" ref="AI155"/>
    <hyperlink r:id="rId81" ref="AI156"/>
    <hyperlink r:id="rId82" ref="AI157"/>
    <hyperlink r:id="rId83" ref="AI158"/>
    <hyperlink r:id="rId84" ref="AI159"/>
    <hyperlink r:id="rId85" ref="AI160"/>
    <hyperlink r:id="rId86" ref="AI161"/>
    <hyperlink r:id="rId87" location="gid=208422635" ref="AI162"/>
  </hyperlinks>
  <printOptions gridLines="1" horizontalCentered="1"/>
  <pageMargins bottom="0.75" footer="0.0" header="0.0" left="0.7" right="0.7" top="0.75"/>
  <pageSetup fitToHeight="0" paperSize="9" cellComments="atEnd" orientation="portrait" pageOrder="overThenDown"/>
  <drawing r:id="rId88"/>
  <legacyDrawing r:id="rId89"/>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2.63"/>
    <col customWidth="1" min="2" max="2" width="35.5"/>
    <col customWidth="1" min="3" max="6" width="12.63"/>
    <col customWidth="1" min="7" max="7" width="16.63"/>
  </cols>
  <sheetData>
    <row r="1" ht="15.0" customHeight="1">
      <c r="B1" s="21"/>
      <c r="C1" s="21"/>
      <c r="D1" s="21"/>
      <c r="E1" s="21"/>
      <c r="F1" s="21"/>
      <c r="G1" s="21"/>
    </row>
    <row r="2" ht="30.0" customHeight="1">
      <c r="B2" s="22" t="s">
        <v>32</v>
      </c>
    </row>
    <row r="3" ht="37.5" customHeight="1">
      <c r="B3" s="33" t="s">
        <v>74</v>
      </c>
      <c r="C3" s="34" t="s">
        <v>75</v>
      </c>
      <c r="D3" s="34" t="s">
        <v>76</v>
      </c>
      <c r="E3" s="34" t="s">
        <v>77</v>
      </c>
      <c r="F3" s="34" t="s">
        <v>78</v>
      </c>
      <c r="G3" s="34" t="s">
        <v>79</v>
      </c>
    </row>
    <row r="4" ht="30.0" customHeight="1">
      <c r="B4" s="80" t="s">
        <v>84</v>
      </c>
      <c r="C4" s="68">
        <f>Consolidado!BN3</f>
        <v>3</v>
      </c>
      <c r="D4" s="69">
        <f>Consolidado!BO3</f>
        <v>3</v>
      </c>
      <c r="E4" s="69">
        <f>Consolidado!BP3</f>
        <v>3</v>
      </c>
      <c r="F4" s="70">
        <f>Consolidado!BQ3</f>
        <v>0.06666666667</v>
      </c>
      <c r="G4" s="69" t="str">
        <f>Consolidado!BR3</f>
        <v>Baja Ejecución</v>
      </c>
    </row>
    <row r="5" ht="30.0" customHeight="1">
      <c r="B5" s="80" t="s">
        <v>86</v>
      </c>
      <c r="C5" s="73">
        <f>Consolidado!BN4</f>
        <v>7</v>
      </c>
      <c r="D5" s="47">
        <f>Consolidado!BO4</f>
        <v>6</v>
      </c>
      <c r="E5" s="69">
        <f>Consolidado!BP4</f>
        <v>3</v>
      </c>
      <c r="F5" s="70">
        <f>Consolidado!BQ4</f>
        <v>0.3777777778</v>
      </c>
      <c r="G5" s="69" t="str">
        <f>Consolidado!BR4</f>
        <v>Baja Ejecución</v>
      </c>
    </row>
    <row r="6" ht="30.0" customHeight="1">
      <c r="B6" s="80" t="s">
        <v>85</v>
      </c>
      <c r="C6" s="73">
        <f>Consolidado!BN5</f>
        <v>3</v>
      </c>
      <c r="D6" s="47">
        <f>Consolidado!BO5</f>
        <v>2</v>
      </c>
      <c r="E6" s="69">
        <f>Consolidado!BP5</f>
        <v>0</v>
      </c>
      <c r="F6" s="70">
        <f>Consolidado!BQ5</f>
        <v>0</v>
      </c>
      <c r="G6" s="69" t="str">
        <f>Consolidado!BR5</f>
        <v>Baja Ejecución</v>
      </c>
    </row>
    <row r="7" ht="30.0" customHeight="1">
      <c r="B7" s="80" t="s">
        <v>87</v>
      </c>
      <c r="C7" s="73">
        <f>Consolidado!BN6</f>
        <v>7</v>
      </c>
      <c r="D7" s="47">
        <f>Consolidado!BO6</f>
        <v>7</v>
      </c>
      <c r="E7" s="69">
        <f>Consolidado!BP6</f>
        <v>7</v>
      </c>
      <c r="F7" s="70">
        <f>Consolidado!BQ6</f>
        <v>0.9935714286</v>
      </c>
      <c r="G7" s="69" t="str">
        <f>Consolidado!BR6</f>
        <v>Cumplimiento Adecuado</v>
      </c>
    </row>
    <row r="8" ht="30.0" customHeight="1">
      <c r="B8" s="80" t="s">
        <v>88</v>
      </c>
      <c r="C8" s="73">
        <f>Consolidado!BN7</f>
        <v>1</v>
      </c>
      <c r="D8" s="47">
        <f>Consolidado!BO7</f>
        <v>1</v>
      </c>
      <c r="E8" s="69">
        <f>Consolidado!BP7</f>
        <v>0</v>
      </c>
      <c r="F8" s="70">
        <f>Consolidado!BQ7</f>
        <v>0</v>
      </c>
      <c r="G8" s="69" t="str">
        <f>Consolidado!BR7</f>
        <v>Baja Ejecución</v>
      </c>
    </row>
    <row r="9" ht="30.0" customHeight="1">
      <c r="B9" s="80" t="s">
        <v>89</v>
      </c>
      <c r="C9" s="73">
        <f>Consolidado!BN8</f>
        <v>13</v>
      </c>
      <c r="D9" s="47">
        <f>Consolidado!BO8</f>
        <v>13</v>
      </c>
      <c r="E9" s="69">
        <f>Consolidado!BP8</f>
        <v>1</v>
      </c>
      <c r="F9" s="70" t="str">
        <f>Consolidado!BQ8</f>
        <v>-</v>
      </c>
      <c r="G9" s="69" t="str">
        <f>Consolidado!BR8</f>
        <v>-</v>
      </c>
    </row>
    <row r="10" ht="30.0" customHeight="1">
      <c r="B10" s="80" t="s">
        <v>90</v>
      </c>
      <c r="C10" s="73">
        <f>Consolidado!BN9</f>
        <v>3</v>
      </c>
      <c r="D10" s="47">
        <f>Consolidado!BO9</f>
        <v>3</v>
      </c>
      <c r="E10" s="69">
        <f>Consolidado!BP9</f>
        <v>2</v>
      </c>
      <c r="F10" s="70">
        <f>Consolidado!BQ9</f>
        <v>0.5555555556</v>
      </c>
      <c r="G10" s="69" t="str">
        <f>Consolidado!BR9</f>
        <v>Baja Ejecución</v>
      </c>
    </row>
    <row r="11" ht="30.0" customHeight="1">
      <c r="B11" s="80" t="s">
        <v>91</v>
      </c>
      <c r="C11" s="73">
        <f>Consolidado!BN10</f>
        <v>7</v>
      </c>
      <c r="D11" s="47">
        <f>Consolidado!BO10</f>
        <v>6</v>
      </c>
      <c r="E11" s="69">
        <f>Consolidado!BP10</f>
        <v>4</v>
      </c>
      <c r="F11" s="70">
        <f>Consolidado!BQ10</f>
        <v>0.514739229</v>
      </c>
      <c r="G11" s="69" t="str">
        <f>Consolidado!BR10</f>
        <v>Baja Ejecución</v>
      </c>
    </row>
    <row r="12" ht="30.0" customHeight="1">
      <c r="B12" s="80" t="s">
        <v>92</v>
      </c>
      <c r="C12" s="73">
        <f>Consolidado!BN11</f>
        <v>3</v>
      </c>
      <c r="D12" s="47">
        <f>Consolidado!BO11</f>
        <v>3</v>
      </c>
      <c r="E12" s="69">
        <f>Consolidado!BP11</f>
        <v>2</v>
      </c>
      <c r="F12" s="70">
        <f>Consolidado!BQ11</f>
        <v>0.6666666667</v>
      </c>
      <c r="G12" s="69" t="str">
        <f>Consolidado!BR11</f>
        <v>Baja Ejecución</v>
      </c>
    </row>
    <row r="13" ht="30.0" customHeight="1">
      <c r="B13" s="80" t="s">
        <v>93</v>
      </c>
      <c r="C13" s="73">
        <f>Consolidado!BN12</f>
        <v>3</v>
      </c>
      <c r="D13" s="47">
        <f>Consolidado!BO12</f>
        <v>3</v>
      </c>
      <c r="E13" s="69">
        <f>Consolidado!BP12</f>
        <v>1</v>
      </c>
      <c r="F13" s="70" t="str">
        <f>Consolidado!BQ12</f>
        <v>-</v>
      </c>
      <c r="G13" s="69" t="str">
        <f>Consolidado!BR12</f>
        <v>-</v>
      </c>
    </row>
    <row r="14" ht="30.0" customHeight="1">
      <c r="B14" s="80" t="s">
        <v>94</v>
      </c>
      <c r="C14" s="73">
        <f>Consolidado!BN13</f>
        <v>10</v>
      </c>
      <c r="D14" s="47">
        <f>Consolidado!BO13</f>
        <v>10</v>
      </c>
      <c r="E14" s="69">
        <f>Consolidado!BP13</f>
        <v>10</v>
      </c>
      <c r="F14" s="70">
        <f>Consolidado!BQ13</f>
        <v>1</v>
      </c>
      <c r="G14" s="69" t="str">
        <f>Consolidado!BR13</f>
        <v>Cumplimiento Adecuado</v>
      </c>
    </row>
    <row r="15" ht="30.0" customHeight="1">
      <c r="B15" s="80" t="s">
        <v>95</v>
      </c>
      <c r="C15" s="73">
        <f>Consolidado!BN14</f>
        <v>12</v>
      </c>
      <c r="D15" s="47">
        <f>Consolidado!BO14</f>
        <v>12</v>
      </c>
      <c r="E15" s="69">
        <f>Consolidado!BP14</f>
        <v>2</v>
      </c>
      <c r="F15" s="70">
        <f>Consolidado!BQ14</f>
        <v>0.1666666667</v>
      </c>
      <c r="G15" s="69" t="str">
        <f>Consolidado!BR14</f>
        <v>Baja Ejecución</v>
      </c>
    </row>
    <row r="16" ht="30.0" customHeight="1">
      <c r="B16" s="80" t="s">
        <v>96</v>
      </c>
      <c r="C16" s="73">
        <f>Consolidado!BN15</f>
        <v>8</v>
      </c>
      <c r="D16" s="47">
        <f>Consolidado!BO15</f>
        <v>6</v>
      </c>
      <c r="E16" s="69">
        <f>Consolidado!BP15</f>
        <v>3</v>
      </c>
      <c r="F16" s="70">
        <f>Consolidado!BQ15</f>
        <v>0.625</v>
      </c>
      <c r="G16" s="69" t="str">
        <f>Consolidado!BR15</f>
        <v>Baja Ejecución</v>
      </c>
    </row>
    <row r="17" ht="30.0" customHeight="1">
      <c r="B17" s="80" t="s">
        <v>97</v>
      </c>
      <c r="C17" s="73">
        <f>Consolidado!BN16</f>
        <v>5</v>
      </c>
      <c r="D17" s="47">
        <f>Consolidado!BO16</f>
        <v>3</v>
      </c>
      <c r="E17" s="69">
        <f>Consolidado!BP16</f>
        <v>1</v>
      </c>
      <c r="F17" s="70">
        <f>Consolidado!BQ16</f>
        <v>0.5</v>
      </c>
      <c r="G17" s="69" t="str">
        <f>Consolidado!BR16</f>
        <v>Baja Ejecución</v>
      </c>
    </row>
    <row r="18" ht="30.0" customHeight="1">
      <c r="B18" s="80" t="s">
        <v>98</v>
      </c>
      <c r="C18" s="73">
        <f>Consolidado!BN17</f>
        <v>4</v>
      </c>
      <c r="D18" s="47">
        <f>Consolidado!BO17</f>
        <v>4</v>
      </c>
      <c r="E18" s="69">
        <f>Consolidado!BP17</f>
        <v>4</v>
      </c>
      <c r="F18" s="70">
        <f>Consolidado!BQ17</f>
        <v>0.3</v>
      </c>
      <c r="G18" s="69" t="str">
        <f>Consolidado!BR17</f>
        <v>Baja Ejecución</v>
      </c>
    </row>
    <row r="19" ht="30.0" customHeight="1">
      <c r="B19" s="80" t="s">
        <v>99</v>
      </c>
      <c r="C19" s="73">
        <f>Consolidado!BN18</f>
        <v>8</v>
      </c>
      <c r="D19" s="47">
        <f>Consolidado!BO18</f>
        <v>7</v>
      </c>
      <c r="E19" s="69">
        <f>Consolidado!BP18</f>
        <v>6</v>
      </c>
      <c r="F19" s="70">
        <f>Consolidado!BQ18</f>
        <v>0.845627001</v>
      </c>
      <c r="G19" s="69" t="str">
        <f>Consolidado!BR18</f>
        <v>Baja Ejecución</v>
      </c>
    </row>
    <row r="20" ht="30.0" customHeight="1">
      <c r="B20" s="80" t="s">
        <v>100</v>
      </c>
      <c r="C20" s="73">
        <f>Consolidado!BN19</f>
        <v>17</v>
      </c>
      <c r="D20" s="47">
        <f>Consolidado!BO19</f>
        <v>15</v>
      </c>
      <c r="E20" s="69">
        <f>Consolidado!BP19</f>
        <v>10</v>
      </c>
      <c r="F20" s="70">
        <f>Consolidado!BQ19</f>
        <v>581435.8543</v>
      </c>
      <c r="G20" s="69" t="str">
        <f>Consolidado!BR19</f>
        <v>Sobre Ejecución</v>
      </c>
    </row>
    <row r="21" ht="30.0" customHeight="1">
      <c r="B21" s="80" t="s">
        <v>101</v>
      </c>
      <c r="C21" s="73">
        <f>Consolidado!BN20</f>
        <v>10</v>
      </c>
      <c r="D21" s="47">
        <f>Consolidado!BO20</f>
        <v>10</v>
      </c>
      <c r="E21" s="69">
        <f>Consolidado!BP20</f>
        <v>5</v>
      </c>
      <c r="F21" s="70">
        <f>Consolidado!BQ20</f>
        <v>0.174145769</v>
      </c>
      <c r="G21" s="69" t="str">
        <f>Consolidado!BR20</f>
        <v>Baja Ejecución</v>
      </c>
    </row>
    <row r="22" ht="30.0" customHeight="1">
      <c r="B22" s="80" t="s">
        <v>102</v>
      </c>
      <c r="C22" s="73">
        <f>Consolidado!BN21</f>
        <v>12</v>
      </c>
      <c r="D22" s="47">
        <f>Consolidado!BO21</f>
        <v>12</v>
      </c>
      <c r="E22" s="69">
        <f>Consolidado!BP21</f>
        <v>7</v>
      </c>
      <c r="F22" s="70">
        <f>Consolidado!BQ21</f>
        <v>0.4693311966</v>
      </c>
      <c r="G22" s="69" t="str">
        <f>Consolidado!BR21</f>
        <v>Baja Ejecución</v>
      </c>
    </row>
    <row r="23" ht="30.0" customHeight="1">
      <c r="B23" s="80" t="s">
        <v>103</v>
      </c>
      <c r="C23" s="73">
        <f>Consolidado!BN22</f>
        <v>6</v>
      </c>
      <c r="D23" s="47">
        <f>Consolidado!BO22</f>
        <v>6</v>
      </c>
      <c r="E23" s="69">
        <f>Consolidado!BP22</f>
        <v>6</v>
      </c>
      <c r="F23" s="70">
        <f>Consolidado!BQ22</f>
        <v>0.9836752137</v>
      </c>
      <c r="G23" s="69" t="str">
        <f>Consolidado!BR22</f>
        <v>Cumplimiento Adecuado</v>
      </c>
    </row>
    <row r="24" ht="30.0" customHeight="1">
      <c r="B24" s="80" t="s">
        <v>104</v>
      </c>
      <c r="C24" s="73">
        <f>Consolidado!BN23</f>
        <v>10</v>
      </c>
      <c r="D24" s="47">
        <f>Consolidado!BO23</f>
        <v>10</v>
      </c>
      <c r="E24" s="69">
        <f>Consolidado!BP23</f>
        <v>10</v>
      </c>
      <c r="F24" s="70">
        <f>Consolidado!BQ23</f>
        <v>0.6493335599</v>
      </c>
      <c r="G24" s="69" t="str">
        <f>Consolidado!BR23</f>
        <v>Baja Ejecución</v>
      </c>
    </row>
    <row r="25" ht="30.0" customHeight="1">
      <c r="B25" s="80" t="s">
        <v>105</v>
      </c>
      <c r="C25" s="73">
        <f>Consolidado!BN24</f>
        <v>8</v>
      </c>
      <c r="D25" s="47">
        <f>Consolidado!BO24</f>
        <v>6</v>
      </c>
      <c r="E25" s="69">
        <f>Consolidado!BP24</f>
        <v>8</v>
      </c>
      <c r="F25" s="70">
        <f>Consolidado!BQ24</f>
        <v>2.993978495</v>
      </c>
      <c r="G25" s="69" t="str">
        <f>Consolidado!BR24</f>
        <v>Sobre Ejecución</v>
      </c>
    </row>
    <row r="26" ht="15.0"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2:G2"/>
  </mergeCells>
  <conditionalFormatting sqref="F4:F25">
    <cfRule type="colorScale" priority="1">
      <colorScale>
        <cfvo type="min"/>
        <cfvo type="formula" val="1"/>
        <cfvo type="formula" val="140%"/>
        <color rgb="FFEA4335"/>
        <color rgb="FF57BB8A"/>
        <color rgb="FFEA4335"/>
      </colorScale>
    </cfRule>
  </conditionalFormatting>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93"/>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1.0</v>
      </c>
      <c r="C4" s="100" t="s">
        <v>111</v>
      </c>
      <c r="D4" s="100" t="s">
        <v>1</v>
      </c>
      <c r="E4" s="100" t="s">
        <v>112</v>
      </c>
      <c r="F4" s="100">
        <v>2.01801E12</v>
      </c>
      <c r="G4" s="101" t="s">
        <v>113</v>
      </c>
      <c r="H4" s="100" t="s">
        <v>114</v>
      </c>
      <c r="I4" s="100" t="s">
        <v>115</v>
      </c>
      <c r="J4" s="100" t="s">
        <v>116</v>
      </c>
      <c r="K4" s="102" t="s">
        <v>117</v>
      </c>
      <c r="L4" s="102" t="s">
        <v>118</v>
      </c>
      <c r="M4" s="102" t="s">
        <v>119</v>
      </c>
      <c r="N4" s="103" t="s">
        <v>115</v>
      </c>
      <c r="O4" s="104">
        <v>1.0</v>
      </c>
      <c r="P4" s="105">
        <v>1.0</v>
      </c>
      <c r="Q4" s="106" t="s">
        <v>120</v>
      </c>
      <c r="R4" s="107" t="s">
        <v>121</v>
      </c>
      <c r="S4" s="105">
        <v>0.0</v>
      </c>
      <c r="T4" s="108">
        <v>0.0</v>
      </c>
      <c r="U4" s="108">
        <v>0.0</v>
      </c>
      <c r="V4" s="108">
        <v>1.0</v>
      </c>
      <c r="W4" s="109" t="s">
        <v>122</v>
      </c>
      <c r="X4" s="101" t="s">
        <v>123</v>
      </c>
      <c r="Y4" s="100" t="s">
        <v>124</v>
      </c>
      <c r="Z4" s="101" t="s">
        <v>125</v>
      </c>
      <c r="AA4" s="100" t="s">
        <v>126</v>
      </c>
      <c r="AB4" s="100" t="s">
        <v>127</v>
      </c>
      <c r="AC4" s="100" t="s">
        <v>128</v>
      </c>
      <c r="AD4" s="100" t="s">
        <v>129</v>
      </c>
      <c r="AE4" s="100" t="s">
        <v>130</v>
      </c>
      <c r="AF4" s="100" t="s">
        <v>131</v>
      </c>
      <c r="AG4" s="110">
        <v>0.05</v>
      </c>
      <c r="AH4" s="111" t="s">
        <v>132</v>
      </c>
      <c r="AI4" s="112"/>
      <c r="AJ4" s="113">
        <f t="shared" ref="AJ4:AJ6" si="1">$AK$1</f>
        <v>44298</v>
      </c>
      <c r="AK4" s="114">
        <f t="shared" ref="AK4:AK6" si="2">AJ4-$AL$1</f>
        <v>-416</v>
      </c>
      <c r="AL4" s="115" t="str">
        <f t="shared" ref="AL4:AL6" si="3">IF(ISBLANK(AG4),"Pendiente Ejecución"&amp;CHAR(10),)&amp;IF(ISBLANK(AH4),"Pendiente Justificación"&amp;CHAR(10),)&amp;IF(ISBLANK(AI4),"Pendiente Evidencia",)&amp;IF(OR(ISBLANK(AG4),ISBLANK(AH4),ISBLANK(AI4)),,"Reporte ok")</f>
        <v>Pendiente Evidencia</v>
      </c>
      <c r="AM4" s="115"/>
      <c r="AN4" s="116"/>
    </row>
    <row r="5" ht="67.5" customHeight="1">
      <c r="A5" s="37"/>
      <c r="B5" s="100">
        <v>2.0</v>
      </c>
      <c r="C5" s="100" t="s">
        <v>111</v>
      </c>
      <c r="D5" s="100" t="s">
        <v>1</v>
      </c>
      <c r="E5" s="100" t="s">
        <v>112</v>
      </c>
      <c r="F5" s="100">
        <v>2.01801E12</v>
      </c>
      <c r="G5" s="101" t="s">
        <v>113</v>
      </c>
      <c r="H5" s="100" t="s">
        <v>114</v>
      </c>
      <c r="I5" s="100" t="s">
        <v>133</v>
      </c>
      <c r="J5" s="100" t="s">
        <v>134</v>
      </c>
      <c r="K5" s="102" t="s">
        <v>117</v>
      </c>
      <c r="L5" s="102" t="s">
        <v>118</v>
      </c>
      <c r="M5" s="102" t="s">
        <v>119</v>
      </c>
      <c r="N5" s="103" t="s">
        <v>133</v>
      </c>
      <c r="O5" s="104">
        <v>1.0</v>
      </c>
      <c r="P5" s="105">
        <v>1.0</v>
      </c>
      <c r="Q5" s="106" t="s">
        <v>135</v>
      </c>
      <c r="R5" s="107" t="s">
        <v>121</v>
      </c>
      <c r="S5" s="105">
        <v>0.0</v>
      </c>
      <c r="T5" s="108">
        <v>0.0</v>
      </c>
      <c r="U5" s="108">
        <v>0.0</v>
      </c>
      <c r="V5" s="108">
        <v>1.0</v>
      </c>
      <c r="W5" s="109" t="s">
        <v>122</v>
      </c>
      <c r="X5" s="101" t="s">
        <v>123</v>
      </c>
      <c r="Y5" s="100" t="s">
        <v>124</v>
      </c>
      <c r="Z5" s="101" t="s">
        <v>125</v>
      </c>
      <c r="AA5" s="100" t="s">
        <v>126</v>
      </c>
      <c r="AB5" s="100" t="s">
        <v>127</v>
      </c>
      <c r="AC5" s="100" t="s">
        <v>128</v>
      </c>
      <c r="AD5" s="100" t="s">
        <v>129</v>
      </c>
      <c r="AE5" s="100" t="s">
        <v>130</v>
      </c>
      <c r="AF5" s="100" t="s">
        <v>131</v>
      </c>
      <c r="AG5" s="110">
        <v>0.05</v>
      </c>
      <c r="AH5" s="111" t="s">
        <v>136</v>
      </c>
      <c r="AI5" s="117" t="s">
        <v>137</v>
      </c>
      <c r="AJ5" s="113">
        <f t="shared" si="1"/>
        <v>44298</v>
      </c>
      <c r="AK5" s="114">
        <f t="shared" si="2"/>
        <v>-416</v>
      </c>
      <c r="AL5" s="115" t="str">
        <f t="shared" si="3"/>
        <v>Reporte ok</v>
      </c>
      <c r="AM5" s="115"/>
      <c r="AN5" s="116"/>
    </row>
    <row r="6" ht="67.5" customHeight="1">
      <c r="A6" s="37"/>
      <c r="B6" s="100">
        <v>3.0</v>
      </c>
      <c r="C6" s="100" t="s">
        <v>111</v>
      </c>
      <c r="D6" s="100" t="s">
        <v>1</v>
      </c>
      <c r="E6" s="100" t="s">
        <v>112</v>
      </c>
      <c r="F6" s="100">
        <v>2.01801E12</v>
      </c>
      <c r="G6" s="101" t="s">
        <v>113</v>
      </c>
      <c r="H6" s="100" t="s">
        <v>138</v>
      </c>
      <c r="I6" s="100" t="s">
        <v>139</v>
      </c>
      <c r="J6" s="100" t="s">
        <v>140</v>
      </c>
      <c r="K6" s="102" t="s">
        <v>141</v>
      </c>
      <c r="L6" s="102" t="s">
        <v>118</v>
      </c>
      <c r="M6" s="102" t="s">
        <v>142</v>
      </c>
      <c r="N6" s="103" t="s">
        <v>143</v>
      </c>
      <c r="O6" s="101">
        <v>1.0</v>
      </c>
      <c r="P6" s="118">
        <v>1.0</v>
      </c>
      <c r="Q6" s="106" t="s">
        <v>144</v>
      </c>
      <c r="R6" s="107" t="s">
        <v>121</v>
      </c>
      <c r="S6" s="118">
        <v>0.0</v>
      </c>
      <c r="T6" s="118">
        <v>0.2</v>
      </c>
      <c r="U6" s="118">
        <v>0.3</v>
      </c>
      <c r="V6" s="118">
        <v>0.5</v>
      </c>
      <c r="W6" s="109" t="s">
        <v>122</v>
      </c>
      <c r="X6" s="101" t="s">
        <v>123</v>
      </c>
      <c r="Y6" s="100" t="s">
        <v>124</v>
      </c>
      <c r="Z6" s="101" t="s">
        <v>125</v>
      </c>
      <c r="AA6" s="100" t="s">
        <v>126</v>
      </c>
      <c r="AB6" s="100" t="s">
        <v>127</v>
      </c>
      <c r="AC6" s="100" t="s">
        <v>128</v>
      </c>
      <c r="AD6" s="100" t="s">
        <v>129</v>
      </c>
      <c r="AE6" s="100" t="s">
        <v>130</v>
      </c>
      <c r="AF6" s="100" t="s">
        <v>131</v>
      </c>
      <c r="AG6" s="110">
        <v>0.05</v>
      </c>
      <c r="AH6" s="111" t="s">
        <v>145</v>
      </c>
      <c r="AI6" s="117" t="s">
        <v>137</v>
      </c>
      <c r="AJ6" s="113">
        <f t="shared" si="1"/>
        <v>44298</v>
      </c>
      <c r="AK6" s="114">
        <f t="shared" si="2"/>
        <v>-416</v>
      </c>
      <c r="AL6" s="115" t="str">
        <f t="shared" si="3"/>
        <v>Reporte ok</v>
      </c>
      <c r="AM6" s="115"/>
      <c r="AN6" s="116"/>
    </row>
    <row r="7" ht="67.5" customHeight="1">
      <c r="A7" s="37"/>
      <c r="B7" s="119"/>
      <c r="C7" s="119"/>
      <c r="D7" s="119"/>
      <c r="E7" s="119"/>
      <c r="F7" s="119"/>
      <c r="G7" s="120"/>
      <c r="H7" s="119"/>
      <c r="I7" s="119"/>
      <c r="J7" s="119"/>
      <c r="K7" s="121"/>
      <c r="L7" s="121"/>
      <c r="M7" s="121"/>
      <c r="N7" s="122"/>
      <c r="O7" s="123"/>
      <c r="P7" s="124"/>
      <c r="Q7" s="125"/>
      <c r="R7" s="126"/>
      <c r="S7" s="124"/>
      <c r="T7" s="127"/>
      <c r="U7" s="127"/>
      <c r="V7" s="127"/>
      <c r="W7" s="128"/>
      <c r="X7" s="120"/>
      <c r="Y7" s="119"/>
      <c r="Z7" s="120"/>
      <c r="AA7" s="119"/>
      <c r="AB7" s="119"/>
      <c r="AC7" s="119"/>
      <c r="AD7" s="119"/>
      <c r="AE7" s="119"/>
      <c r="AF7" s="119"/>
      <c r="AG7" s="129"/>
      <c r="AH7" s="129"/>
      <c r="AI7" s="112"/>
      <c r="AJ7" s="113"/>
      <c r="AK7" s="114"/>
      <c r="AL7" s="115"/>
      <c r="AM7" s="115"/>
      <c r="AN7" s="116"/>
    </row>
    <row r="8" ht="67.5" customHeight="1">
      <c r="A8" s="37"/>
      <c r="B8" s="119"/>
      <c r="C8" s="119"/>
      <c r="D8" s="119"/>
      <c r="E8" s="119"/>
      <c r="F8" s="119"/>
      <c r="G8" s="120"/>
      <c r="H8" s="119"/>
      <c r="I8" s="119"/>
      <c r="J8" s="119"/>
      <c r="K8" s="121"/>
      <c r="L8" s="121"/>
      <c r="M8" s="121"/>
      <c r="N8" s="122"/>
      <c r="O8" s="123"/>
      <c r="P8" s="124"/>
      <c r="Q8" s="125"/>
      <c r="R8" s="126"/>
      <c r="S8" s="124"/>
      <c r="T8" s="127"/>
      <c r="U8" s="127"/>
      <c r="V8" s="127"/>
      <c r="W8" s="128"/>
      <c r="X8" s="120"/>
      <c r="Y8" s="119"/>
      <c r="Z8" s="120"/>
      <c r="AA8" s="119"/>
      <c r="AB8" s="119"/>
      <c r="AC8" s="119"/>
      <c r="AD8" s="119"/>
      <c r="AE8" s="119"/>
      <c r="AF8" s="119"/>
      <c r="AG8" s="129"/>
      <c r="AH8" s="129"/>
      <c r="AI8" s="112"/>
      <c r="AJ8" s="113"/>
      <c r="AK8" s="114"/>
      <c r="AL8" s="115"/>
      <c r="AM8" s="115"/>
      <c r="AN8" s="116"/>
    </row>
    <row r="9" ht="15.75" customHeight="1"/>
  </sheetData>
  <autoFilter ref="$A$3:$AN$8"/>
  <mergeCells count="2">
    <mergeCell ref="B1:C1"/>
    <mergeCell ref="AG2:AM2"/>
  </mergeCells>
  <conditionalFormatting sqref="AK4:AK8">
    <cfRule type="cellIs" dxfId="2" priority="1" operator="greaterThan">
      <formula>0</formula>
    </cfRule>
  </conditionalFormatting>
  <conditionalFormatting sqref="AK4:AK8">
    <cfRule type="cellIs" dxfId="3" priority="2" operator="lessThan">
      <formula>0</formula>
    </cfRule>
  </conditionalFormatting>
  <dataValidations>
    <dataValidation type="decimal" allowBlank="1" showDropDown="1" showInputMessage="1" showErrorMessage="1" prompt="Recuerde que debe ingresar un valor numérico o porcentaje" sqref="AG4:AG8">
      <formula1>0.0</formula1>
      <formula2>5000000.0</formula2>
    </dataValidation>
  </dataValidations>
  <hyperlinks>
    <hyperlink display="Home" location="Home!A1" ref="B1"/>
    <hyperlink r:id="rId1" ref="AI5"/>
    <hyperlink r:id="rId2" ref="AI6"/>
  </hyperlinks>
  <printOptions gridLines="1" horizontalCentered="1"/>
  <pageMargins bottom="0.75" footer="0.0" header="0.0" left="0.7" right="0.7" top="0.75"/>
  <pageSetup cellComments="atEnd" orientation="portrait" pageOrder="overThenDown"/>
  <drawing r:id="rId3"/>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4.0</v>
      </c>
      <c r="C4" s="100" t="s">
        <v>146</v>
      </c>
      <c r="D4" s="100" t="s">
        <v>146</v>
      </c>
      <c r="E4" s="100" t="s">
        <v>112</v>
      </c>
      <c r="F4" s="100">
        <v>2.01801E12</v>
      </c>
      <c r="G4" s="101" t="s">
        <v>113</v>
      </c>
      <c r="H4" s="100" t="s">
        <v>138</v>
      </c>
      <c r="I4" s="100" t="s">
        <v>139</v>
      </c>
      <c r="J4" s="100" t="s">
        <v>147</v>
      </c>
      <c r="K4" s="102" t="s">
        <v>141</v>
      </c>
      <c r="L4" s="102" t="s">
        <v>118</v>
      </c>
      <c r="M4" s="102" t="s">
        <v>142</v>
      </c>
      <c r="N4" s="103" t="s">
        <v>148</v>
      </c>
      <c r="O4" s="123"/>
      <c r="P4" s="118">
        <v>1.0</v>
      </c>
      <c r="Q4" s="106" t="s">
        <v>149</v>
      </c>
      <c r="R4" s="107" t="s">
        <v>150</v>
      </c>
      <c r="S4" s="118">
        <v>0.0</v>
      </c>
      <c r="T4" s="130">
        <v>1.0</v>
      </c>
      <c r="U4" s="130">
        <v>0.0</v>
      </c>
      <c r="V4" s="130">
        <v>1.0</v>
      </c>
      <c r="W4" s="109" t="s">
        <v>1</v>
      </c>
      <c r="X4" s="101" t="s">
        <v>123</v>
      </c>
      <c r="Y4" s="100" t="s">
        <v>151</v>
      </c>
      <c r="Z4" s="101" t="s">
        <v>125</v>
      </c>
      <c r="AA4" s="100" t="s">
        <v>152</v>
      </c>
      <c r="AB4" s="100" t="s">
        <v>153</v>
      </c>
      <c r="AC4" s="100" t="s">
        <v>128</v>
      </c>
      <c r="AD4" s="100" t="s">
        <v>154</v>
      </c>
      <c r="AE4" s="100" t="s">
        <v>155</v>
      </c>
      <c r="AF4" s="100" t="s">
        <v>131</v>
      </c>
      <c r="AG4" s="110"/>
      <c r="AH4" s="111" t="s">
        <v>156</v>
      </c>
      <c r="AI4" s="112"/>
      <c r="AJ4" s="113">
        <f t="shared" ref="AJ4:AJ6" si="1">$AK$1</f>
        <v>44298</v>
      </c>
      <c r="AK4" s="114">
        <f t="shared" ref="AK4:AK6" si="2">AJ4-$AL$1</f>
        <v>-416</v>
      </c>
      <c r="AL4" s="115" t="str">
        <f t="shared" ref="AL4:AL6" si="3">IF(ISBLANK(AG4),"Pendiente Ejecución"&amp;CHAR(10),)&amp;IF(ISBLANK(AH4),"Pendiente Justificación"&amp;CHAR(10),)&amp;IF(ISBLANK(AI4),"Pendiente Evidencia",)&amp;IF(OR(ISBLANK(AG4),ISBLANK(AH4),ISBLANK(AI4)),,"Reporte ok")</f>
        <v>Pendiente Ejecución
Pendiente Evidencia</v>
      </c>
      <c r="AM4" s="115"/>
      <c r="AN4" s="116"/>
    </row>
    <row r="5" ht="67.5" customHeight="1">
      <c r="A5" s="37"/>
      <c r="B5" s="100">
        <v>5.0</v>
      </c>
      <c r="C5" s="100" t="s">
        <v>146</v>
      </c>
      <c r="D5" s="100" t="s">
        <v>146</v>
      </c>
      <c r="E5" s="100" t="s">
        <v>112</v>
      </c>
      <c r="F5" s="100">
        <v>2.01801E12</v>
      </c>
      <c r="G5" s="101" t="s">
        <v>113</v>
      </c>
      <c r="H5" s="100" t="s">
        <v>138</v>
      </c>
      <c r="I5" s="100" t="s">
        <v>139</v>
      </c>
      <c r="J5" s="100" t="s">
        <v>147</v>
      </c>
      <c r="K5" s="102" t="s">
        <v>141</v>
      </c>
      <c r="L5" s="102" t="s">
        <v>118</v>
      </c>
      <c r="M5" s="102" t="s">
        <v>142</v>
      </c>
      <c r="N5" s="103" t="s">
        <v>157</v>
      </c>
      <c r="O5" s="123"/>
      <c r="P5" s="118">
        <v>1.0</v>
      </c>
      <c r="Q5" s="106" t="s">
        <v>158</v>
      </c>
      <c r="R5" s="107" t="s">
        <v>150</v>
      </c>
      <c r="S5" s="118">
        <v>0.0</v>
      </c>
      <c r="T5" s="118">
        <v>1.0</v>
      </c>
      <c r="U5" s="118">
        <v>0.0</v>
      </c>
      <c r="V5" s="118">
        <v>1.0</v>
      </c>
      <c r="W5" s="109" t="s">
        <v>1</v>
      </c>
      <c r="X5" s="101" t="s">
        <v>123</v>
      </c>
      <c r="Y5" s="100" t="s">
        <v>151</v>
      </c>
      <c r="Z5" s="101" t="s">
        <v>125</v>
      </c>
      <c r="AA5" s="100" t="s">
        <v>152</v>
      </c>
      <c r="AB5" s="100" t="s">
        <v>153</v>
      </c>
      <c r="AC5" s="100" t="s">
        <v>128</v>
      </c>
      <c r="AD5" s="100" t="s">
        <v>154</v>
      </c>
      <c r="AE5" s="100" t="s">
        <v>155</v>
      </c>
      <c r="AF5" s="100" t="s">
        <v>131</v>
      </c>
      <c r="AG5" s="110"/>
      <c r="AH5" s="111" t="s">
        <v>159</v>
      </c>
      <c r="AI5" s="117" t="s">
        <v>160</v>
      </c>
      <c r="AJ5" s="113">
        <f t="shared" si="1"/>
        <v>44298</v>
      </c>
      <c r="AK5" s="114">
        <f t="shared" si="2"/>
        <v>-416</v>
      </c>
      <c r="AL5" s="115" t="str">
        <f t="shared" si="3"/>
        <v>Pendiente Ejecución
</v>
      </c>
      <c r="AM5" s="115"/>
      <c r="AN5" s="116"/>
    </row>
    <row r="6" ht="67.5" customHeight="1">
      <c r="A6" s="37"/>
      <c r="B6" s="100">
        <v>6.0</v>
      </c>
      <c r="C6" s="100" t="s">
        <v>146</v>
      </c>
      <c r="D6" s="100" t="s">
        <v>146</v>
      </c>
      <c r="E6" s="100" t="s">
        <v>112</v>
      </c>
      <c r="F6" s="100">
        <v>2.01801E12</v>
      </c>
      <c r="G6" s="101" t="s">
        <v>113</v>
      </c>
      <c r="H6" s="100" t="s">
        <v>138</v>
      </c>
      <c r="I6" s="100" t="s">
        <v>139</v>
      </c>
      <c r="J6" s="100" t="s">
        <v>147</v>
      </c>
      <c r="K6" s="102" t="s">
        <v>141</v>
      </c>
      <c r="L6" s="102" t="s">
        <v>118</v>
      </c>
      <c r="M6" s="102" t="s">
        <v>119</v>
      </c>
      <c r="N6" s="103" t="s">
        <v>161</v>
      </c>
      <c r="O6" s="123"/>
      <c r="P6" s="131">
        <v>4.0</v>
      </c>
      <c r="Q6" s="106" t="s">
        <v>162</v>
      </c>
      <c r="R6" s="107" t="s">
        <v>163</v>
      </c>
      <c r="S6" s="131">
        <v>0.0</v>
      </c>
      <c r="T6" s="131">
        <v>0.0</v>
      </c>
      <c r="U6" s="131">
        <v>0.0</v>
      </c>
      <c r="V6" s="131">
        <v>0.0</v>
      </c>
      <c r="W6" s="109" t="s">
        <v>1</v>
      </c>
      <c r="X6" s="101" t="s">
        <v>123</v>
      </c>
      <c r="Y6" s="100" t="s">
        <v>151</v>
      </c>
      <c r="Z6" s="101" t="s">
        <v>125</v>
      </c>
      <c r="AA6" s="100" t="s">
        <v>152</v>
      </c>
      <c r="AB6" s="100" t="s">
        <v>164</v>
      </c>
      <c r="AC6" s="100" t="s">
        <v>128</v>
      </c>
      <c r="AD6" s="100" t="s">
        <v>154</v>
      </c>
      <c r="AE6" s="100" t="s">
        <v>155</v>
      </c>
      <c r="AF6" s="100" t="s">
        <v>131</v>
      </c>
      <c r="AG6" s="132"/>
      <c r="AH6" s="111" t="s">
        <v>165</v>
      </c>
      <c r="AI6" s="112"/>
      <c r="AJ6" s="113">
        <f t="shared" si="1"/>
        <v>44298</v>
      </c>
      <c r="AK6" s="114">
        <f t="shared" si="2"/>
        <v>-416</v>
      </c>
      <c r="AL6" s="115" t="str">
        <f t="shared" si="3"/>
        <v>Pendiente Ejecución
Pendiente Evidencia</v>
      </c>
      <c r="AM6" s="115"/>
      <c r="AN6" s="116"/>
    </row>
    <row r="7" ht="67.5" customHeight="1">
      <c r="A7" s="37"/>
      <c r="B7" s="119"/>
      <c r="C7" s="119"/>
      <c r="D7" s="119"/>
      <c r="E7" s="119"/>
      <c r="F7" s="119"/>
      <c r="G7" s="120"/>
      <c r="H7" s="119"/>
      <c r="I7" s="119"/>
      <c r="J7" s="119"/>
      <c r="K7" s="121"/>
      <c r="L7" s="121"/>
      <c r="M7" s="121"/>
      <c r="N7" s="122"/>
      <c r="O7" s="123"/>
      <c r="P7" s="124"/>
      <c r="Q7" s="125"/>
      <c r="R7" s="126"/>
      <c r="S7" s="124"/>
      <c r="T7" s="127"/>
      <c r="U7" s="127"/>
      <c r="V7" s="127"/>
      <c r="W7" s="128"/>
      <c r="X7" s="120"/>
      <c r="Y7" s="119"/>
      <c r="Z7" s="120"/>
      <c r="AA7" s="119"/>
      <c r="AB7" s="119"/>
      <c r="AC7" s="119"/>
      <c r="AD7" s="119"/>
      <c r="AE7" s="119"/>
      <c r="AF7" s="119"/>
      <c r="AG7" s="129"/>
      <c r="AH7" s="129"/>
      <c r="AI7" s="112"/>
      <c r="AJ7" s="113"/>
      <c r="AK7" s="114"/>
      <c r="AL7" s="115"/>
      <c r="AM7" s="115"/>
      <c r="AN7" s="116"/>
    </row>
    <row r="8" ht="67.5" customHeight="1">
      <c r="A8" s="37"/>
      <c r="B8" s="119"/>
      <c r="C8" s="119"/>
      <c r="D8" s="119"/>
      <c r="E8" s="119"/>
      <c r="F8" s="119"/>
      <c r="G8" s="120"/>
      <c r="H8" s="119"/>
      <c r="I8" s="119"/>
      <c r="J8" s="119"/>
      <c r="K8" s="121"/>
      <c r="L8" s="121"/>
      <c r="M8" s="121"/>
      <c r="N8" s="122"/>
      <c r="O8" s="123"/>
      <c r="P8" s="124"/>
      <c r="Q8" s="125"/>
      <c r="R8" s="126"/>
      <c r="S8" s="124"/>
      <c r="T8" s="127"/>
      <c r="U8" s="127"/>
      <c r="V8" s="127"/>
      <c r="W8" s="128"/>
      <c r="X8" s="120"/>
      <c r="Y8" s="119"/>
      <c r="Z8" s="120"/>
      <c r="AA8" s="119"/>
      <c r="AB8" s="119"/>
      <c r="AC8" s="119"/>
      <c r="AD8" s="119"/>
      <c r="AE8" s="119"/>
      <c r="AF8" s="119"/>
      <c r="AG8" s="129"/>
      <c r="AH8" s="129"/>
      <c r="AI8" s="112"/>
      <c r="AJ8" s="113"/>
      <c r="AK8" s="114"/>
      <c r="AL8" s="115"/>
      <c r="AM8" s="115"/>
      <c r="AN8" s="116"/>
    </row>
    <row r="9" ht="15.0" customHeight="1">
      <c r="AG9" s="21"/>
    </row>
  </sheetData>
  <autoFilter ref="$A$3:$AN$8"/>
  <mergeCells count="2">
    <mergeCell ref="B1:C1"/>
    <mergeCell ref="AG2:AM2"/>
  </mergeCells>
  <conditionalFormatting sqref="AK4:AK8">
    <cfRule type="cellIs" dxfId="2" priority="1" operator="greaterThan">
      <formula>0</formula>
    </cfRule>
  </conditionalFormatting>
  <conditionalFormatting sqref="AK4:AK8">
    <cfRule type="cellIs" dxfId="3" priority="2" operator="lessThan">
      <formula>0</formula>
    </cfRule>
  </conditionalFormatting>
  <dataValidations>
    <dataValidation type="decimal" allowBlank="1" showDropDown="1" showInputMessage="1" showErrorMessage="1" prompt="Recuerde que debe ingresar un valor numérico o porcentaje" sqref="AG4:AG8">
      <formula1>0.0</formula1>
      <formula2>5000000.0</formula2>
    </dataValidation>
    <dataValidation type="decimal" allowBlank="1" showDropDown="1" showInputMessage="1" showErrorMessage="1" prompt="Recuerde que debe ingresar un valor numérico o porcentaje" sqref="AG9">
      <formula1>0.0</formula1>
      <formula2>5000.0</formula2>
    </dataValidation>
  </dataValidations>
  <hyperlinks>
    <hyperlink display="Home" location="Home!A1" ref="B1"/>
    <hyperlink r:id="rId1" ref="AI5"/>
  </hyperlinks>
  <printOptions gridLines="1" horizontalCentered="1"/>
  <pageMargins bottom="0.75" footer="0.0" header="0.0" left="0.7" right="0.7" top="0.75"/>
  <pageSetup cellComments="atEnd" orientation="portrait" pageOrder="overThenDown"/>
  <drawing r:id="rId2"/>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14.0</v>
      </c>
      <c r="C4" s="100" t="s">
        <v>166</v>
      </c>
      <c r="D4" s="100" t="s">
        <v>10</v>
      </c>
      <c r="E4" s="100" t="s">
        <v>112</v>
      </c>
      <c r="F4" s="100">
        <v>2.01801E12</v>
      </c>
      <c r="G4" s="101" t="s">
        <v>113</v>
      </c>
      <c r="H4" s="100" t="s">
        <v>138</v>
      </c>
      <c r="I4" s="100" t="s">
        <v>139</v>
      </c>
      <c r="J4" s="100" t="s">
        <v>140</v>
      </c>
      <c r="K4" s="102" t="s">
        <v>141</v>
      </c>
      <c r="L4" s="102" t="s">
        <v>167</v>
      </c>
      <c r="M4" s="102" t="s">
        <v>142</v>
      </c>
      <c r="N4" s="103" t="s">
        <v>168</v>
      </c>
      <c r="O4" s="123"/>
      <c r="P4" s="118">
        <v>1.0</v>
      </c>
      <c r="Q4" s="106" t="s">
        <v>169</v>
      </c>
      <c r="R4" s="107" t="s">
        <v>163</v>
      </c>
      <c r="S4" s="118">
        <v>1.0</v>
      </c>
      <c r="T4" s="118">
        <v>1.0</v>
      </c>
      <c r="U4" s="118">
        <v>1.0</v>
      </c>
      <c r="V4" s="118">
        <v>1.0</v>
      </c>
      <c r="W4" s="109" t="s">
        <v>10</v>
      </c>
      <c r="X4" s="101" t="s">
        <v>170</v>
      </c>
      <c r="Y4" s="100" t="s">
        <v>171</v>
      </c>
      <c r="Z4" s="101" t="s">
        <v>172</v>
      </c>
      <c r="AA4" s="100" t="s">
        <v>152</v>
      </c>
      <c r="AB4" s="100" t="s">
        <v>173</v>
      </c>
      <c r="AC4" s="100" t="s">
        <v>128</v>
      </c>
      <c r="AD4" s="100" t="s">
        <v>174</v>
      </c>
      <c r="AE4" s="100" t="s">
        <v>174</v>
      </c>
      <c r="AF4" s="100" t="s">
        <v>131</v>
      </c>
      <c r="AG4" s="110">
        <v>1.0</v>
      </c>
      <c r="AH4" s="136" t="s">
        <v>175</v>
      </c>
      <c r="AI4" s="137" t="s">
        <v>176</v>
      </c>
      <c r="AJ4" s="113">
        <f t="shared" ref="AJ4:AJ10" si="1">$AK$1</f>
        <v>44298</v>
      </c>
      <c r="AK4" s="114">
        <f t="shared" ref="AK4:AK10" si="2">AJ4-$AL$1</f>
        <v>-416</v>
      </c>
      <c r="AL4" s="115" t="str">
        <f t="shared" ref="AL4:AL10" si="3">IF(ISBLANK(AG4),"Pendiente Ejecución"&amp;CHAR(10),)&amp;IF(ISBLANK(AH4),"Pendiente Justificación"&amp;CHAR(10),)&amp;IF(ISBLANK(AI4),"Pendiente Evidencia",)&amp;IF(OR(ISBLANK(AG4),ISBLANK(AH4),ISBLANK(AI4)),,"Reporte ok")</f>
        <v>Reporte ok</v>
      </c>
      <c r="AM4" s="115"/>
      <c r="AN4" s="116"/>
    </row>
    <row r="5" ht="67.5" customHeight="1">
      <c r="A5" s="37"/>
      <c r="B5" s="100">
        <v>15.0</v>
      </c>
      <c r="C5" s="100" t="s">
        <v>166</v>
      </c>
      <c r="D5" s="100" t="s">
        <v>10</v>
      </c>
      <c r="E5" s="100" t="s">
        <v>112</v>
      </c>
      <c r="F5" s="100">
        <v>2.01801E12</v>
      </c>
      <c r="G5" s="101" t="s">
        <v>113</v>
      </c>
      <c r="H5" s="100" t="s">
        <v>138</v>
      </c>
      <c r="I5" s="100" t="s">
        <v>139</v>
      </c>
      <c r="J5" s="100" t="s">
        <v>140</v>
      </c>
      <c r="K5" s="102" t="s">
        <v>141</v>
      </c>
      <c r="L5" s="102" t="s">
        <v>167</v>
      </c>
      <c r="M5" s="102" t="s">
        <v>142</v>
      </c>
      <c r="N5" s="103" t="s">
        <v>177</v>
      </c>
      <c r="O5" s="123"/>
      <c r="P5" s="118">
        <v>1.0</v>
      </c>
      <c r="Q5" s="106" t="s">
        <v>178</v>
      </c>
      <c r="R5" s="107" t="s">
        <v>163</v>
      </c>
      <c r="S5" s="118">
        <v>1.0</v>
      </c>
      <c r="T5" s="118">
        <v>1.0</v>
      </c>
      <c r="U5" s="118">
        <v>1.0</v>
      </c>
      <c r="V5" s="118">
        <v>1.0</v>
      </c>
      <c r="W5" s="109" t="s">
        <v>10</v>
      </c>
      <c r="X5" s="101" t="s">
        <v>170</v>
      </c>
      <c r="Y5" s="100" t="s">
        <v>171</v>
      </c>
      <c r="Z5" s="101" t="s">
        <v>172</v>
      </c>
      <c r="AA5" s="100" t="s">
        <v>152</v>
      </c>
      <c r="AB5" s="100" t="s">
        <v>173</v>
      </c>
      <c r="AC5" s="100" t="s">
        <v>128</v>
      </c>
      <c r="AD5" s="100" t="s">
        <v>174</v>
      </c>
      <c r="AE5" s="100" t="s">
        <v>174</v>
      </c>
      <c r="AF5" s="100" t="s">
        <v>131</v>
      </c>
      <c r="AG5" s="110">
        <v>1.0</v>
      </c>
      <c r="AH5" s="138" t="s">
        <v>179</v>
      </c>
      <c r="AI5" s="137" t="s">
        <v>180</v>
      </c>
      <c r="AJ5" s="113">
        <f t="shared" si="1"/>
        <v>44298</v>
      </c>
      <c r="AK5" s="114">
        <f t="shared" si="2"/>
        <v>-416</v>
      </c>
      <c r="AL5" s="115" t="str">
        <f t="shared" si="3"/>
        <v>Reporte ok</v>
      </c>
      <c r="AM5" s="115"/>
      <c r="AN5" s="116"/>
    </row>
    <row r="6" ht="67.5" customHeight="1">
      <c r="A6" s="37"/>
      <c r="B6" s="100">
        <v>16.0</v>
      </c>
      <c r="C6" s="100" t="s">
        <v>166</v>
      </c>
      <c r="D6" s="100" t="s">
        <v>10</v>
      </c>
      <c r="E6" s="100" t="s">
        <v>112</v>
      </c>
      <c r="F6" s="100">
        <v>2.01801E12</v>
      </c>
      <c r="G6" s="101" t="s">
        <v>113</v>
      </c>
      <c r="H6" s="100" t="s">
        <v>138</v>
      </c>
      <c r="I6" s="100" t="s">
        <v>139</v>
      </c>
      <c r="J6" s="100" t="s">
        <v>140</v>
      </c>
      <c r="K6" s="102" t="s">
        <v>141</v>
      </c>
      <c r="L6" s="102" t="s">
        <v>167</v>
      </c>
      <c r="M6" s="102" t="s">
        <v>142</v>
      </c>
      <c r="N6" s="103" t="s">
        <v>181</v>
      </c>
      <c r="O6" s="123"/>
      <c r="P6" s="118">
        <v>1.0</v>
      </c>
      <c r="Q6" s="106" t="s">
        <v>182</v>
      </c>
      <c r="R6" s="107" t="s">
        <v>163</v>
      </c>
      <c r="S6" s="118">
        <v>1.0</v>
      </c>
      <c r="T6" s="118">
        <v>1.0</v>
      </c>
      <c r="U6" s="118">
        <v>1.0</v>
      </c>
      <c r="V6" s="118">
        <v>1.0</v>
      </c>
      <c r="W6" s="109" t="s">
        <v>10</v>
      </c>
      <c r="X6" s="101" t="s">
        <v>170</v>
      </c>
      <c r="Y6" s="100" t="s">
        <v>171</v>
      </c>
      <c r="Z6" s="101" t="s">
        <v>172</v>
      </c>
      <c r="AA6" s="100" t="s">
        <v>152</v>
      </c>
      <c r="AB6" s="100" t="s">
        <v>173</v>
      </c>
      <c r="AC6" s="100" t="s">
        <v>128</v>
      </c>
      <c r="AD6" s="100" t="s">
        <v>174</v>
      </c>
      <c r="AE6" s="100" t="s">
        <v>174</v>
      </c>
      <c r="AF6" s="100" t="s">
        <v>131</v>
      </c>
      <c r="AG6" s="110">
        <v>1.0</v>
      </c>
      <c r="AH6" s="138" t="s">
        <v>183</v>
      </c>
      <c r="AI6" s="139" t="s">
        <v>184</v>
      </c>
      <c r="AJ6" s="113">
        <f t="shared" si="1"/>
        <v>44298</v>
      </c>
      <c r="AK6" s="114">
        <f t="shared" si="2"/>
        <v>-416</v>
      </c>
      <c r="AL6" s="115" t="str">
        <f t="shared" si="3"/>
        <v>Reporte ok</v>
      </c>
      <c r="AM6" s="115"/>
      <c r="AN6" s="116"/>
    </row>
    <row r="7" ht="67.5" customHeight="1">
      <c r="A7" s="37"/>
      <c r="B7" s="100">
        <v>17.0</v>
      </c>
      <c r="C7" s="100" t="s">
        <v>166</v>
      </c>
      <c r="D7" s="100" t="s">
        <v>10</v>
      </c>
      <c r="E7" s="100" t="s">
        <v>112</v>
      </c>
      <c r="F7" s="100">
        <v>2.01801E12</v>
      </c>
      <c r="G7" s="101" t="s">
        <v>113</v>
      </c>
      <c r="H7" s="100" t="s">
        <v>138</v>
      </c>
      <c r="I7" s="100" t="s">
        <v>139</v>
      </c>
      <c r="J7" s="100" t="s">
        <v>140</v>
      </c>
      <c r="K7" s="102" t="s">
        <v>141</v>
      </c>
      <c r="L7" s="102" t="s">
        <v>167</v>
      </c>
      <c r="M7" s="102" t="s">
        <v>142</v>
      </c>
      <c r="N7" s="103" t="s">
        <v>185</v>
      </c>
      <c r="O7" s="123"/>
      <c r="P7" s="118">
        <v>1.0</v>
      </c>
      <c r="Q7" s="106" t="s">
        <v>186</v>
      </c>
      <c r="R7" s="107" t="s">
        <v>163</v>
      </c>
      <c r="S7" s="118">
        <v>1.0</v>
      </c>
      <c r="T7" s="118">
        <v>1.0</v>
      </c>
      <c r="U7" s="118">
        <v>1.0</v>
      </c>
      <c r="V7" s="118">
        <v>1.0</v>
      </c>
      <c r="W7" s="109" t="s">
        <v>10</v>
      </c>
      <c r="X7" s="101" t="s">
        <v>170</v>
      </c>
      <c r="Y7" s="100" t="s">
        <v>171</v>
      </c>
      <c r="Z7" s="101" t="s">
        <v>172</v>
      </c>
      <c r="AA7" s="100" t="s">
        <v>152</v>
      </c>
      <c r="AB7" s="100" t="s">
        <v>173</v>
      </c>
      <c r="AC7" s="100" t="s">
        <v>128</v>
      </c>
      <c r="AD7" s="100" t="s">
        <v>174</v>
      </c>
      <c r="AE7" s="100" t="s">
        <v>174</v>
      </c>
      <c r="AF7" s="100" t="s">
        <v>131</v>
      </c>
      <c r="AG7" s="110">
        <v>1.0</v>
      </c>
      <c r="AH7" s="138" t="s">
        <v>187</v>
      </c>
      <c r="AI7" s="137" t="s">
        <v>188</v>
      </c>
      <c r="AJ7" s="113">
        <f t="shared" si="1"/>
        <v>44298</v>
      </c>
      <c r="AK7" s="114">
        <f t="shared" si="2"/>
        <v>-416</v>
      </c>
      <c r="AL7" s="115" t="str">
        <f t="shared" si="3"/>
        <v>Reporte ok</v>
      </c>
      <c r="AM7" s="115"/>
      <c r="AN7" s="116"/>
    </row>
    <row r="8" ht="67.5" customHeight="1">
      <c r="A8" s="37"/>
      <c r="B8" s="100">
        <v>18.0</v>
      </c>
      <c r="C8" s="100" t="s">
        <v>166</v>
      </c>
      <c r="D8" s="100" t="s">
        <v>10</v>
      </c>
      <c r="E8" s="100" t="s">
        <v>112</v>
      </c>
      <c r="F8" s="100">
        <v>2.01801E12</v>
      </c>
      <c r="G8" s="101" t="s">
        <v>113</v>
      </c>
      <c r="H8" s="100" t="s">
        <v>138</v>
      </c>
      <c r="I8" s="100" t="s">
        <v>139</v>
      </c>
      <c r="J8" s="100" t="s">
        <v>140</v>
      </c>
      <c r="K8" s="102" t="s">
        <v>141</v>
      </c>
      <c r="L8" s="102" t="s">
        <v>167</v>
      </c>
      <c r="M8" s="102" t="s">
        <v>142</v>
      </c>
      <c r="N8" s="103" t="s">
        <v>189</v>
      </c>
      <c r="O8" s="123"/>
      <c r="P8" s="118">
        <v>1.0</v>
      </c>
      <c r="Q8" s="106" t="s">
        <v>190</v>
      </c>
      <c r="R8" s="107" t="s">
        <v>163</v>
      </c>
      <c r="S8" s="118">
        <v>1.0</v>
      </c>
      <c r="T8" s="118">
        <v>1.0</v>
      </c>
      <c r="U8" s="118">
        <v>1.0</v>
      </c>
      <c r="V8" s="118">
        <v>1.0</v>
      </c>
      <c r="W8" s="109" t="s">
        <v>10</v>
      </c>
      <c r="X8" s="101" t="s">
        <v>170</v>
      </c>
      <c r="Y8" s="100" t="s">
        <v>171</v>
      </c>
      <c r="Z8" s="101" t="s">
        <v>172</v>
      </c>
      <c r="AA8" s="100" t="s">
        <v>152</v>
      </c>
      <c r="AB8" s="100" t="s">
        <v>173</v>
      </c>
      <c r="AC8" s="100" t="s">
        <v>128</v>
      </c>
      <c r="AD8" s="100" t="s">
        <v>174</v>
      </c>
      <c r="AE8" s="100" t="s">
        <v>174</v>
      </c>
      <c r="AF8" s="100" t="s">
        <v>131</v>
      </c>
      <c r="AG8" s="110">
        <v>1.0</v>
      </c>
      <c r="AH8" s="138" t="s">
        <v>191</v>
      </c>
      <c r="AI8" s="139" t="s">
        <v>192</v>
      </c>
      <c r="AJ8" s="113">
        <f t="shared" si="1"/>
        <v>44298</v>
      </c>
      <c r="AK8" s="114">
        <f t="shared" si="2"/>
        <v>-416</v>
      </c>
      <c r="AL8" s="115" t="str">
        <f t="shared" si="3"/>
        <v>Reporte ok</v>
      </c>
      <c r="AM8" s="115"/>
      <c r="AN8" s="116"/>
    </row>
    <row r="9" ht="67.5" customHeight="1">
      <c r="A9" s="37"/>
      <c r="B9" s="100">
        <v>19.0</v>
      </c>
      <c r="C9" s="100" t="s">
        <v>166</v>
      </c>
      <c r="D9" s="100" t="s">
        <v>10</v>
      </c>
      <c r="E9" s="100" t="s">
        <v>112</v>
      </c>
      <c r="F9" s="100">
        <v>2.01801E12</v>
      </c>
      <c r="G9" s="101" t="s">
        <v>113</v>
      </c>
      <c r="H9" s="100" t="s">
        <v>138</v>
      </c>
      <c r="I9" s="100" t="s">
        <v>139</v>
      </c>
      <c r="J9" s="100" t="s">
        <v>140</v>
      </c>
      <c r="K9" s="102" t="s">
        <v>141</v>
      </c>
      <c r="L9" s="102" t="s">
        <v>167</v>
      </c>
      <c r="M9" s="102" t="s">
        <v>142</v>
      </c>
      <c r="N9" s="103" t="s">
        <v>193</v>
      </c>
      <c r="O9" s="123"/>
      <c r="P9" s="118">
        <v>1.0</v>
      </c>
      <c r="Q9" s="106" t="s">
        <v>194</v>
      </c>
      <c r="R9" s="107" t="s">
        <v>163</v>
      </c>
      <c r="S9" s="118">
        <v>1.0</v>
      </c>
      <c r="T9" s="118">
        <v>1.0</v>
      </c>
      <c r="U9" s="118">
        <v>1.0</v>
      </c>
      <c r="V9" s="118">
        <v>1.0</v>
      </c>
      <c r="W9" s="109" t="s">
        <v>10</v>
      </c>
      <c r="X9" s="101" t="s">
        <v>170</v>
      </c>
      <c r="Y9" s="100" t="s">
        <v>171</v>
      </c>
      <c r="Z9" s="101" t="s">
        <v>172</v>
      </c>
      <c r="AA9" s="100" t="s">
        <v>152</v>
      </c>
      <c r="AB9" s="100" t="s">
        <v>173</v>
      </c>
      <c r="AC9" s="100" t="s">
        <v>128</v>
      </c>
      <c r="AD9" s="100" t="s">
        <v>174</v>
      </c>
      <c r="AE9" s="100" t="s">
        <v>174</v>
      </c>
      <c r="AF9" s="100" t="s">
        <v>131</v>
      </c>
      <c r="AG9" s="110">
        <v>1.0</v>
      </c>
      <c r="AH9" s="138" t="s">
        <v>195</v>
      </c>
      <c r="AI9" s="140" t="s">
        <v>196</v>
      </c>
      <c r="AJ9" s="113">
        <f t="shared" si="1"/>
        <v>44298</v>
      </c>
      <c r="AK9" s="114">
        <f t="shared" si="2"/>
        <v>-416</v>
      </c>
      <c r="AL9" s="115" t="str">
        <f t="shared" si="3"/>
        <v>Reporte ok</v>
      </c>
      <c r="AM9" s="115"/>
      <c r="AN9" s="116"/>
    </row>
    <row r="10" ht="67.5" customHeight="1">
      <c r="A10" s="37"/>
      <c r="B10" s="100">
        <v>20.0</v>
      </c>
      <c r="C10" s="100" t="s">
        <v>166</v>
      </c>
      <c r="D10" s="100" t="s">
        <v>10</v>
      </c>
      <c r="E10" s="100" t="s">
        <v>112</v>
      </c>
      <c r="F10" s="100">
        <v>2.01801E12</v>
      </c>
      <c r="G10" s="101" t="s">
        <v>113</v>
      </c>
      <c r="H10" s="100" t="s">
        <v>138</v>
      </c>
      <c r="I10" s="100" t="s">
        <v>139</v>
      </c>
      <c r="J10" s="100" t="s">
        <v>140</v>
      </c>
      <c r="K10" s="102" t="s">
        <v>141</v>
      </c>
      <c r="L10" s="102" t="s">
        <v>167</v>
      </c>
      <c r="M10" s="102" t="s">
        <v>142</v>
      </c>
      <c r="N10" s="103" t="s">
        <v>197</v>
      </c>
      <c r="O10" s="123"/>
      <c r="P10" s="118">
        <v>1.0</v>
      </c>
      <c r="Q10" s="106" t="s">
        <v>198</v>
      </c>
      <c r="R10" s="107" t="s">
        <v>163</v>
      </c>
      <c r="S10" s="118">
        <v>1.0</v>
      </c>
      <c r="T10" s="118">
        <v>1.0</v>
      </c>
      <c r="U10" s="118">
        <v>1.0</v>
      </c>
      <c r="V10" s="118">
        <v>1.0</v>
      </c>
      <c r="W10" s="109" t="s">
        <v>10</v>
      </c>
      <c r="X10" s="101" t="s">
        <v>170</v>
      </c>
      <c r="Y10" s="100" t="s">
        <v>171</v>
      </c>
      <c r="Z10" s="101" t="s">
        <v>172</v>
      </c>
      <c r="AA10" s="100" t="s">
        <v>152</v>
      </c>
      <c r="AB10" s="100" t="s">
        <v>173</v>
      </c>
      <c r="AC10" s="100" t="s">
        <v>128</v>
      </c>
      <c r="AD10" s="100" t="s">
        <v>174</v>
      </c>
      <c r="AE10" s="100" t="s">
        <v>174</v>
      </c>
      <c r="AF10" s="100" t="s">
        <v>131</v>
      </c>
      <c r="AG10" s="141">
        <v>0.955</v>
      </c>
      <c r="AH10" s="138" t="s">
        <v>199</v>
      </c>
      <c r="AI10" s="139" t="s">
        <v>200</v>
      </c>
      <c r="AJ10" s="113">
        <f t="shared" si="1"/>
        <v>44298</v>
      </c>
      <c r="AK10" s="114">
        <f t="shared" si="2"/>
        <v>-416</v>
      </c>
      <c r="AL10" s="115" t="str">
        <f t="shared" si="3"/>
        <v>Reporte ok</v>
      </c>
      <c r="AM10" s="115"/>
      <c r="AN10" s="116"/>
    </row>
    <row r="11" ht="67.5" customHeight="1">
      <c r="A11" s="37"/>
      <c r="B11" s="119"/>
      <c r="C11" s="119"/>
      <c r="D11" s="119"/>
      <c r="E11" s="119"/>
      <c r="F11" s="142"/>
      <c r="G11" s="120"/>
      <c r="H11" s="119"/>
      <c r="I11" s="119"/>
      <c r="J11" s="119"/>
      <c r="K11" s="121"/>
      <c r="L11" s="121"/>
      <c r="M11" s="121"/>
      <c r="N11" s="122"/>
      <c r="O11" s="123"/>
      <c r="P11" s="124"/>
      <c r="Q11" s="125"/>
      <c r="R11" s="126"/>
      <c r="S11" s="124"/>
      <c r="T11" s="127"/>
      <c r="U11" s="127"/>
      <c r="V11" s="127"/>
      <c r="W11" s="128"/>
      <c r="X11" s="120"/>
      <c r="Y11" s="119"/>
      <c r="Z11" s="120"/>
      <c r="AA11" s="119"/>
      <c r="AB11" s="119"/>
      <c r="AC11" s="119"/>
      <c r="AD11" s="119"/>
      <c r="AE11" s="119"/>
      <c r="AF11" s="119"/>
      <c r="AG11" s="129"/>
      <c r="AH11" s="129"/>
      <c r="AI11" s="112"/>
      <c r="AJ11" s="113"/>
      <c r="AK11" s="114"/>
      <c r="AL11" s="115"/>
      <c r="AM11" s="115"/>
      <c r="AN11" s="116"/>
    </row>
    <row r="12" ht="67.5" customHeight="1">
      <c r="A12" s="37"/>
      <c r="B12" s="119"/>
      <c r="C12" s="119"/>
      <c r="D12" s="119"/>
      <c r="E12" s="119"/>
      <c r="F12" s="142"/>
      <c r="G12" s="120"/>
      <c r="H12" s="119"/>
      <c r="I12" s="119"/>
      <c r="J12" s="119"/>
      <c r="K12" s="121"/>
      <c r="L12" s="121"/>
      <c r="M12" s="121"/>
      <c r="N12" s="122"/>
      <c r="O12" s="123"/>
      <c r="P12" s="124"/>
      <c r="Q12" s="125"/>
      <c r="R12" s="126"/>
      <c r="S12" s="124"/>
      <c r="T12" s="127"/>
      <c r="U12" s="127"/>
      <c r="V12" s="127"/>
      <c r="W12" s="128"/>
      <c r="X12" s="120"/>
      <c r="Y12" s="119"/>
      <c r="Z12" s="120"/>
      <c r="AA12" s="119"/>
      <c r="AB12" s="119"/>
      <c r="AC12" s="119"/>
      <c r="AD12" s="119"/>
      <c r="AE12" s="119"/>
      <c r="AF12" s="119"/>
      <c r="AG12" s="129"/>
      <c r="AH12" s="129"/>
      <c r="AI12" s="112"/>
      <c r="AJ12" s="113"/>
      <c r="AK12" s="114"/>
      <c r="AL12" s="115"/>
      <c r="AM12" s="115"/>
      <c r="AN12" s="116"/>
    </row>
    <row r="13" ht="15.75" customHeight="1">
      <c r="F13" s="143"/>
    </row>
  </sheetData>
  <autoFilter ref="$A$3:$AN$12"/>
  <mergeCells count="2">
    <mergeCell ref="B1:C1"/>
    <mergeCell ref="AG2:AM2"/>
  </mergeCells>
  <conditionalFormatting sqref="AK4:AK12">
    <cfRule type="cellIs" dxfId="2" priority="1" operator="greaterThan">
      <formula>0</formula>
    </cfRule>
  </conditionalFormatting>
  <conditionalFormatting sqref="AK4:AK12">
    <cfRule type="cellIs" dxfId="3" priority="2" operator="lessThan">
      <formula>0</formula>
    </cfRule>
  </conditionalFormatting>
  <dataValidations>
    <dataValidation type="decimal" allowBlank="1" showDropDown="1" showInputMessage="1" showErrorMessage="1" prompt="Recuerde que debe ingresar un valor numérico o porcentaje" sqref="AG4:AG12">
      <formula1>0.0</formula1>
      <formula2>5000000.0</formula2>
    </dataValidation>
  </dataValidations>
  <hyperlinks>
    <hyperlink display="Home" location="Home!A1" ref="B1"/>
    <hyperlink r:id="rId1" ref="AI4"/>
    <hyperlink r:id="rId2" ref="AI5"/>
    <hyperlink r:id="rId3" ref="AI6"/>
    <hyperlink r:id="rId4" ref="AI7"/>
    <hyperlink r:id="rId5" ref="AI8"/>
    <hyperlink r:id="rId6" ref="AI10"/>
  </hyperlinks>
  <printOptions gridLines="1" horizontalCentered="1"/>
  <pageMargins bottom="0.75" footer="0.0" header="0.0" left="0.7" right="0.7" top="0.75"/>
  <pageSetup cellComments="atEnd" orientation="portrait" pageOrder="overThenDown"/>
  <drawing r:id="rId7"/>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7.0</v>
      </c>
      <c r="C4" s="100" t="s">
        <v>201</v>
      </c>
      <c r="D4" s="100" t="s">
        <v>7</v>
      </c>
      <c r="E4" s="100" t="s">
        <v>112</v>
      </c>
      <c r="F4" s="100">
        <v>2.01801E12</v>
      </c>
      <c r="G4" s="101" t="s">
        <v>113</v>
      </c>
      <c r="H4" s="100" t="s">
        <v>138</v>
      </c>
      <c r="I4" s="100" t="s">
        <v>139</v>
      </c>
      <c r="J4" s="100" t="s">
        <v>140</v>
      </c>
      <c r="K4" s="102" t="s">
        <v>141</v>
      </c>
      <c r="L4" s="102" t="s">
        <v>118</v>
      </c>
      <c r="M4" s="102" t="s">
        <v>202</v>
      </c>
      <c r="N4" s="103" t="s">
        <v>203</v>
      </c>
      <c r="O4" s="123"/>
      <c r="P4" s="105">
        <v>1.0</v>
      </c>
      <c r="Q4" s="106" t="s">
        <v>204</v>
      </c>
      <c r="R4" s="107" t="s">
        <v>150</v>
      </c>
      <c r="S4" s="105">
        <v>0.0</v>
      </c>
      <c r="T4" s="108">
        <v>1.0</v>
      </c>
      <c r="U4" s="108">
        <v>0.0</v>
      </c>
      <c r="V4" s="108">
        <v>0.0</v>
      </c>
      <c r="W4" s="109" t="s">
        <v>7</v>
      </c>
      <c r="X4" s="101" t="s">
        <v>205</v>
      </c>
      <c r="Y4" s="100" t="s">
        <v>206</v>
      </c>
      <c r="Z4" s="101" t="s">
        <v>207</v>
      </c>
      <c r="AA4" s="100" t="s">
        <v>152</v>
      </c>
      <c r="AB4" s="100" t="s">
        <v>153</v>
      </c>
      <c r="AC4" s="100" t="s">
        <v>128</v>
      </c>
      <c r="AD4" s="100" t="s">
        <v>208</v>
      </c>
      <c r="AE4" s="100" t="s">
        <v>209</v>
      </c>
      <c r="AF4" s="100" t="s">
        <v>210</v>
      </c>
      <c r="AG4" s="144">
        <v>0.0</v>
      </c>
      <c r="AH4" s="111" t="s">
        <v>211</v>
      </c>
      <c r="AI4" s="112"/>
      <c r="AJ4" s="113">
        <f t="shared" ref="AJ4:AJ10" si="1">$AK$1</f>
        <v>44298</v>
      </c>
      <c r="AK4" s="114">
        <f t="shared" ref="AK4:AK10" si="2">AJ4-$AL$1</f>
        <v>-416</v>
      </c>
      <c r="AL4" s="115" t="str">
        <f t="shared" ref="AL4:AL10" si="3">IF(ISBLANK(AG4),"Pendiente Ejecución"&amp;CHAR(10),)&amp;IF(ISBLANK(AH4),"Pendiente Justificación"&amp;CHAR(10),)&amp;IF(ISBLANK(AI4),"Pendiente Evidencia",)&amp;IF(OR(ISBLANK(AG4),ISBLANK(AH4),ISBLANK(AI4)),,"Reporte ok")</f>
        <v>Pendiente Evidencia</v>
      </c>
      <c r="AM4" s="115"/>
      <c r="AN4" s="116"/>
    </row>
    <row r="5" ht="67.5" customHeight="1">
      <c r="A5" s="37"/>
      <c r="B5" s="100">
        <v>8.0</v>
      </c>
      <c r="C5" s="100" t="s">
        <v>201</v>
      </c>
      <c r="D5" s="100" t="s">
        <v>7</v>
      </c>
      <c r="E5" s="100" t="s">
        <v>112</v>
      </c>
      <c r="F5" s="100">
        <v>2.01801E12</v>
      </c>
      <c r="G5" s="101" t="s">
        <v>113</v>
      </c>
      <c r="H5" s="100" t="s">
        <v>138</v>
      </c>
      <c r="I5" s="100" t="s">
        <v>139</v>
      </c>
      <c r="J5" s="100" t="s">
        <v>140</v>
      </c>
      <c r="K5" s="102" t="s">
        <v>141</v>
      </c>
      <c r="L5" s="102" t="s">
        <v>118</v>
      </c>
      <c r="M5" s="102" t="s">
        <v>202</v>
      </c>
      <c r="N5" s="103" t="s">
        <v>212</v>
      </c>
      <c r="O5" s="123"/>
      <c r="P5" s="105">
        <v>50.0</v>
      </c>
      <c r="Q5" s="106" t="s">
        <v>213</v>
      </c>
      <c r="R5" s="107" t="s">
        <v>163</v>
      </c>
      <c r="S5" s="105">
        <v>0.0</v>
      </c>
      <c r="T5" s="108">
        <v>20.0</v>
      </c>
      <c r="U5" s="108">
        <v>20.0</v>
      </c>
      <c r="V5" s="108">
        <v>10.0</v>
      </c>
      <c r="W5" s="109" t="s">
        <v>7</v>
      </c>
      <c r="X5" s="101" t="s">
        <v>205</v>
      </c>
      <c r="Y5" s="100" t="s">
        <v>206</v>
      </c>
      <c r="Z5" s="101" t="s">
        <v>207</v>
      </c>
      <c r="AA5" s="100" t="s">
        <v>152</v>
      </c>
      <c r="AB5" s="100" t="s">
        <v>173</v>
      </c>
      <c r="AC5" s="100" t="s">
        <v>128</v>
      </c>
      <c r="AD5" s="100" t="s">
        <v>208</v>
      </c>
      <c r="AE5" s="100" t="s">
        <v>209</v>
      </c>
      <c r="AF5" s="100" t="s">
        <v>210</v>
      </c>
      <c r="AG5" s="144">
        <v>0.0</v>
      </c>
      <c r="AH5" s="111" t="s">
        <v>211</v>
      </c>
      <c r="AI5" s="112"/>
      <c r="AJ5" s="113">
        <f t="shared" si="1"/>
        <v>44298</v>
      </c>
      <c r="AK5" s="114">
        <f t="shared" si="2"/>
        <v>-416</v>
      </c>
      <c r="AL5" s="115" t="str">
        <f t="shared" si="3"/>
        <v>Pendiente Evidencia</v>
      </c>
      <c r="AM5" s="115"/>
      <c r="AN5" s="116"/>
    </row>
    <row r="6" ht="67.5" customHeight="1">
      <c r="A6" s="37"/>
      <c r="B6" s="100">
        <v>9.0</v>
      </c>
      <c r="C6" s="100" t="s">
        <v>201</v>
      </c>
      <c r="D6" s="100" t="s">
        <v>7</v>
      </c>
      <c r="E6" s="100" t="s">
        <v>112</v>
      </c>
      <c r="F6" s="100">
        <v>2.01801E12</v>
      </c>
      <c r="G6" s="101" t="s">
        <v>113</v>
      </c>
      <c r="H6" s="100" t="s">
        <v>138</v>
      </c>
      <c r="I6" s="100" t="s">
        <v>139</v>
      </c>
      <c r="J6" s="100" t="s">
        <v>140</v>
      </c>
      <c r="K6" s="102" t="s">
        <v>141</v>
      </c>
      <c r="L6" s="102" t="s">
        <v>118</v>
      </c>
      <c r="M6" s="102" t="s">
        <v>202</v>
      </c>
      <c r="N6" s="103" t="s">
        <v>214</v>
      </c>
      <c r="O6" s="123"/>
      <c r="P6" s="105">
        <v>11.0</v>
      </c>
      <c r="Q6" s="106" t="s">
        <v>215</v>
      </c>
      <c r="R6" s="107" t="s">
        <v>150</v>
      </c>
      <c r="S6" s="105">
        <v>0.0</v>
      </c>
      <c r="T6" s="108">
        <v>3.0</v>
      </c>
      <c r="U6" s="108">
        <v>4.0</v>
      </c>
      <c r="V6" s="108">
        <v>4.0</v>
      </c>
      <c r="W6" s="109" t="s">
        <v>7</v>
      </c>
      <c r="X6" s="101" t="s">
        <v>205</v>
      </c>
      <c r="Y6" s="100" t="s">
        <v>206</v>
      </c>
      <c r="Z6" s="101" t="s">
        <v>207</v>
      </c>
      <c r="AA6" s="100" t="s">
        <v>152</v>
      </c>
      <c r="AB6" s="100" t="s">
        <v>173</v>
      </c>
      <c r="AC6" s="100" t="s">
        <v>128</v>
      </c>
      <c r="AD6" s="100" t="s">
        <v>208</v>
      </c>
      <c r="AE6" s="100" t="s">
        <v>216</v>
      </c>
      <c r="AF6" s="100" t="s">
        <v>210</v>
      </c>
      <c r="AG6" s="144">
        <v>0.0</v>
      </c>
      <c r="AH6" s="111" t="s">
        <v>211</v>
      </c>
      <c r="AI6" s="112"/>
      <c r="AJ6" s="113">
        <f t="shared" si="1"/>
        <v>44298</v>
      </c>
      <c r="AK6" s="114">
        <f t="shared" si="2"/>
        <v>-416</v>
      </c>
      <c r="AL6" s="115" t="str">
        <f t="shared" si="3"/>
        <v>Pendiente Evidencia</v>
      </c>
      <c r="AM6" s="115"/>
      <c r="AN6" s="116"/>
    </row>
    <row r="7" ht="67.5" customHeight="1">
      <c r="A7" s="37"/>
      <c r="B7" s="100">
        <v>10.0</v>
      </c>
      <c r="C7" s="100" t="s">
        <v>201</v>
      </c>
      <c r="D7" s="100" t="s">
        <v>7</v>
      </c>
      <c r="E7" s="100" t="s">
        <v>112</v>
      </c>
      <c r="F7" s="100">
        <v>2.01801E12</v>
      </c>
      <c r="G7" s="101" t="s">
        <v>113</v>
      </c>
      <c r="H7" s="100" t="s">
        <v>138</v>
      </c>
      <c r="I7" s="100" t="s">
        <v>139</v>
      </c>
      <c r="J7" s="100" t="s">
        <v>140</v>
      </c>
      <c r="K7" s="102" t="s">
        <v>141</v>
      </c>
      <c r="L7" s="102" t="s">
        <v>118</v>
      </c>
      <c r="M7" s="102" t="s">
        <v>202</v>
      </c>
      <c r="N7" s="103" t="s">
        <v>217</v>
      </c>
      <c r="O7" s="123"/>
      <c r="P7" s="105">
        <v>22.0</v>
      </c>
      <c r="Q7" s="106" t="s">
        <v>218</v>
      </c>
      <c r="R7" s="107" t="s">
        <v>219</v>
      </c>
      <c r="S7" s="105">
        <v>4.0</v>
      </c>
      <c r="T7" s="108">
        <v>6.0</v>
      </c>
      <c r="U7" s="108">
        <v>6.0</v>
      </c>
      <c r="V7" s="108">
        <v>6.0</v>
      </c>
      <c r="W7" s="109" t="s">
        <v>7</v>
      </c>
      <c r="X7" s="101" t="s">
        <v>205</v>
      </c>
      <c r="Y7" s="100" t="s">
        <v>206</v>
      </c>
      <c r="Z7" s="101" t="s">
        <v>207</v>
      </c>
      <c r="AA7" s="100" t="s">
        <v>152</v>
      </c>
      <c r="AB7" s="100" t="s">
        <v>173</v>
      </c>
      <c r="AC7" s="100" t="s">
        <v>128</v>
      </c>
      <c r="AD7" s="100" t="s">
        <v>208</v>
      </c>
      <c r="AE7" s="100" t="s">
        <v>209</v>
      </c>
      <c r="AF7" s="100" t="s">
        <v>210</v>
      </c>
      <c r="AG7" s="144">
        <v>4.0</v>
      </c>
      <c r="AH7" s="111" t="s">
        <v>220</v>
      </c>
      <c r="AI7" s="137" t="s">
        <v>221</v>
      </c>
      <c r="AJ7" s="113">
        <f t="shared" si="1"/>
        <v>44298</v>
      </c>
      <c r="AK7" s="114">
        <f t="shared" si="2"/>
        <v>-416</v>
      </c>
      <c r="AL7" s="115" t="str">
        <f t="shared" si="3"/>
        <v>Reporte ok</v>
      </c>
      <c r="AM7" s="115"/>
      <c r="AN7" s="116"/>
    </row>
    <row r="8" ht="67.5" customHeight="1">
      <c r="A8" s="37"/>
      <c r="B8" s="100">
        <v>11.0</v>
      </c>
      <c r="C8" s="100" t="s">
        <v>201</v>
      </c>
      <c r="D8" s="100" t="s">
        <v>7</v>
      </c>
      <c r="E8" s="100" t="s">
        <v>112</v>
      </c>
      <c r="F8" s="100">
        <v>2.01801E12</v>
      </c>
      <c r="G8" s="101" t="s">
        <v>113</v>
      </c>
      <c r="H8" s="100" t="s">
        <v>138</v>
      </c>
      <c r="I8" s="100" t="s">
        <v>139</v>
      </c>
      <c r="J8" s="100" t="s">
        <v>140</v>
      </c>
      <c r="K8" s="102" t="s">
        <v>141</v>
      </c>
      <c r="L8" s="102" t="s">
        <v>118</v>
      </c>
      <c r="M8" s="102" t="s">
        <v>142</v>
      </c>
      <c r="N8" s="103" t="s">
        <v>222</v>
      </c>
      <c r="O8" s="123"/>
      <c r="P8" s="118">
        <v>1.0</v>
      </c>
      <c r="Q8" s="106" t="s">
        <v>223</v>
      </c>
      <c r="R8" s="107" t="s">
        <v>219</v>
      </c>
      <c r="S8" s="118">
        <v>1.0</v>
      </c>
      <c r="T8" s="130">
        <v>1.0</v>
      </c>
      <c r="U8" s="130">
        <v>1.0</v>
      </c>
      <c r="V8" s="130">
        <v>1.0</v>
      </c>
      <c r="W8" s="109" t="s">
        <v>7</v>
      </c>
      <c r="X8" s="101" t="s">
        <v>205</v>
      </c>
      <c r="Y8" s="100" t="s">
        <v>206</v>
      </c>
      <c r="Z8" s="101" t="s">
        <v>207</v>
      </c>
      <c r="AA8" s="100" t="s">
        <v>152</v>
      </c>
      <c r="AB8" s="100" t="s">
        <v>173</v>
      </c>
      <c r="AC8" s="100" t="s">
        <v>128</v>
      </c>
      <c r="AD8" s="100" t="s">
        <v>208</v>
      </c>
      <c r="AE8" s="100" t="s">
        <v>209</v>
      </c>
      <c r="AF8" s="100" t="s">
        <v>210</v>
      </c>
      <c r="AG8" s="110">
        <v>1.0</v>
      </c>
      <c r="AH8" s="111" t="s">
        <v>224</v>
      </c>
      <c r="AI8" s="137" t="s">
        <v>225</v>
      </c>
      <c r="AJ8" s="113">
        <f t="shared" si="1"/>
        <v>44298</v>
      </c>
      <c r="AK8" s="114">
        <f t="shared" si="2"/>
        <v>-416</v>
      </c>
      <c r="AL8" s="115" t="str">
        <f t="shared" si="3"/>
        <v>Reporte ok</v>
      </c>
      <c r="AM8" s="115"/>
      <c r="AN8" s="116"/>
    </row>
    <row r="9" ht="67.5" customHeight="1">
      <c r="A9" s="37"/>
      <c r="B9" s="100">
        <v>12.0</v>
      </c>
      <c r="C9" s="100" t="s">
        <v>201</v>
      </c>
      <c r="D9" s="100" t="s">
        <v>7</v>
      </c>
      <c r="E9" s="100" t="s">
        <v>112</v>
      </c>
      <c r="F9" s="100">
        <v>2.01801E12</v>
      </c>
      <c r="G9" s="101" t="s">
        <v>113</v>
      </c>
      <c r="H9" s="100" t="s">
        <v>138</v>
      </c>
      <c r="I9" s="100" t="s">
        <v>139</v>
      </c>
      <c r="J9" s="100" t="s">
        <v>140</v>
      </c>
      <c r="K9" s="102" t="s">
        <v>141</v>
      </c>
      <c r="L9" s="102" t="s">
        <v>118</v>
      </c>
      <c r="M9" s="102" t="s">
        <v>202</v>
      </c>
      <c r="N9" s="103" t="s">
        <v>226</v>
      </c>
      <c r="O9" s="123"/>
      <c r="P9" s="131">
        <v>10.0</v>
      </c>
      <c r="Q9" s="106" t="s">
        <v>227</v>
      </c>
      <c r="R9" s="107" t="s">
        <v>163</v>
      </c>
      <c r="S9" s="131">
        <v>0.0</v>
      </c>
      <c r="T9" s="131">
        <v>4.0</v>
      </c>
      <c r="U9" s="131">
        <v>4.0</v>
      </c>
      <c r="V9" s="131">
        <v>2.0</v>
      </c>
      <c r="W9" s="109" t="s">
        <v>7</v>
      </c>
      <c r="X9" s="101" t="s">
        <v>205</v>
      </c>
      <c r="Y9" s="100" t="s">
        <v>206</v>
      </c>
      <c r="Z9" s="101" t="s">
        <v>207</v>
      </c>
      <c r="AA9" s="100" t="s">
        <v>152</v>
      </c>
      <c r="AB9" s="100" t="s">
        <v>173</v>
      </c>
      <c r="AC9" s="100" t="s">
        <v>128</v>
      </c>
      <c r="AD9" s="100" t="s">
        <v>208</v>
      </c>
      <c r="AE9" s="100" t="s">
        <v>209</v>
      </c>
      <c r="AF9" s="100" t="s">
        <v>210</v>
      </c>
      <c r="AG9" s="132">
        <v>0.0</v>
      </c>
      <c r="AH9" s="111" t="s">
        <v>211</v>
      </c>
      <c r="AI9" s="112"/>
      <c r="AJ9" s="113">
        <f t="shared" si="1"/>
        <v>44298</v>
      </c>
      <c r="AK9" s="114">
        <f t="shared" si="2"/>
        <v>-416</v>
      </c>
      <c r="AL9" s="115" t="str">
        <f t="shared" si="3"/>
        <v>Pendiente Evidencia</v>
      </c>
      <c r="AM9" s="115"/>
      <c r="AN9" s="116"/>
    </row>
    <row r="10" ht="67.5" customHeight="1">
      <c r="A10" s="37"/>
      <c r="B10" s="100">
        <v>13.0</v>
      </c>
      <c r="C10" s="100" t="s">
        <v>201</v>
      </c>
      <c r="D10" s="100" t="s">
        <v>7</v>
      </c>
      <c r="E10" s="100" t="s">
        <v>112</v>
      </c>
      <c r="F10" s="100">
        <v>2.01801E12</v>
      </c>
      <c r="G10" s="101" t="s">
        <v>113</v>
      </c>
      <c r="H10" s="100" t="s">
        <v>138</v>
      </c>
      <c r="I10" s="100" t="s">
        <v>139</v>
      </c>
      <c r="J10" s="100" t="s">
        <v>140</v>
      </c>
      <c r="K10" s="102" t="s">
        <v>141</v>
      </c>
      <c r="L10" s="102" t="s">
        <v>228</v>
      </c>
      <c r="M10" s="102" t="s">
        <v>202</v>
      </c>
      <c r="N10" s="103" t="s">
        <v>229</v>
      </c>
      <c r="O10" s="123"/>
      <c r="P10" s="105">
        <v>20.0</v>
      </c>
      <c r="Q10" s="106" t="s">
        <v>230</v>
      </c>
      <c r="R10" s="107" t="s">
        <v>219</v>
      </c>
      <c r="S10" s="105">
        <v>3.0</v>
      </c>
      <c r="T10" s="108">
        <v>6.0</v>
      </c>
      <c r="U10" s="108">
        <v>6.0</v>
      </c>
      <c r="V10" s="108">
        <v>5.0</v>
      </c>
      <c r="W10" s="109" t="s">
        <v>7</v>
      </c>
      <c r="X10" s="101" t="s">
        <v>205</v>
      </c>
      <c r="Y10" s="100" t="s">
        <v>206</v>
      </c>
      <c r="Z10" s="101" t="s">
        <v>207</v>
      </c>
      <c r="AA10" s="100" t="s">
        <v>152</v>
      </c>
      <c r="AB10" s="100" t="s">
        <v>173</v>
      </c>
      <c r="AC10" s="100" t="s">
        <v>128</v>
      </c>
      <c r="AD10" s="100" t="s">
        <v>208</v>
      </c>
      <c r="AE10" s="100" t="s">
        <v>209</v>
      </c>
      <c r="AF10" s="100" t="s">
        <v>210</v>
      </c>
      <c r="AG10" s="144">
        <v>3.0</v>
      </c>
      <c r="AH10" s="111" t="s">
        <v>231</v>
      </c>
      <c r="AI10" s="137" t="s">
        <v>232</v>
      </c>
      <c r="AJ10" s="113">
        <f t="shared" si="1"/>
        <v>44298</v>
      </c>
      <c r="AK10" s="114">
        <f t="shared" si="2"/>
        <v>-416</v>
      </c>
      <c r="AL10" s="115" t="str">
        <f t="shared" si="3"/>
        <v>Reporte ok</v>
      </c>
      <c r="AM10" s="115"/>
      <c r="AN10" s="116"/>
    </row>
    <row r="11" ht="67.5" customHeight="1">
      <c r="A11" s="37"/>
      <c r="B11" s="119"/>
      <c r="C11" s="119"/>
      <c r="D11" s="119"/>
      <c r="E11" s="119"/>
      <c r="F11" s="142"/>
      <c r="G11" s="120"/>
      <c r="H11" s="119"/>
      <c r="I11" s="119"/>
      <c r="J11" s="119"/>
      <c r="K11" s="121"/>
      <c r="L11" s="121"/>
      <c r="M11" s="121"/>
      <c r="N11" s="122"/>
      <c r="O11" s="123"/>
      <c r="P11" s="124"/>
      <c r="Q11" s="125"/>
      <c r="R11" s="126"/>
      <c r="S11" s="124"/>
      <c r="T11" s="127"/>
      <c r="U11" s="127"/>
      <c r="V11" s="127"/>
      <c r="W11" s="128"/>
      <c r="X11" s="120"/>
      <c r="Y11" s="119"/>
      <c r="Z11" s="120"/>
      <c r="AA11" s="119"/>
      <c r="AB11" s="119"/>
      <c r="AC11" s="119"/>
      <c r="AD11" s="119"/>
      <c r="AE11" s="119"/>
      <c r="AF11" s="119"/>
      <c r="AG11" s="129"/>
      <c r="AH11" s="129"/>
      <c r="AI11" s="112"/>
      <c r="AJ11" s="113"/>
      <c r="AK11" s="114"/>
      <c r="AL11" s="115"/>
      <c r="AM11" s="115"/>
      <c r="AN11" s="116"/>
    </row>
    <row r="12" ht="67.5" customHeight="1">
      <c r="A12" s="37"/>
      <c r="B12" s="119"/>
      <c r="C12" s="119"/>
      <c r="D12" s="119"/>
      <c r="E12" s="119"/>
      <c r="F12" s="142"/>
      <c r="G12" s="120"/>
      <c r="H12" s="119"/>
      <c r="I12" s="119"/>
      <c r="J12" s="119"/>
      <c r="K12" s="121"/>
      <c r="L12" s="121"/>
      <c r="M12" s="121"/>
      <c r="N12" s="122"/>
      <c r="O12" s="123"/>
      <c r="P12" s="124"/>
      <c r="Q12" s="125"/>
      <c r="R12" s="126"/>
      <c r="S12" s="124"/>
      <c r="T12" s="127"/>
      <c r="U12" s="127"/>
      <c r="V12" s="127"/>
      <c r="W12" s="128"/>
      <c r="X12" s="120"/>
      <c r="Y12" s="119"/>
      <c r="Z12" s="120"/>
      <c r="AA12" s="119"/>
      <c r="AB12" s="119"/>
      <c r="AC12" s="119"/>
      <c r="AD12" s="119"/>
      <c r="AE12" s="119"/>
      <c r="AF12" s="119"/>
      <c r="AG12" s="129"/>
      <c r="AH12" s="129"/>
      <c r="AI12" s="112"/>
      <c r="AJ12" s="113"/>
      <c r="AK12" s="114"/>
      <c r="AL12" s="115"/>
      <c r="AM12" s="115"/>
      <c r="AN12" s="116"/>
    </row>
    <row r="13" ht="15.75" customHeight="1">
      <c r="F13" s="143"/>
    </row>
  </sheetData>
  <autoFilter ref="$A$3:$AN$12"/>
  <mergeCells count="2">
    <mergeCell ref="B1:C1"/>
    <mergeCell ref="AG2:AM2"/>
  </mergeCells>
  <conditionalFormatting sqref="AK4:AK12">
    <cfRule type="cellIs" dxfId="2" priority="1" operator="greaterThan">
      <formula>0</formula>
    </cfRule>
  </conditionalFormatting>
  <conditionalFormatting sqref="AK4:AK12">
    <cfRule type="cellIs" dxfId="3" priority="2" operator="lessThan">
      <formula>0</formula>
    </cfRule>
  </conditionalFormatting>
  <dataValidations>
    <dataValidation type="decimal" allowBlank="1" showDropDown="1" showInputMessage="1" showErrorMessage="1" prompt="Recuerde que debe ingresar un valor numérico o porcentaje" sqref="AG4:AG12">
      <formula1>0.0</formula1>
      <formula2>5000000.0</formula2>
    </dataValidation>
  </dataValidations>
  <hyperlinks>
    <hyperlink display="Home" location="Home!A1" ref="B1"/>
    <hyperlink r:id="rId1" ref="AI7"/>
    <hyperlink r:id="rId2" ref="AI8"/>
    <hyperlink r:id="rId3" ref="AI10"/>
  </hyperlinks>
  <printOptions gridLines="1" horizontalCentered="1"/>
  <pageMargins bottom="0.75" footer="0.0" header="0.0" left="0.7" right="0.7" top="0.75"/>
  <pageSetup cellComments="atEnd" orientation="portrait" pageOrder="overThenDown"/>
  <drawing r:id="rId4"/>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2.5"/>
    <col customWidth="1" min="17" max="17" width="50.63"/>
    <col customWidth="1" min="18" max="18" width="17.13"/>
    <col customWidth="1" min="19" max="19" width="16.0"/>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21.0</v>
      </c>
      <c r="C4" s="100" t="s">
        <v>233</v>
      </c>
      <c r="D4" s="100" t="s">
        <v>234</v>
      </c>
      <c r="E4" s="100" t="s">
        <v>112</v>
      </c>
      <c r="F4" s="100">
        <v>2.01801E12</v>
      </c>
      <c r="G4" s="101" t="s">
        <v>113</v>
      </c>
      <c r="H4" s="100" t="s">
        <v>138</v>
      </c>
      <c r="I4" s="100" t="s">
        <v>139</v>
      </c>
      <c r="J4" s="100" t="s">
        <v>235</v>
      </c>
      <c r="K4" s="102" t="s">
        <v>141</v>
      </c>
      <c r="L4" s="102" t="s">
        <v>236</v>
      </c>
      <c r="M4" s="102" t="s">
        <v>142</v>
      </c>
      <c r="N4" s="103" t="s">
        <v>237</v>
      </c>
      <c r="O4" s="123"/>
      <c r="P4" s="118">
        <v>1.0</v>
      </c>
      <c r="Q4" s="106" t="s">
        <v>238</v>
      </c>
      <c r="R4" s="107" t="s">
        <v>150</v>
      </c>
      <c r="S4" s="118">
        <v>0.0</v>
      </c>
      <c r="T4" s="118">
        <v>0.4</v>
      </c>
      <c r="U4" s="118">
        <v>0.0</v>
      </c>
      <c r="V4" s="118">
        <v>0.6</v>
      </c>
      <c r="W4" s="109" t="s">
        <v>239</v>
      </c>
      <c r="X4" s="101" t="s">
        <v>240</v>
      </c>
      <c r="Y4" s="100" t="s">
        <v>241</v>
      </c>
      <c r="Z4" s="101" t="s">
        <v>242</v>
      </c>
      <c r="AA4" s="100" t="s">
        <v>243</v>
      </c>
      <c r="AB4" s="100" t="s">
        <v>153</v>
      </c>
      <c r="AC4" s="100" t="s">
        <v>128</v>
      </c>
      <c r="AD4" s="100" t="s">
        <v>234</v>
      </c>
      <c r="AE4" s="100" t="s">
        <v>234</v>
      </c>
      <c r="AF4" s="100" t="s">
        <v>131</v>
      </c>
      <c r="AG4" s="110">
        <v>0.0</v>
      </c>
      <c r="AH4" s="111" t="s">
        <v>244</v>
      </c>
      <c r="AI4" s="111" t="s">
        <v>244</v>
      </c>
      <c r="AJ4" s="113">
        <f>$AK$1</f>
        <v>44298</v>
      </c>
      <c r="AK4" s="114">
        <f>AJ4-$AL$1</f>
        <v>-416</v>
      </c>
      <c r="AL4" s="115" t="str">
        <f>IF(ISBLANK(AG4),"Pendiente Ejecución"&amp;CHAR(10),)&amp;IF(ISBLANK(AH4),"Pendiente Justificación"&amp;CHAR(10),)&amp;IF(ISBLANK(AI4),"Pendiente Evidencia",)&amp;IF(OR(ISBLANK(AG4),ISBLANK(AH4),ISBLANK(AI4)),,"Reporte ok")</f>
        <v>Reporte ok</v>
      </c>
      <c r="AM4" s="115"/>
      <c r="AN4" s="116"/>
    </row>
    <row r="5" ht="67.5" customHeight="1">
      <c r="A5" s="37"/>
      <c r="B5" s="119"/>
      <c r="C5" s="119"/>
      <c r="D5" s="119"/>
      <c r="E5" s="119"/>
      <c r="F5" s="142"/>
      <c r="G5" s="120"/>
      <c r="H5" s="119"/>
      <c r="I5" s="119"/>
      <c r="J5" s="119"/>
      <c r="K5" s="121"/>
      <c r="L5" s="121"/>
      <c r="M5" s="121"/>
      <c r="N5" s="122"/>
      <c r="O5" s="123"/>
      <c r="P5" s="145"/>
      <c r="Q5" s="125"/>
      <c r="R5" s="126"/>
      <c r="S5" s="145"/>
      <c r="T5" s="145"/>
      <c r="U5" s="145"/>
      <c r="V5" s="145"/>
      <c r="W5" s="128"/>
      <c r="X5" s="120"/>
      <c r="Y5" s="119"/>
      <c r="Z5" s="120"/>
      <c r="AA5" s="119"/>
      <c r="AB5" s="119"/>
      <c r="AC5" s="119"/>
      <c r="AD5" s="119"/>
      <c r="AE5" s="119"/>
      <c r="AF5" s="119"/>
      <c r="AG5" s="129"/>
      <c r="AH5" s="129"/>
      <c r="AI5" s="112"/>
      <c r="AJ5" s="113"/>
      <c r="AK5" s="114"/>
      <c r="AL5" s="115"/>
      <c r="AM5" s="115"/>
      <c r="AN5" s="116"/>
    </row>
    <row r="6" ht="67.5" customHeight="1">
      <c r="A6" s="37"/>
      <c r="B6" s="119"/>
      <c r="C6" s="119"/>
      <c r="D6" s="119"/>
      <c r="E6" s="119"/>
      <c r="F6" s="142"/>
      <c r="G6" s="120"/>
      <c r="H6" s="119"/>
      <c r="I6" s="119"/>
      <c r="J6" s="119"/>
      <c r="K6" s="121"/>
      <c r="L6" s="121"/>
      <c r="M6" s="121"/>
      <c r="N6" s="122"/>
      <c r="O6" s="123"/>
      <c r="P6" s="124"/>
      <c r="Q6" s="125"/>
      <c r="R6" s="126"/>
      <c r="S6" s="127"/>
      <c r="T6" s="127"/>
      <c r="U6" s="127"/>
      <c r="V6" s="127"/>
      <c r="W6" s="128"/>
      <c r="X6" s="120"/>
      <c r="Y6" s="119"/>
      <c r="Z6" s="120"/>
      <c r="AA6" s="119"/>
      <c r="AB6" s="119"/>
      <c r="AC6" s="119"/>
      <c r="AD6" s="119"/>
      <c r="AE6" s="119"/>
      <c r="AF6" s="119"/>
      <c r="AG6" s="129"/>
      <c r="AH6" s="129"/>
      <c r="AI6" s="112"/>
      <c r="AJ6" s="113"/>
      <c r="AK6" s="114"/>
      <c r="AL6" s="115"/>
      <c r="AM6" s="115"/>
      <c r="AN6" s="116"/>
    </row>
    <row r="7" ht="15.75" customHeight="1">
      <c r="F7" s="143"/>
    </row>
  </sheetData>
  <autoFilter ref="$A$3:$AN$6"/>
  <mergeCells count="2">
    <mergeCell ref="B1:C1"/>
    <mergeCell ref="AG2:AM2"/>
  </mergeCells>
  <conditionalFormatting sqref="AK4:AK6">
    <cfRule type="cellIs" dxfId="2" priority="1" operator="greaterThan">
      <formula>0</formula>
    </cfRule>
  </conditionalFormatting>
  <conditionalFormatting sqref="AK4:AK6">
    <cfRule type="cellIs" dxfId="3" priority="2" operator="lessThan">
      <formula>0</formula>
    </cfRule>
  </conditionalFormatting>
  <dataValidations>
    <dataValidation type="decimal" allowBlank="1" showDropDown="1" showInputMessage="1" showErrorMessage="1" prompt="Recuerde que debe ingresar un valor numérico o porcentaje" sqref="AG4:AG6">
      <formula1>0.0</formula1>
      <formula2>5000000.0</formula2>
    </dataValidation>
  </dataValidations>
  <hyperlinks>
    <hyperlink display="Home" location="Home!A1" ref="B1"/>
  </hyperlinks>
  <printOptions gridLines="1" horizontalCentered="1"/>
  <pageMargins bottom="0.75" footer="0.0" header="0.0" left="0.7" right="0.7" top="0.75"/>
  <pageSetup cellComments="atEnd" orientation="portrait" pageOrder="overThenDown"/>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53.0</v>
      </c>
      <c r="C4" s="100" t="s">
        <v>245</v>
      </c>
      <c r="D4" s="100" t="s">
        <v>2</v>
      </c>
      <c r="E4" s="100" t="s">
        <v>112</v>
      </c>
      <c r="F4" s="100">
        <v>2.01801E12</v>
      </c>
      <c r="G4" s="101" t="s">
        <v>113</v>
      </c>
      <c r="H4" s="100" t="s">
        <v>138</v>
      </c>
      <c r="I4" s="100" t="s">
        <v>139</v>
      </c>
      <c r="J4" s="100" t="s">
        <v>140</v>
      </c>
      <c r="K4" s="102" t="s">
        <v>141</v>
      </c>
      <c r="L4" s="102" t="s">
        <v>118</v>
      </c>
      <c r="M4" s="102" t="s">
        <v>119</v>
      </c>
      <c r="N4" s="103" t="s">
        <v>246</v>
      </c>
      <c r="O4" s="123"/>
      <c r="P4" s="105">
        <v>12.0</v>
      </c>
      <c r="Q4" s="106" t="s">
        <v>247</v>
      </c>
      <c r="R4" s="107" t="s">
        <v>219</v>
      </c>
      <c r="S4" s="105">
        <v>3.0</v>
      </c>
      <c r="T4" s="108">
        <v>3.0</v>
      </c>
      <c r="U4" s="108">
        <v>3.0</v>
      </c>
      <c r="V4" s="108">
        <v>3.0</v>
      </c>
      <c r="W4" s="109" t="s">
        <v>2</v>
      </c>
      <c r="X4" s="101" t="s">
        <v>248</v>
      </c>
      <c r="Y4" s="100" t="s">
        <v>249</v>
      </c>
      <c r="Z4" s="101" t="s">
        <v>250</v>
      </c>
      <c r="AA4" s="100" t="s">
        <v>152</v>
      </c>
      <c r="AB4" s="100" t="s">
        <v>153</v>
      </c>
      <c r="AC4" s="100" t="s">
        <v>128</v>
      </c>
      <c r="AD4" s="100" t="s">
        <v>208</v>
      </c>
      <c r="AE4" s="100" t="s">
        <v>209</v>
      </c>
      <c r="AF4" s="100" t="s">
        <v>131</v>
      </c>
      <c r="AG4" s="144"/>
      <c r="AH4" s="129"/>
      <c r="AI4" s="112"/>
      <c r="AJ4" s="113">
        <f t="shared" ref="AJ4:AJ6" si="1">$AK$1</f>
        <v>44298</v>
      </c>
      <c r="AK4" s="114">
        <f t="shared" ref="AK4:AK6" si="2">AJ4-$AL$1</f>
        <v>-416</v>
      </c>
      <c r="AL4" s="115" t="str">
        <f t="shared" ref="AL4:AL6" si="3">IF(ISBLANK(AG4),"Pendiente Ejecución"&amp;CHAR(10),)&amp;IF(ISBLANK(AH4),"Pendiente Justificación"&amp;CHAR(10),)&amp;IF(ISBLANK(AI4),"Pendiente Evidencia",)&amp;IF(OR(ISBLANK(AG4),ISBLANK(AH4),ISBLANK(AI4)),,"Reporte ok")</f>
        <v>Pendiente Ejecución
Pendiente Justificación
Pendiente Evidencia</v>
      </c>
      <c r="AM4" s="146" t="s">
        <v>251</v>
      </c>
      <c r="AN4" s="116"/>
    </row>
    <row r="5" ht="67.5" customHeight="1">
      <c r="A5" s="37"/>
      <c r="B5" s="100">
        <v>54.0</v>
      </c>
      <c r="C5" s="100" t="s">
        <v>245</v>
      </c>
      <c r="D5" s="100" t="s">
        <v>2</v>
      </c>
      <c r="E5" s="100" t="s">
        <v>112</v>
      </c>
      <c r="F5" s="100">
        <v>2.01801E12</v>
      </c>
      <c r="G5" s="101" t="s">
        <v>113</v>
      </c>
      <c r="H5" s="100" t="s">
        <v>138</v>
      </c>
      <c r="I5" s="100" t="s">
        <v>139</v>
      </c>
      <c r="J5" s="100" t="s">
        <v>140</v>
      </c>
      <c r="K5" s="102" t="s">
        <v>141</v>
      </c>
      <c r="L5" s="102" t="s">
        <v>118</v>
      </c>
      <c r="M5" s="102" t="s">
        <v>119</v>
      </c>
      <c r="N5" s="103" t="s">
        <v>252</v>
      </c>
      <c r="O5" s="123"/>
      <c r="P5" s="105">
        <v>12.0</v>
      </c>
      <c r="Q5" s="106" t="s">
        <v>247</v>
      </c>
      <c r="R5" s="107" t="s">
        <v>219</v>
      </c>
      <c r="S5" s="105">
        <v>3.0</v>
      </c>
      <c r="T5" s="108">
        <v>3.0</v>
      </c>
      <c r="U5" s="108">
        <v>3.0</v>
      </c>
      <c r="V5" s="108">
        <v>3.0</v>
      </c>
      <c r="W5" s="109" t="s">
        <v>2</v>
      </c>
      <c r="X5" s="101" t="s">
        <v>248</v>
      </c>
      <c r="Y5" s="100" t="s">
        <v>249</v>
      </c>
      <c r="Z5" s="101" t="s">
        <v>250</v>
      </c>
      <c r="AA5" s="100" t="s">
        <v>152</v>
      </c>
      <c r="AB5" s="100" t="s">
        <v>153</v>
      </c>
      <c r="AC5" s="100" t="s">
        <v>128</v>
      </c>
      <c r="AD5" s="100" t="s">
        <v>208</v>
      </c>
      <c r="AE5" s="100" t="s">
        <v>209</v>
      </c>
      <c r="AF5" s="100" t="s">
        <v>131</v>
      </c>
      <c r="AG5" s="144">
        <v>3.0</v>
      </c>
      <c r="AH5" s="111" t="s">
        <v>253</v>
      </c>
      <c r="AI5" s="117" t="s">
        <v>254</v>
      </c>
      <c r="AJ5" s="113">
        <f t="shared" si="1"/>
        <v>44298</v>
      </c>
      <c r="AK5" s="114">
        <f t="shared" si="2"/>
        <v>-416</v>
      </c>
      <c r="AL5" s="115" t="str">
        <f t="shared" si="3"/>
        <v>Reporte ok</v>
      </c>
      <c r="AM5" s="115"/>
      <c r="AN5" s="116"/>
    </row>
    <row r="6" ht="67.5" customHeight="1">
      <c r="A6" s="37"/>
      <c r="B6" s="100">
        <v>55.0</v>
      </c>
      <c r="C6" s="100" t="s">
        <v>245</v>
      </c>
      <c r="D6" s="100" t="s">
        <v>2</v>
      </c>
      <c r="E6" s="100" t="s">
        <v>112</v>
      </c>
      <c r="F6" s="100">
        <v>2.01801E12</v>
      </c>
      <c r="G6" s="101" t="s">
        <v>113</v>
      </c>
      <c r="H6" s="100" t="s">
        <v>138</v>
      </c>
      <c r="I6" s="100" t="s">
        <v>139</v>
      </c>
      <c r="J6" s="100" t="s">
        <v>140</v>
      </c>
      <c r="K6" s="102" t="s">
        <v>141</v>
      </c>
      <c r="L6" s="102" t="s">
        <v>118</v>
      </c>
      <c r="M6" s="102" t="s">
        <v>119</v>
      </c>
      <c r="N6" s="103" t="s">
        <v>255</v>
      </c>
      <c r="O6" s="123"/>
      <c r="P6" s="105">
        <v>12.0</v>
      </c>
      <c r="Q6" s="106" t="s">
        <v>256</v>
      </c>
      <c r="R6" s="107" t="s">
        <v>219</v>
      </c>
      <c r="S6" s="105">
        <v>3.0</v>
      </c>
      <c r="T6" s="108">
        <v>3.0</v>
      </c>
      <c r="U6" s="108">
        <v>3.0</v>
      </c>
      <c r="V6" s="108">
        <v>3.0</v>
      </c>
      <c r="W6" s="109" t="s">
        <v>2</v>
      </c>
      <c r="X6" s="101" t="s">
        <v>248</v>
      </c>
      <c r="Y6" s="100" t="s">
        <v>249</v>
      </c>
      <c r="Z6" s="101" t="s">
        <v>250</v>
      </c>
      <c r="AA6" s="100" t="s">
        <v>152</v>
      </c>
      <c r="AB6" s="100" t="s">
        <v>153</v>
      </c>
      <c r="AC6" s="100" t="s">
        <v>128</v>
      </c>
      <c r="AD6" s="100" t="s">
        <v>208</v>
      </c>
      <c r="AE6" s="100" t="s">
        <v>130</v>
      </c>
      <c r="AF6" s="100" t="s">
        <v>131</v>
      </c>
      <c r="AG6" s="144">
        <v>3.0</v>
      </c>
      <c r="AH6" s="111" t="s">
        <v>257</v>
      </c>
      <c r="AI6" s="137" t="s">
        <v>258</v>
      </c>
      <c r="AJ6" s="113">
        <f t="shared" si="1"/>
        <v>44298</v>
      </c>
      <c r="AK6" s="114">
        <f t="shared" si="2"/>
        <v>-416</v>
      </c>
      <c r="AL6" s="115" t="str">
        <f t="shared" si="3"/>
        <v>Reporte ok</v>
      </c>
      <c r="AM6" s="115"/>
      <c r="AN6" s="116"/>
    </row>
    <row r="7" ht="67.5" customHeight="1">
      <c r="A7" s="37"/>
      <c r="B7" s="119"/>
      <c r="C7" s="119"/>
      <c r="D7" s="119"/>
      <c r="E7" s="119"/>
      <c r="F7" s="142"/>
      <c r="G7" s="120"/>
      <c r="H7" s="119"/>
      <c r="I7" s="119"/>
      <c r="J7" s="119"/>
      <c r="K7" s="121"/>
      <c r="L7" s="121"/>
      <c r="M7" s="121"/>
      <c r="N7" s="122"/>
      <c r="O7" s="123"/>
      <c r="P7" s="124"/>
      <c r="Q7" s="125"/>
      <c r="R7" s="126"/>
      <c r="S7" s="124"/>
      <c r="T7" s="127"/>
      <c r="U7" s="127"/>
      <c r="V7" s="127"/>
      <c r="W7" s="128"/>
      <c r="X7" s="120"/>
      <c r="Y7" s="119"/>
      <c r="Z7" s="120"/>
      <c r="AA7" s="119"/>
      <c r="AB7" s="119"/>
      <c r="AC7" s="119"/>
      <c r="AD7" s="119"/>
      <c r="AE7" s="119"/>
      <c r="AF7" s="119"/>
      <c r="AG7" s="129"/>
      <c r="AH7" s="129"/>
      <c r="AI7" s="112"/>
      <c r="AJ7" s="113"/>
      <c r="AK7" s="114"/>
      <c r="AL7" s="115"/>
      <c r="AM7" s="115"/>
      <c r="AN7" s="116"/>
    </row>
    <row r="8" ht="67.5" customHeight="1">
      <c r="A8" s="37"/>
      <c r="B8" s="119"/>
      <c r="C8" s="119"/>
      <c r="D8" s="119"/>
      <c r="E8" s="119"/>
      <c r="F8" s="142"/>
      <c r="G8" s="120"/>
      <c r="H8" s="119"/>
      <c r="I8" s="119"/>
      <c r="J8" s="119"/>
      <c r="K8" s="121"/>
      <c r="L8" s="121"/>
      <c r="M8" s="121"/>
      <c r="N8" s="122"/>
      <c r="O8" s="123"/>
      <c r="P8" s="124"/>
      <c r="Q8" s="125"/>
      <c r="R8" s="126"/>
      <c r="S8" s="124"/>
      <c r="T8" s="127"/>
      <c r="U8" s="127"/>
      <c r="V8" s="127"/>
      <c r="W8" s="128"/>
      <c r="X8" s="120"/>
      <c r="Y8" s="119"/>
      <c r="Z8" s="120"/>
      <c r="AA8" s="119"/>
      <c r="AB8" s="119"/>
      <c r="AC8" s="119"/>
      <c r="AD8" s="119"/>
      <c r="AE8" s="119"/>
      <c r="AF8" s="119"/>
      <c r="AG8" s="129"/>
      <c r="AH8" s="129"/>
      <c r="AI8" s="112"/>
      <c r="AJ8" s="113"/>
      <c r="AK8" s="114"/>
      <c r="AL8" s="115"/>
      <c r="AM8" s="115"/>
      <c r="AN8" s="116"/>
    </row>
    <row r="9" ht="15.75" customHeight="1">
      <c r="F9" s="143"/>
    </row>
  </sheetData>
  <autoFilter ref="$A$3:$AN$8"/>
  <mergeCells count="2">
    <mergeCell ref="B1:C1"/>
    <mergeCell ref="AG2:AM2"/>
  </mergeCells>
  <conditionalFormatting sqref="AK4:AK8">
    <cfRule type="cellIs" dxfId="2" priority="1" operator="greaterThan">
      <formula>0</formula>
    </cfRule>
  </conditionalFormatting>
  <conditionalFormatting sqref="AK4:AK8">
    <cfRule type="cellIs" dxfId="3" priority="2" operator="lessThan">
      <formula>0</formula>
    </cfRule>
  </conditionalFormatting>
  <dataValidations>
    <dataValidation type="decimal" allowBlank="1" showDropDown="1" showInputMessage="1" showErrorMessage="1" prompt="Recuerde que debe ingresar un valor numérico o porcentaje" sqref="AG4:AG8">
      <formula1>0.0</formula1>
      <formula2>5000000.0</formula2>
    </dataValidation>
  </dataValidations>
  <hyperlinks>
    <hyperlink display="Home" location="Home!A1" ref="B1"/>
    <hyperlink r:id="rId1" ref="AI5"/>
    <hyperlink r:id="rId2" ref="AI6"/>
  </hyperlinks>
  <printOptions gridLines="1" horizontalCentered="1"/>
  <pageMargins bottom="0.75" footer="0.0" header="0.0" left="0.7" right="0.7" top="0.75"/>
  <pageSetup cellComments="atEnd" orientation="portrait" pageOrder="overThenDown"/>
  <drawing r:id="rId3"/>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22.0</v>
      </c>
      <c r="C4" s="100" t="s">
        <v>259</v>
      </c>
      <c r="D4" s="100" t="s">
        <v>260</v>
      </c>
      <c r="E4" s="100" t="s">
        <v>112</v>
      </c>
      <c r="F4" s="100">
        <v>2.01801E12</v>
      </c>
      <c r="G4" s="101" t="s">
        <v>113</v>
      </c>
      <c r="H4" s="100" t="s">
        <v>138</v>
      </c>
      <c r="I4" s="100" t="s">
        <v>139</v>
      </c>
      <c r="J4" s="100" t="s">
        <v>140</v>
      </c>
      <c r="K4" s="102" t="s">
        <v>141</v>
      </c>
      <c r="L4" s="102" t="s">
        <v>118</v>
      </c>
      <c r="M4" s="102" t="s">
        <v>119</v>
      </c>
      <c r="N4" s="103" t="s">
        <v>261</v>
      </c>
      <c r="O4" s="123"/>
      <c r="P4" s="105">
        <v>1.0</v>
      </c>
      <c r="Q4" s="106" t="s">
        <v>262</v>
      </c>
      <c r="R4" s="107" t="s">
        <v>121</v>
      </c>
      <c r="S4" s="105">
        <v>0.0</v>
      </c>
      <c r="T4" s="108">
        <v>0.0</v>
      </c>
      <c r="U4" s="108">
        <v>0.0</v>
      </c>
      <c r="V4" s="108">
        <v>1.0</v>
      </c>
      <c r="W4" s="109" t="s">
        <v>263</v>
      </c>
      <c r="X4" s="101" t="s">
        <v>264</v>
      </c>
      <c r="Y4" s="100" t="s">
        <v>265</v>
      </c>
      <c r="Z4" s="101" t="s">
        <v>266</v>
      </c>
      <c r="AA4" s="100" t="s">
        <v>152</v>
      </c>
      <c r="AB4" s="100" t="s">
        <v>173</v>
      </c>
      <c r="AC4" s="100" t="s">
        <v>128</v>
      </c>
      <c r="AD4" s="100" t="s">
        <v>174</v>
      </c>
      <c r="AE4" s="100" t="s">
        <v>174</v>
      </c>
      <c r="AF4" s="100" t="s">
        <v>131</v>
      </c>
      <c r="AG4" s="144">
        <v>0.0</v>
      </c>
      <c r="AH4" s="111" t="s">
        <v>267</v>
      </c>
      <c r="AI4" s="112"/>
      <c r="AJ4" s="113">
        <f t="shared" ref="AJ4:AJ6" si="1">$AK$1</f>
        <v>44298</v>
      </c>
      <c r="AK4" s="114">
        <f t="shared" ref="AK4:AK6" si="2">AJ4-$AL$1</f>
        <v>-416</v>
      </c>
      <c r="AL4" s="115" t="str">
        <f t="shared" ref="AL4:AL6" si="3">IF(ISBLANK(AG4),"Pendiente Ejecución"&amp;CHAR(10),)&amp;IF(ISBLANK(AH4),"Pendiente Justificación"&amp;CHAR(10),)&amp;IF(ISBLANK(AI4),"Pendiente Evidencia",)&amp;IF(OR(ISBLANK(AG4),ISBLANK(AH4),ISBLANK(AI4)),,"Reporte ok")</f>
        <v>Pendiente Evidencia</v>
      </c>
      <c r="AM4" s="146" t="s">
        <v>268</v>
      </c>
      <c r="AN4" s="116"/>
    </row>
    <row r="5" ht="67.5" customHeight="1">
      <c r="A5" s="37"/>
      <c r="B5" s="100">
        <v>23.0</v>
      </c>
      <c r="C5" s="100" t="s">
        <v>259</v>
      </c>
      <c r="D5" s="100" t="s">
        <v>260</v>
      </c>
      <c r="E5" s="100" t="s">
        <v>112</v>
      </c>
      <c r="F5" s="100">
        <v>2.01801E12</v>
      </c>
      <c r="G5" s="101" t="s">
        <v>113</v>
      </c>
      <c r="H5" s="100" t="s">
        <v>138</v>
      </c>
      <c r="I5" s="100" t="s">
        <v>139</v>
      </c>
      <c r="J5" s="100" t="s">
        <v>140</v>
      </c>
      <c r="K5" s="102" t="s">
        <v>141</v>
      </c>
      <c r="L5" s="102" t="s">
        <v>118</v>
      </c>
      <c r="M5" s="102" t="s">
        <v>142</v>
      </c>
      <c r="N5" s="103" t="s">
        <v>269</v>
      </c>
      <c r="O5" s="123"/>
      <c r="P5" s="118">
        <v>1.0</v>
      </c>
      <c r="Q5" s="106" t="s">
        <v>270</v>
      </c>
      <c r="R5" s="107" t="s">
        <v>163</v>
      </c>
      <c r="S5" s="118">
        <v>0.25</v>
      </c>
      <c r="T5" s="131">
        <v>0.25</v>
      </c>
      <c r="U5" s="131">
        <v>0.25</v>
      </c>
      <c r="V5" s="131">
        <v>0.25</v>
      </c>
      <c r="W5" s="109" t="s">
        <v>263</v>
      </c>
      <c r="X5" s="101" t="s">
        <v>264</v>
      </c>
      <c r="Y5" s="100" t="s">
        <v>265</v>
      </c>
      <c r="Z5" s="101" t="s">
        <v>266</v>
      </c>
      <c r="AA5" s="100" t="s">
        <v>152</v>
      </c>
      <c r="AB5" s="100" t="s">
        <v>173</v>
      </c>
      <c r="AC5" s="100" t="s">
        <v>128</v>
      </c>
      <c r="AD5" s="100" t="s">
        <v>174</v>
      </c>
      <c r="AE5" s="100" t="s">
        <v>174</v>
      </c>
      <c r="AF5" s="100" t="s">
        <v>131</v>
      </c>
      <c r="AG5" s="110">
        <v>0.25</v>
      </c>
      <c r="AH5" s="111" t="s">
        <v>271</v>
      </c>
      <c r="AI5" s="117" t="s">
        <v>272</v>
      </c>
      <c r="AJ5" s="113">
        <f t="shared" si="1"/>
        <v>44298</v>
      </c>
      <c r="AK5" s="114">
        <f t="shared" si="2"/>
        <v>-416</v>
      </c>
      <c r="AL5" s="115" t="str">
        <f t="shared" si="3"/>
        <v>Reporte ok</v>
      </c>
      <c r="AM5" s="146" t="s">
        <v>268</v>
      </c>
      <c r="AN5" s="116"/>
    </row>
    <row r="6" ht="67.5" customHeight="1">
      <c r="A6" s="37"/>
      <c r="B6" s="100">
        <v>24.0</v>
      </c>
      <c r="C6" s="100" t="s">
        <v>259</v>
      </c>
      <c r="D6" s="100" t="s">
        <v>260</v>
      </c>
      <c r="E6" s="100" t="s">
        <v>112</v>
      </c>
      <c r="F6" s="100">
        <v>2.01801E12</v>
      </c>
      <c r="G6" s="101" t="s">
        <v>113</v>
      </c>
      <c r="H6" s="100" t="s">
        <v>138</v>
      </c>
      <c r="I6" s="100" t="s">
        <v>139</v>
      </c>
      <c r="J6" s="100" t="s">
        <v>140</v>
      </c>
      <c r="K6" s="102" t="s">
        <v>141</v>
      </c>
      <c r="L6" s="102" t="s">
        <v>118</v>
      </c>
      <c r="M6" s="102" t="s">
        <v>119</v>
      </c>
      <c r="N6" s="103" t="s">
        <v>273</v>
      </c>
      <c r="O6" s="123"/>
      <c r="P6" s="105">
        <v>11.0</v>
      </c>
      <c r="Q6" s="106" t="s">
        <v>274</v>
      </c>
      <c r="R6" s="107" t="s">
        <v>163</v>
      </c>
      <c r="S6" s="105">
        <v>2.0</v>
      </c>
      <c r="T6" s="108">
        <v>3.0</v>
      </c>
      <c r="U6" s="108">
        <v>3.0</v>
      </c>
      <c r="V6" s="108">
        <v>3.0</v>
      </c>
      <c r="W6" s="109" t="s">
        <v>263</v>
      </c>
      <c r="X6" s="101" t="s">
        <v>264</v>
      </c>
      <c r="Y6" s="100" t="s">
        <v>265</v>
      </c>
      <c r="Z6" s="101" t="s">
        <v>266</v>
      </c>
      <c r="AA6" s="100" t="s">
        <v>152</v>
      </c>
      <c r="AB6" s="100" t="s">
        <v>173</v>
      </c>
      <c r="AC6" s="100" t="s">
        <v>128</v>
      </c>
      <c r="AD6" s="100" t="s">
        <v>174</v>
      </c>
      <c r="AE6" s="100" t="s">
        <v>174</v>
      </c>
      <c r="AF6" s="100" t="s">
        <v>131</v>
      </c>
      <c r="AG6" s="144">
        <v>2.0</v>
      </c>
      <c r="AH6" s="111" t="s">
        <v>275</v>
      </c>
      <c r="AI6" s="117" t="s">
        <v>276</v>
      </c>
      <c r="AJ6" s="113">
        <f t="shared" si="1"/>
        <v>44298</v>
      </c>
      <c r="AK6" s="114">
        <f t="shared" si="2"/>
        <v>-416</v>
      </c>
      <c r="AL6" s="115" t="str">
        <f t="shared" si="3"/>
        <v>Reporte ok</v>
      </c>
      <c r="AM6" s="146" t="s">
        <v>268</v>
      </c>
      <c r="AN6" s="116"/>
    </row>
    <row r="7" ht="67.5" customHeight="1">
      <c r="A7" s="37"/>
      <c r="B7" s="119"/>
      <c r="C7" s="119"/>
      <c r="D7" s="119"/>
      <c r="E7" s="119"/>
      <c r="F7" s="142"/>
      <c r="G7" s="120"/>
      <c r="H7" s="119"/>
      <c r="I7" s="119"/>
      <c r="J7" s="119"/>
      <c r="K7" s="121"/>
      <c r="L7" s="121"/>
      <c r="M7" s="121"/>
      <c r="N7" s="122"/>
      <c r="O7" s="123"/>
      <c r="P7" s="124"/>
      <c r="Q7" s="125"/>
      <c r="R7" s="126"/>
      <c r="S7" s="124"/>
      <c r="T7" s="127"/>
      <c r="U7" s="127"/>
      <c r="V7" s="127"/>
      <c r="W7" s="128"/>
      <c r="X7" s="120"/>
      <c r="Y7" s="119"/>
      <c r="Z7" s="120"/>
      <c r="AA7" s="119"/>
      <c r="AB7" s="119"/>
      <c r="AC7" s="119"/>
      <c r="AD7" s="119"/>
      <c r="AE7" s="119"/>
      <c r="AF7" s="119"/>
      <c r="AG7" s="129"/>
      <c r="AH7" s="129"/>
      <c r="AI7" s="112"/>
      <c r="AJ7" s="113"/>
      <c r="AK7" s="114"/>
      <c r="AL7" s="115"/>
      <c r="AM7" s="115"/>
      <c r="AN7" s="116"/>
    </row>
    <row r="8" ht="67.5" customHeight="1">
      <c r="A8" s="37"/>
      <c r="B8" s="119"/>
      <c r="C8" s="119"/>
      <c r="D8" s="119"/>
      <c r="E8" s="119"/>
      <c r="F8" s="142"/>
      <c r="G8" s="120"/>
      <c r="H8" s="119"/>
      <c r="I8" s="119"/>
      <c r="J8" s="119"/>
      <c r="K8" s="121"/>
      <c r="L8" s="121"/>
      <c r="M8" s="121"/>
      <c r="N8" s="122"/>
      <c r="O8" s="123"/>
      <c r="P8" s="124"/>
      <c r="Q8" s="125"/>
      <c r="R8" s="126"/>
      <c r="S8" s="124"/>
      <c r="T8" s="127"/>
      <c r="U8" s="127"/>
      <c r="V8" s="127"/>
      <c r="W8" s="128"/>
      <c r="X8" s="120"/>
      <c r="Y8" s="119"/>
      <c r="Z8" s="120"/>
      <c r="AA8" s="119"/>
      <c r="AB8" s="119"/>
      <c r="AC8" s="119"/>
      <c r="AD8" s="119"/>
      <c r="AE8" s="119"/>
      <c r="AF8" s="119"/>
      <c r="AG8" s="129"/>
      <c r="AH8" s="129"/>
      <c r="AI8" s="112"/>
      <c r="AJ8" s="113"/>
      <c r="AK8" s="114"/>
      <c r="AL8" s="115"/>
      <c r="AM8" s="115"/>
      <c r="AN8" s="116"/>
    </row>
    <row r="9" ht="15.75" customHeight="1">
      <c r="F9" s="143"/>
    </row>
  </sheetData>
  <autoFilter ref="$A$3:$AN$8"/>
  <mergeCells count="2">
    <mergeCell ref="B1:C1"/>
    <mergeCell ref="AG2:AM2"/>
  </mergeCells>
  <conditionalFormatting sqref="AK4:AK8">
    <cfRule type="cellIs" dxfId="2" priority="1" operator="greaterThan">
      <formula>0</formula>
    </cfRule>
  </conditionalFormatting>
  <conditionalFormatting sqref="AK4:AK8">
    <cfRule type="cellIs" dxfId="3" priority="2" operator="lessThan">
      <formula>0</formula>
    </cfRule>
  </conditionalFormatting>
  <dataValidations>
    <dataValidation type="decimal" allowBlank="1" showDropDown="1" showInputMessage="1" showErrorMessage="1" prompt="Recuerde que debe ingresar un valor numérico o porcentaje" sqref="AG4:AG8">
      <formula1>0.0</formula1>
      <formula2>5000000.0</formula2>
    </dataValidation>
  </dataValidations>
  <hyperlinks>
    <hyperlink display="Home" location="Home!A1" ref="B1"/>
    <hyperlink r:id="rId1" ref="AI5"/>
    <hyperlink r:id="rId2" ref="AI6"/>
  </hyperlinks>
  <printOptions gridLines="1" horizontalCentered="1"/>
  <pageMargins bottom="0.75" footer="0.0" header="0.0" left="0.7" right="0.7" top="0.75"/>
  <pageSetup cellComments="atEnd" orientation="portrait" pageOrder="overThenDown"/>
  <drawing r:id="rId3"/>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33.0</v>
      </c>
      <c r="C4" s="100" t="s">
        <v>277</v>
      </c>
      <c r="D4" s="100" t="s">
        <v>278</v>
      </c>
      <c r="E4" s="100" t="s">
        <v>279</v>
      </c>
      <c r="F4" s="100">
        <v>2.01901E12</v>
      </c>
      <c r="G4" s="101" t="s">
        <v>280</v>
      </c>
      <c r="H4" s="100" t="s">
        <v>281</v>
      </c>
      <c r="I4" s="100" t="s">
        <v>282</v>
      </c>
      <c r="J4" s="100" t="s">
        <v>283</v>
      </c>
      <c r="K4" s="102" t="s">
        <v>117</v>
      </c>
      <c r="L4" s="102" t="s">
        <v>118</v>
      </c>
      <c r="M4" s="102" t="s">
        <v>119</v>
      </c>
      <c r="N4" s="103" t="s">
        <v>284</v>
      </c>
      <c r="O4" s="123"/>
      <c r="P4" s="105">
        <v>14000.0</v>
      </c>
      <c r="Q4" s="106" t="s">
        <v>285</v>
      </c>
      <c r="R4" s="107" t="s">
        <v>150</v>
      </c>
      <c r="S4" s="105">
        <v>0.0</v>
      </c>
      <c r="T4" s="108">
        <v>7000.0</v>
      </c>
      <c r="U4" s="108">
        <v>0.0</v>
      </c>
      <c r="V4" s="108">
        <v>7000.0</v>
      </c>
      <c r="W4" s="109" t="s">
        <v>19</v>
      </c>
      <c r="X4" s="101" t="s">
        <v>286</v>
      </c>
      <c r="Y4" s="100" t="s">
        <v>287</v>
      </c>
      <c r="Z4" s="101" t="s">
        <v>288</v>
      </c>
      <c r="AA4" s="100" t="s">
        <v>289</v>
      </c>
      <c r="AB4" s="100" t="s">
        <v>173</v>
      </c>
      <c r="AC4" s="100" t="s">
        <v>290</v>
      </c>
      <c r="AD4" s="100" t="s">
        <v>154</v>
      </c>
      <c r="AE4" s="100" t="s">
        <v>291</v>
      </c>
      <c r="AF4" s="100" t="s">
        <v>210</v>
      </c>
      <c r="AG4" s="111" t="s">
        <v>292</v>
      </c>
      <c r="AH4" s="111" t="s">
        <v>292</v>
      </c>
      <c r="AI4" s="111" t="s">
        <v>292</v>
      </c>
      <c r="AJ4" s="113">
        <f t="shared" ref="AJ4:AJ16" si="1">$AK$1</f>
        <v>44298</v>
      </c>
      <c r="AK4" s="114">
        <f t="shared" ref="AK4:AK16" si="2">AJ4-$AL$1</f>
        <v>-416</v>
      </c>
      <c r="AL4" s="115" t="str">
        <f t="shared" ref="AL4:AL16" si="3">IF(ISBLANK(AG4),"Pendiente Ejecución"&amp;CHAR(10),)&amp;IF(ISBLANK(AH4),"Pendiente Justificación"&amp;CHAR(10),)&amp;IF(ISBLANK(AI4),"Pendiente Evidencia",)&amp;IF(OR(ISBLANK(AG4),ISBLANK(AH4),ISBLANK(AI4)),,"Reporte ok")</f>
        <v>Reporte ok</v>
      </c>
      <c r="AM4" s="115"/>
      <c r="AN4" s="116"/>
    </row>
    <row r="5" ht="67.5" customHeight="1">
      <c r="A5" s="37"/>
      <c r="B5" s="100">
        <v>34.0</v>
      </c>
      <c r="C5" s="100" t="s">
        <v>277</v>
      </c>
      <c r="D5" s="100" t="s">
        <v>278</v>
      </c>
      <c r="E5" s="100" t="s">
        <v>279</v>
      </c>
      <c r="F5" s="100">
        <v>2.01901E12</v>
      </c>
      <c r="G5" s="101" t="s">
        <v>280</v>
      </c>
      <c r="H5" s="100" t="s">
        <v>281</v>
      </c>
      <c r="I5" s="100" t="s">
        <v>293</v>
      </c>
      <c r="J5" s="100" t="s">
        <v>294</v>
      </c>
      <c r="K5" s="102" t="s">
        <v>117</v>
      </c>
      <c r="L5" s="102" t="s">
        <v>118</v>
      </c>
      <c r="M5" s="102" t="s">
        <v>119</v>
      </c>
      <c r="N5" s="103" t="s">
        <v>295</v>
      </c>
      <c r="O5" s="104">
        <v>-3.0</v>
      </c>
      <c r="P5" s="105">
        <v>4.0</v>
      </c>
      <c r="Q5" s="106" t="s">
        <v>294</v>
      </c>
      <c r="R5" s="107" t="s">
        <v>150</v>
      </c>
      <c r="S5" s="105">
        <v>0.0</v>
      </c>
      <c r="T5" s="108">
        <v>1.0</v>
      </c>
      <c r="U5" s="127"/>
      <c r="V5" s="108">
        <v>3.0</v>
      </c>
      <c r="W5" s="109" t="s">
        <v>19</v>
      </c>
      <c r="X5" s="101" t="s">
        <v>286</v>
      </c>
      <c r="Y5" s="100" t="s">
        <v>287</v>
      </c>
      <c r="Z5" s="101" t="s">
        <v>288</v>
      </c>
      <c r="AA5" s="100" t="s">
        <v>289</v>
      </c>
      <c r="AB5" s="100" t="s">
        <v>173</v>
      </c>
      <c r="AC5" s="100" t="s">
        <v>290</v>
      </c>
      <c r="AD5" s="100" t="s">
        <v>154</v>
      </c>
      <c r="AE5" s="100" t="s">
        <v>291</v>
      </c>
      <c r="AF5" s="100" t="s">
        <v>210</v>
      </c>
      <c r="AG5" s="111" t="s">
        <v>292</v>
      </c>
      <c r="AH5" s="111" t="s">
        <v>292</v>
      </c>
      <c r="AI5" s="111" t="s">
        <v>292</v>
      </c>
      <c r="AJ5" s="113">
        <f t="shared" si="1"/>
        <v>44298</v>
      </c>
      <c r="AK5" s="114">
        <f t="shared" si="2"/>
        <v>-416</v>
      </c>
      <c r="AL5" s="115" t="str">
        <f t="shared" si="3"/>
        <v>Reporte ok</v>
      </c>
      <c r="AM5" s="115"/>
      <c r="AN5" s="116"/>
    </row>
    <row r="6" ht="67.5" customHeight="1">
      <c r="A6" s="37"/>
      <c r="B6" s="100">
        <v>35.0</v>
      </c>
      <c r="C6" s="100" t="s">
        <v>277</v>
      </c>
      <c r="D6" s="100" t="s">
        <v>278</v>
      </c>
      <c r="E6" s="100" t="s">
        <v>279</v>
      </c>
      <c r="F6" s="100">
        <v>2.01901E12</v>
      </c>
      <c r="G6" s="101" t="s">
        <v>280</v>
      </c>
      <c r="H6" s="100" t="s">
        <v>296</v>
      </c>
      <c r="I6" s="100" t="s">
        <v>297</v>
      </c>
      <c r="J6" s="100" t="s">
        <v>298</v>
      </c>
      <c r="K6" s="102" t="s">
        <v>117</v>
      </c>
      <c r="L6" s="102" t="s">
        <v>118</v>
      </c>
      <c r="M6" s="102" t="s">
        <v>119</v>
      </c>
      <c r="N6" s="103" t="s">
        <v>299</v>
      </c>
      <c r="O6" s="104">
        <v>-61.0</v>
      </c>
      <c r="P6" s="105">
        <v>200.0</v>
      </c>
      <c r="Q6" s="106" t="s">
        <v>300</v>
      </c>
      <c r="R6" s="107" t="s">
        <v>121</v>
      </c>
      <c r="S6" s="105">
        <v>0.0</v>
      </c>
      <c r="T6" s="127"/>
      <c r="U6" s="127"/>
      <c r="V6" s="108">
        <v>200.0</v>
      </c>
      <c r="W6" s="109" t="s">
        <v>19</v>
      </c>
      <c r="X6" s="101" t="s">
        <v>286</v>
      </c>
      <c r="Y6" s="100" t="s">
        <v>287</v>
      </c>
      <c r="Z6" s="101" t="s">
        <v>288</v>
      </c>
      <c r="AA6" s="100" t="s">
        <v>289</v>
      </c>
      <c r="AB6" s="100" t="s">
        <v>173</v>
      </c>
      <c r="AC6" s="100" t="s">
        <v>290</v>
      </c>
      <c r="AD6" s="100" t="s">
        <v>154</v>
      </c>
      <c r="AE6" s="100" t="s">
        <v>291</v>
      </c>
      <c r="AF6" s="100" t="s">
        <v>210</v>
      </c>
      <c r="AG6" s="111" t="s">
        <v>292</v>
      </c>
      <c r="AH6" s="111" t="s">
        <v>292</v>
      </c>
      <c r="AI6" s="111" t="s">
        <v>292</v>
      </c>
      <c r="AJ6" s="113">
        <f t="shared" si="1"/>
        <v>44298</v>
      </c>
      <c r="AK6" s="114">
        <f t="shared" si="2"/>
        <v>-416</v>
      </c>
      <c r="AL6" s="115" t="str">
        <f t="shared" si="3"/>
        <v>Reporte ok</v>
      </c>
      <c r="AM6" s="115"/>
      <c r="AN6" s="116"/>
    </row>
    <row r="7" ht="67.5" customHeight="1">
      <c r="A7" s="37"/>
      <c r="B7" s="100">
        <v>36.0</v>
      </c>
      <c r="C7" s="100" t="s">
        <v>277</v>
      </c>
      <c r="D7" s="100" t="s">
        <v>278</v>
      </c>
      <c r="E7" s="100" t="s">
        <v>279</v>
      </c>
      <c r="F7" s="100">
        <v>2.01901E12</v>
      </c>
      <c r="G7" s="101" t="s">
        <v>280</v>
      </c>
      <c r="H7" s="100" t="s">
        <v>296</v>
      </c>
      <c r="I7" s="100" t="s">
        <v>301</v>
      </c>
      <c r="J7" s="100" t="s">
        <v>302</v>
      </c>
      <c r="K7" s="102" t="s">
        <v>117</v>
      </c>
      <c r="L7" s="102" t="s">
        <v>118</v>
      </c>
      <c r="M7" s="102" t="s">
        <v>119</v>
      </c>
      <c r="N7" s="103" t="s">
        <v>303</v>
      </c>
      <c r="O7" s="104">
        <v>-1.0</v>
      </c>
      <c r="P7" s="105">
        <v>3.0</v>
      </c>
      <c r="Q7" s="106" t="s">
        <v>304</v>
      </c>
      <c r="R7" s="107" t="s">
        <v>121</v>
      </c>
      <c r="S7" s="105">
        <v>0.0</v>
      </c>
      <c r="T7" s="127"/>
      <c r="U7" s="127"/>
      <c r="V7" s="108">
        <v>3.0</v>
      </c>
      <c r="W7" s="109" t="s">
        <v>19</v>
      </c>
      <c r="X7" s="101" t="s">
        <v>286</v>
      </c>
      <c r="Y7" s="100" t="s">
        <v>287</v>
      </c>
      <c r="Z7" s="101" t="s">
        <v>288</v>
      </c>
      <c r="AA7" s="100" t="s">
        <v>289</v>
      </c>
      <c r="AB7" s="100" t="s">
        <v>173</v>
      </c>
      <c r="AC7" s="100" t="s">
        <v>290</v>
      </c>
      <c r="AD7" s="100" t="s">
        <v>154</v>
      </c>
      <c r="AE7" s="100" t="s">
        <v>291</v>
      </c>
      <c r="AF7" s="100" t="s">
        <v>210</v>
      </c>
      <c r="AG7" s="111" t="s">
        <v>292</v>
      </c>
      <c r="AH7" s="111" t="s">
        <v>292</v>
      </c>
      <c r="AI7" s="111" t="s">
        <v>292</v>
      </c>
      <c r="AJ7" s="113">
        <f t="shared" si="1"/>
        <v>44298</v>
      </c>
      <c r="AK7" s="114">
        <f t="shared" si="2"/>
        <v>-416</v>
      </c>
      <c r="AL7" s="115" t="str">
        <f t="shared" si="3"/>
        <v>Reporte ok</v>
      </c>
      <c r="AM7" s="115"/>
      <c r="AN7" s="116"/>
    </row>
    <row r="8" ht="67.5" customHeight="1">
      <c r="A8" s="37"/>
      <c r="B8" s="100">
        <v>37.0</v>
      </c>
      <c r="C8" s="100" t="s">
        <v>277</v>
      </c>
      <c r="D8" s="100" t="s">
        <v>278</v>
      </c>
      <c r="E8" s="100" t="s">
        <v>279</v>
      </c>
      <c r="F8" s="100">
        <v>2.01901E12</v>
      </c>
      <c r="G8" s="101" t="s">
        <v>280</v>
      </c>
      <c r="H8" s="100" t="s">
        <v>296</v>
      </c>
      <c r="I8" s="100" t="s">
        <v>301</v>
      </c>
      <c r="J8" s="100" t="s">
        <v>305</v>
      </c>
      <c r="K8" s="102" t="s">
        <v>306</v>
      </c>
      <c r="L8" s="102" t="s">
        <v>307</v>
      </c>
      <c r="M8" s="102" t="s">
        <v>119</v>
      </c>
      <c r="N8" s="103" t="s">
        <v>308</v>
      </c>
      <c r="O8" s="104">
        <v>15.0</v>
      </c>
      <c r="P8" s="105">
        <v>15.0</v>
      </c>
      <c r="Q8" s="106" t="s">
        <v>309</v>
      </c>
      <c r="R8" s="107" t="s">
        <v>121</v>
      </c>
      <c r="S8" s="105">
        <v>0.0</v>
      </c>
      <c r="T8" s="127"/>
      <c r="U8" s="127"/>
      <c r="V8" s="108">
        <v>15.0</v>
      </c>
      <c r="W8" s="109" t="s">
        <v>19</v>
      </c>
      <c r="X8" s="101" t="s">
        <v>286</v>
      </c>
      <c r="Y8" s="100" t="s">
        <v>287</v>
      </c>
      <c r="Z8" s="101" t="s">
        <v>288</v>
      </c>
      <c r="AA8" s="100" t="s">
        <v>289</v>
      </c>
      <c r="AB8" s="100" t="s">
        <v>173</v>
      </c>
      <c r="AC8" s="100" t="s">
        <v>290</v>
      </c>
      <c r="AD8" s="100" t="s">
        <v>154</v>
      </c>
      <c r="AE8" s="100" t="s">
        <v>291</v>
      </c>
      <c r="AF8" s="100" t="s">
        <v>210</v>
      </c>
      <c r="AG8" s="111" t="s">
        <v>292</v>
      </c>
      <c r="AH8" s="111" t="s">
        <v>292</v>
      </c>
      <c r="AI8" s="111" t="s">
        <v>292</v>
      </c>
      <c r="AJ8" s="113">
        <f t="shared" si="1"/>
        <v>44298</v>
      </c>
      <c r="AK8" s="114">
        <f t="shared" si="2"/>
        <v>-416</v>
      </c>
      <c r="AL8" s="115" t="str">
        <f t="shared" si="3"/>
        <v>Reporte ok</v>
      </c>
      <c r="AM8" s="115"/>
      <c r="AN8" s="116"/>
    </row>
    <row r="9" ht="67.5" customHeight="1">
      <c r="A9" s="37"/>
      <c r="B9" s="100">
        <v>38.0</v>
      </c>
      <c r="C9" s="100" t="s">
        <v>277</v>
      </c>
      <c r="D9" s="100" t="s">
        <v>278</v>
      </c>
      <c r="E9" s="100" t="s">
        <v>279</v>
      </c>
      <c r="F9" s="100">
        <v>2.01901E12</v>
      </c>
      <c r="G9" s="101" t="s">
        <v>280</v>
      </c>
      <c r="H9" s="100" t="s">
        <v>281</v>
      </c>
      <c r="I9" s="100" t="s">
        <v>293</v>
      </c>
      <c r="J9" s="100" t="s">
        <v>310</v>
      </c>
      <c r="K9" s="102" t="s">
        <v>117</v>
      </c>
      <c r="L9" s="102" t="s">
        <v>118</v>
      </c>
      <c r="M9" s="102" t="s">
        <v>119</v>
      </c>
      <c r="N9" s="103" t="s">
        <v>311</v>
      </c>
      <c r="O9" s="104">
        <v>-3.0</v>
      </c>
      <c r="P9" s="105">
        <v>11.0</v>
      </c>
      <c r="Q9" s="106" t="s">
        <v>312</v>
      </c>
      <c r="R9" s="107" t="s">
        <v>150</v>
      </c>
      <c r="S9" s="105">
        <v>0.0</v>
      </c>
      <c r="T9" s="108">
        <v>5.0</v>
      </c>
      <c r="U9" s="127"/>
      <c r="V9" s="108">
        <v>6.0</v>
      </c>
      <c r="W9" s="109" t="s">
        <v>19</v>
      </c>
      <c r="X9" s="101" t="s">
        <v>286</v>
      </c>
      <c r="Y9" s="100" t="s">
        <v>287</v>
      </c>
      <c r="Z9" s="101" t="s">
        <v>288</v>
      </c>
      <c r="AA9" s="100" t="s">
        <v>289</v>
      </c>
      <c r="AB9" s="100" t="s">
        <v>173</v>
      </c>
      <c r="AC9" s="100" t="s">
        <v>290</v>
      </c>
      <c r="AD9" s="100" t="s">
        <v>154</v>
      </c>
      <c r="AE9" s="100" t="s">
        <v>291</v>
      </c>
      <c r="AF9" s="100" t="s">
        <v>210</v>
      </c>
      <c r="AG9" s="111" t="s">
        <v>292</v>
      </c>
      <c r="AH9" s="111" t="s">
        <v>292</v>
      </c>
      <c r="AI9" s="111" t="s">
        <v>292</v>
      </c>
      <c r="AJ9" s="113">
        <f t="shared" si="1"/>
        <v>44298</v>
      </c>
      <c r="AK9" s="114">
        <f t="shared" si="2"/>
        <v>-416</v>
      </c>
      <c r="AL9" s="115" t="str">
        <f t="shared" si="3"/>
        <v>Reporte ok</v>
      </c>
      <c r="AM9" s="115"/>
      <c r="AN9" s="116"/>
    </row>
    <row r="10" ht="67.5" customHeight="1">
      <c r="A10" s="37"/>
      <c r="B10" s="100">
        <v>39.0</v>
      </c>
      <c r="C10" s="100" t="s">
        <v>277</v>
      </c>
      <c r="D10" s="100" t="s">
        <v>278</v>
      </c>
      <c r="E10" s="100" t="s">
        <v>279</v>
      </c>
      <c r="F10" s="100">
        <v>2.01901E12</v>
      </c>
      <c r="G10" s="101" t="s">
        <v>280</v>
      </c>
      <c r="H10" s="100" t="s">
        <v>296</v>
      </c>
      <c r="I10" s="100" t="s">
        <v>297</v>
      </c>
      <c r="J10" s="100" t="s">
        <v>313</v>
      </c>
      <c r="K10" s="102" t="s">
        <v>306</v>
      </c>
      <c r="L10" s="102" t="s">
        <v>307</v>
      </c>
      <c r="M10" s="102" t="s">
        <v>119</v>
      </c>
      <c r="N10" s="103" t="s">
        <v>314</v>
      </c>
      <c r="O10" s="104">
        <v>15.0</v>
      </c>
      <c r="P10" s="105">
        <v>5000.0</v>
      </c>
      <c r="Q10" s="106" t="s">
        <v>315</v>
      </c>
      <c r="R10" s="107" t="s">
        <v>121</v>
      </c>
      <c r="S10" s="105">
        <v>0.0</v>
      </c>
      <c r="T10" s="127"/>
      <c r="U10" s="127"/>
      <c r="V10" s="108">
        <v>5000.0</v>
      </c>
      <c r="W10" s="109" t="s">
        <v>19</v>
      </c>
      <c r="X10" s="101" t="s">
        <v>286</v>
      </c>
      <c r="Y10" s="100" t="s">
        <v>287</v>
      </c>
      <c r="Z10" s="101" t="s">
        <v>288</v>
      </c>
      <c r="AA10" s="100" t="s">
        <v>289</v>
      </c>
      <c r="AB10" s="100" t="s">
        <v>173</v>
      </c>
      <c r="AC10" s="100" t="s">
        <v>290</v>
      </c>
      <c r="AD10" s="100" t="s">
        <v>154</v>
      </c>
      <c r="AE10" s="100" t="s">
        <v>291</v>
      </c>
      <c r="AF10" s="100" t="s">
        <v>210</v>
      </c>
      <c r="AG10" s="111" t="s">
        <v>292</v>
      </c>
      <c r="AH10" s="111" t="s">
        <v>292</v>
      </c>
      <c r="AI10" s="111" t="s">
        <v>292</v>
      </c>
      <c r="AJ10" s="113">
        <f t="shared" si="1"/>
        <v>44298</v>
      </c>
      <c r="AK10" s="114">
        <f t="shared" si="2"/>
        <v>-416</v>
      </c>
      <c r="AL10" s="115" t="str">
        <f t="shared" si="3"/>
        <v>Reporte ok</v>
      </c>
      <c r="AM10" s="115"/>
      <c r="AN10" s="116"/>
    </row>
    <row r="11" ht="67.5" customHeight="1">
      <c r="A11" s="37"/>
      <c r="B11" s="100">
        <v>40.0</v>
      </c>
      <c r="C11" s="100" t="s">
        <v>277</v>
      </c>
      <c r="D11" s="100" t="s">
        <v>278</v>
      </c>
      <c r="E11" s="100" t="s">
        <v>279</v>
      </c>
      <c r="F11" s="100">
        <v>2.01901E12</v>
      </c>
      <c r="G11" s="101" t="s">
        <v>280</v>
      </c>
      <c r="H11" s="100" t="s">
        <v>281</v>
      </c>
      <c r="I11" s="100" t="s">
        <v>282</v>
      </c>
      <c r="J11" s="100" t="s">
        <v>283</v>
      </c>
      <c r="K11" s="102" t="s">
        <v>117</v>
      </c>
      <c r="L11" s="102" t="s">
        <v>118</v>
      </c>
      <c r="M11" s="102" t="s">
        <v>119</v>
      </c>
      <c r="N11" s="103" t="s">
        <v>316</v>
      </c>
      <c r="O11" s="104">
        <v>-7140.0</v>
      </c>
      <c r="P11" s="105">
        <v>15.0</v>
      </c>
      <c r="Q11" s="106" t="s">
        <v>317</v>
      </c>
      <c r="R11" s="107" t="s">
        <v>150</v>
      </c>
      <c r="S11" s="105">
        <v>0.0</v>
      </c>
      <c r="T11" s="108">
        <v>7.0</v>
      </c>
      <c r="U11" s="127"/>
      <c r="V11" s="108">
        <v>8.0</v>
      </c>
      <c r="W11" s="109" t="s">
        <v>19</v>
      </c>
      <c r="X11" s="101" t="s">
        <v>286</v>
      </c>
      <c r="Y11" s="100" t="s">
        <v>287</v>
      </c>
      <c r="Z11" s="101" t="s">
        <v>288</v>
      </c>
      <c r="AA11" s="100" t="s">
        <v>289</v>
      </c>
      <c r="AB11" s="100" t="s">
        <v>173</v>
      </c>
      <c r="AC11" s="100" t="s">
        <v>290</v>
      </c>
      <c r="AD11" s="100" t="s">
        <v>154</v>
      </c>
      <c r="AE11" s="100" t="s">
        <v>291</v>
      </c>
      <c r="AF11" s="100" t="s">
        <v>210</v>
      </c>
      <c r="AG11" s="111" t="s">
        <v>292</v>
      </c>
      <c r="AH11" s="111" t="s">
        <v>292</v>
      </c>
      <c r="AI11" s="111" t="s">
        <v>292</v>
      </c>
      <c r="AJ11" s="113">
        <f t="shared" si="1"/>
        <v>44298</v>
      </c>
      <c r="AK11" s="114">
        <f t="shared" si="2"/>
        <v>-416</v>
      </c>
      <c r="AL11" s="115" t="str">
        <f t="shared" si="3"/>
        <v>Reporte ok</v>
      </c>
      <c r="AM11" s="115"/>
      <c r="AN11" s="116"/>
    </row>
    <row r="12" ht="67.5" customHeight="1">
      <c r="A12" s="37"/>
      <c r="B12" s="100">
        <v>41.0</v>
      </c>
      <c r="C12" s="100" t="s">
        <v>277</v>
      </c>
      <c r="D12" s="100" t="s">
        <v>278</v>
      </c>
      <c r="E12" s="100" t="s">
        <v>279</v>
      </c>
      <c r="F12" s="100">
        <v>2.01901E12</v>
      </c>
      <c r="G12" s="101" t="s">
        <v>280</v>
      </c>
      <c r="H12" s="100" t="s">
        <v>296</v>
      </c>
      <c r="I12" s="100" t="s">
        <v>297</v>
      </c>
      <c r="J12" s="100" t="s">
        <v>298</v>
      </c>
      <c r="K12" s="102" t="s">
        <v>306</v>
      </c>
      <c r="L12" s="102" t="s">
        <v>307</v>
      </c>
      <c r="M12" s="102" t="s">
        <v>119</v>
      </c>
      <c r="N12" s="103" t="s">
        <v>318</v>
      </c>
      <c r="O12" s="104">
        <v>15.0</v>
      </c>
      <c r="P12" s="105">
        <v>6.0</v>
      </c>
      <c r="Q12" s="106" t="s">
        <v>319</v>
      </c>
      <c r="R12" s="107" t="s">
        <v>163</v>
      </c>
      <c r="S12" s="105">
        <v>1.0</v>
      </c>
      <c r="T12" s="108">
        <v>1.0</v>
      </c>
      <c r="U12" s="108">
        <v>2.0</v>
      </c>
      <c r="V12" s="108">
        <v>2.0</v>
      </c>
      <c r="W12" s="109" t="s">
        <v>19</v>
      </c>
      <c r="X12" s="101" t="s">
        <v>286</v>
      </c>
      <c r="Y12" s="100" t="s">
        <v>287</v>
      </c>
      <c r="Z12" s="101" t="s">
        <v>288</v>
      </c>
      <c r="AA12" s="100" t="s">
        <v>289</v>
      </c>
      <c r="AB12" s="100" t="s">
        <v>173</v>
      </c>
      <c r="AC12" s="100" t="s">
        <v>290</v>
      </c>
      <c r="AD12" s="100" t="s">
        <v>154</v>
      </c>
      <c r="AE12" s="100" t="s">
        <v>291</v>
      </c>
      <c r="AF12" s="100" t="s">
        <v>210</v>
      </c>
      <c r="AG12" s="144">
        <v>1.0</v>
      </c>
      <c r="AH12" s="111" t="s">
        <v>320</v>
      </c>
      <c r="AI12" s="137" t="s">
        <v>321</v>
      </c>
      <c r="AJ12" s="113">
        <f t="shared" si="1"/>
        <v>44298</v>
      </c>
      <c r="AK12" s="114">
        <f t="shared" si="2"/>
        <v>-416</v>
      </c>
      <c r="AL12" s="115" t="str">
        <f t="shared" si="3"/>
        <v>Reporte ok</v>
      </c>
      <c r="AM12" s="115"/>
      <c r="AN12" s="116"/>
    </row>
    <row r="13" ht="67.5" customHeight="1">
      <c r="A13" s="37"/>
      <c r="B13" s="100">
        <v>42.0</v>
      </c>
      <c r="C13" s="100" t="s">
        <v>277</v>
      </c>
      <c r="D13" s="100" t="s">
        <v>278</v>
      </c>
      <c r="E13" s="100" t="s">
        <v>279</v>
      </c>
      <c r="F13" s="100">
        <v>2.01901E12</v>
      </c>
      <c r="G13" s="101" t="s">
        <v>280</v>
      </c>
      <c r="H13" s="100" t="s">
        <v>281</v>
      </c>
      <c r="I13" s="100" t="s">
        <v>282</v>
      </c>
      <c r="J13" s="100" t="s">
        <v>283</v>
      </c>
      <c r="K13" s="102" t="s">
        <v>306</v>
      </c>
      <c r="L13" s="102" t="s">
        <v>307</v>
      </c>
      <c r="M13" s="102" t="s">
        <v>119</v>
      </c>
      <c r="N13" s="103" t="s">
        <v>322</v>
      </c>
      <c r="O13" s="104">
        <v>15.0</v>
      </c>
      <c r="P13" s="105">
        <v>7000.0</v>
      </c>
      <c r="Q13" s="106" t="s">
        <v>323</v>
      </c>
      <c r="R13" s="107" t="s">
        <v>121</v>
      </c>
      <c r="S13" s="105">
        <v>0.0</v>
      </c>
      <c r="T13" s="127"/>
      <c r="U13" s="127"/>
      <c r="V13" s="108">
        <v>7000.0</v>
      </c>
      <c r="W13" s="109" t="s">
        <v>19</v>
      </c>
      <c r="X13" s="101" t="s">
        <v>286</v>
      </c>
      <c r="Y13" s="100" t="s">
        <v>287</v>
      </c>
      <c r="Z13" s="101" t="s">
        <v>288</v>
      </c>
      <c r="AA13" s="100" t="s">
        <v>289</v>
      </c>
      <c r="AB13" s="100" t="s">
        <v>173</v>
      </c>
      <c r="AC13" s="100" t="s">
        <v>290</v>
      </c>
      <c r="AD13" s="100" t="s">
        <v>154</v>
      </c>
      <c r="AE13" s="100" t="s">
        <v>291</v>
      </c>
      <c r="AF13" s="100" t="s">
        <v>210</v>
      </c>
      <c r="AG13" s="111" t="s">
        <v>292</v>
      </c>
      <c r="AH13" s="111" t="s">
        <v>292</v>
      </c>
      <c r="AI13" s="111" t="s">
        <v>292</v>
      </c>
      <c r="AJ13" s="113">
        <f t="shared" si="1"/>
        <v>44298</v>
      </c>
      <c r="AK13" s="114">
        <f t="shared" si="2"/>
        <v>-416</v>
      </c>
      <c r="AL13" s="115" t="str">
        <f t="shared" si="3"/>
        <v>Reporte ok</v>
      </c>
      <c r="AM13" s="115"/>
      <c r="AN13" s="116"/>
    </row>
    <row r="14" ht="67.5" customHeight="1">
      <c r="A14" s="37"/>
      <c r="B14" s="100">
        <v>43.0</v>
      </c>
      <c r="C14" s="100" t="s">
        <v>277</v>
      </c>
      <c r="D14" s="100" t="s">
        <v>278</v>
      </c>
      <c r="E14" s="100" t="s">
        <v>279</v>
      </c>
      <c r="F14" s="100">
        <v>2.01901E12</v>
      </c>
      <c r="G14" s="101" t="s">
        <v>280</v>
      </c>
      <c r="H14" s="100" t="s">
        <v>281</v>
      </c>
      <c r="I14" s="100" t="s">
        <v>282</v>
      </c>
      <c r="J14" s="100" t="s">
        <v>324</v>
      </c>
      <c r="K14" s="102" t="s">
        <v>306</v>
      </c>
      <c r="L14" s="102" t="s">
        <v>307</v>
      </c>
      <c r="M14" s="102" t="s">
        <v>119</v>
      </c>
      <c r="N14" s="103" t="s">
        <v>325</v>
      </c>
      <c r="O14" s="104">
        <v>15.0</v>
      </c>
      <c r="P14" s="105">
        <v>1.0</v>
      </c>
      <c r="Q14" s="106" t="s">
        <v>326</v>
      </c>
      <c r="R14" s="107" t="s">
        <v>121</v>
      </c>
      <c r="S14" s="105">
        <v>0.0</v>
      </c>
      <c r="T14" s="127"/>
      <c r="U14" s="127"/>
      <c r="V14" s="108">
        <v>1.0</v>
      </c>
      <c r="W14" s="109" t="s">
        <v>19</v>
      </c>
      <c r="X14" s="101" t="s">
        <v>286</v>
      </c>
      <c r="Y14" s="100" t="s">
        <v>287</v>
      </c>
      <c r="Z14" s="101" t="s">
        <v>288</v>
      </c>
      <c r="AA14" s="100" t="s">
        <v>289</v>
      </c>
      <c r="AB14" s="100" t="s">
        <v>173</v>
      </c>
      <c r="AC14" s="100" t="s">
        <v>290</v>
      </c>
      <c r="AD14" s="100" t="s">
        <v>154</v>
      </c>
      <c r="AE14" s="100" t="s">
        <v>291</v>
      </c>
      <c r="AF14" s="100" t="s">
        <v>210</v>
      </c>
      <c r="AG14" s="111" t="s">
        <v>292</v>
      </c>
      <c r="AH14" s="111" t="s">
        <v>292</v>
      </c>
      <c r="AI14" s="111" t="s">
        <v>292</v>
      </c>
      <c r="AJ14" s="113">
        <f t="shared" si="1"/>
        <v>44298</v>
      </c>
      <c r="AK14" s="114">
        <f t="shared" si="2"/>
        <v>-416</v>
      </c>
      <c r="AL14" s="115" t="str">
        <f t="shared" si="3"/>
        <v>Reporte ok</v>
      </c>
      <c r="AM14" s="115"/>
      <c r="AN14" s="116"/>
    </row>
    <row r="15" ht="67.5" customHeight="1">
      <c r="A15" s="37"/>
      <c r="B15" s="100">
        <v>44.0</v>
      </c>
      <c r="C15" s="100" t="s">
        <v>277</v>
      </c>
      <c r="D15" s="100" t="s">
        <v>278</v>
      </c>
      <c r="E15" s="100" t="s">
        <v>279</v>
      </c>
      <c r="F15" s="100">
        <v>2.01901E12</v>
      </c>
      <c r="G15" s="101" t="s">
        <v>280</v>
      </c>
      <c r="H15" s="100" t="s">
        <v>281</v>
      </c>
      <c r="I15" s="100" t="s">
        <v>282</v>
      </c>
      <c r="J15" s="100" t="s">
        <v>324</v>
      </c>
      <c r="K15" s="102" t="s">
        <v>306</v>
      </c>
      <c r="L15" s="102" t="s">
        <v>307</v>
      </c>
      <c r="M15" s="102" t="s">
        <v>119</v>
      </c>
      <c r="N15" s="103" t="s">
        <v>327</v>
      </c>
      <c r="O15" s="104">
        <v>15.0</v>
      </c>
      <c r="P15" s="105">
        <v>1.0</v>
      </c>
      <c r="Q15" s="106" t="s">
        <v>328</v>
      </c>
      <c r="R15" s="107" t="s">
        <v>121</v>
      </c>
      <c r="S15" s="105">
        <v>0.0</v>
      </c>
      <c r="T15" s="127"/>
      <c r="U15" s="127"/>
      <c r="V15" s="108">
        <v>1.0</v>
      </c>
      <c r="W15" s="109" t="s">
        <v>19</v>
      </c>
      <c r="X15" s="101" t="s">
        <v>286</v>
      </c>
      <c r="Y15" s="100" t="s">
        <v>287</v>
      </c>
      <c r="Z15" s="101" t="s">
        <v>288</v>
      </c>
      <c r="AA15" s="100" t="s">
        <v>289</v>
      </c>
      <c r="AB15" s="100" t="s">
        <v>173</v>
      </c>
      <c r="AC15" s="100" t="s">
        <v>290</v>
      </c>
      <c r="AD15" s="100" t="s">
        <v>154</v>
      </c>
      <c r="AE15" s="100" t="s">
        <v>291</v>
      </c>
      <c r="AF15" s="100" t="s">
        <v>210</v>
      </c>
      <c r="AG15" s="111" t="s">
        <v>292</v>
      </c>
      <c r="AH15" s="111" t="s">
        <v>292</v>
      </c>
      <c r="AI15" s="111" t="s">
        <v>292</v>
      </c>
      <c r="AJ15" s="113">
        <f t="shared" si="1"/>
        <v>44298</v>
      </c>
      <c r="AK15" s="114">
        <f t="shared" si="2"/>
        <v>-416</v>
      </c>
      <c r="AL15" s="115" t="str">
        <f t="shared" si="3"/>
        <v>Reporte ok</v>
      </c>
      <c r="AM15" s="115"/>
      <c r="AN15" s="116"/>
    </row>
    <row r="16" ht="67.5" customHeight="1">
      <c r="A16" s="37"/>
      <c r="B16" s="100">
        <v>45.0</v>
      </c>
      <c r="C16" s="100" t="s">
        <v>277</v>
      </c>
      <c r="D16" s="100" t="s">
        <v>278</v>
      </c>
      <c r="E16" s="100" t="s">
        <v>279</v>
      </c>
      <c r="F16" s="100">
        <v>2.01901E12</v>
      </c>
      <c r="G16" s="101" t="s">
        <v>280</v>
      </c>
      <c r="H16" s="100" t="s">
        <v>281</v>
      </c>
      <c r="I16" s="100" t="s">
        <v>282</v>
      </c>
      <c r="J16" s="100" t="s">
        <v>283</v>
      </c>
      <c r="K16" s="102" t="s">
        <v>306</v>
      </c>
      <c r="L16" s="102" t="s">
        <v>307</v>
      </c>
      <c r="M16" s="102" t="s">
        <v>119</v>
      </c>
      <c r="N16" s="103" t="s">
        <v>329</v>
      </c>
      <c r="O16" s="104">
        <v>15.0</v>
      </c>
      <c r="P16" s="105">
        <v>1.0</v>
      </c>
      <c r="Q16" s="106" t="s">
        <v>330</v>
      </c>
      <c r="R16" s="107" t="s">
        <v>121</v>
      </c>
      <c r="S16" s="105">
        <v>0.0</v>
      </c>
      <c r="T16" s="127"/>
      <c r="U16" s="127"/>
      <c r="V16" s="108">
        <v>1.0</v>
      </c>
      <c r="W16" s="109" t="s">
        <v>19</v>
      </c>
      <c r="X16" s="101" t="s">
        <v>286</v>
      </c>
      <c r="Y16" s="100" t="s">
        <v>287</v>
      </c>
      <c r="Z16" s="101" t="s">
        <v>288</v>
      </c>
      <c r="AA16" s="100" t="s">
        <v>289</v>
      </c>
      <c r="AB16" s="100" t="s">
        <v>173</v>
      </c>
      <c r="AC16" s="100" t="s">
        <v>290</v>
      </c>
      <c r="AD16" s="100" t="s">
        <v>154</v>
      </c>
      <c r="AE16" s="100" t="s">
        <v>291</v>
      </c>
      <c r="AF16" s="100" t="s">
        <v>210</v>
      </c>
      <c r="AG16" s="111" t="s">
        <v>292</v>
      </c>
      <c r="AH16" s="111" t="s">
        <v>292</v>
      </c>
      <c r="AI16" s="111" t="s">
        <v>292</v>
      </c>
      <c r="AJ16" s="113">
        <f t="shared" si="1"/>
        <v>44298</v>
      </c>
      <c r="AK16" s="114">
        <f t="shared" si="2"/>
        <v>-416</v>
      </c>
      <c r="AL16" s="115" t="str">
        <f t="shared" si="3"/>
        <v>Reporte ok</v>
      </c>
      <c r="AM16" s="115"/>
      <c r="AN16" s="116"/>
    </row>
    <row r="17" ht="67.5" customHeight="1">
      <c r="A17" s="37"/>
      <c r="B17" s="119"/>
      <c r="C17" s="119"/>
      <c r="D17" s="119"/>
      <c r="E17" s="119"/>
      <c r="F17" s="142"/>
      <c r="G17" s="120"/>
      <c r="H17" s="119"/>
      <c r="I17" s="119"/>
      <c r="J17" s="119"/>
      <c r="K17" s="121"/>
      <c r="L17" s="121"/>
      <c r="M17" s="121"/>
      <c r="N17" s="122"/>
      <c r="O17" s="123"/>
      <c r="P17" s="124"/>
      <c r="Q17" s="125"/>
      <c r="R17" s="126"/>
      <c r="S17" s="124"/>
      <c r="T17" s="127"/>
      <c r="U17" s="127"/>
      <c r="V17" s="127"/>
      <c r="W17" s="128"/>
      <c r="X17" s="120"/>
      <c r="Y17" s="119"/>
      <c r="Z17" s="120"/>
      <c r="AA17" s="119"/>
      <c r="AB17" s="119"/>
      <c r="AC17" s="119"/>
      <c r="AD17" s="119"/>
      <c r="AE17" s="119"/>
      <c r="AF17" s="119"/>
      <c r="AG17" s="129"/>
      <c r="AH17" s="129"/>
      <c r="AI17" s="112"/>
      <c r="AJ17" s="113"/>
      <c r="AK17" s="114"/>
      <c r="AL17" s="115"/>
      <c r="AM17" s="115"/>
      <c r="AN17" s="116"/>
    </row>
    <row r="18" ht="67.5" customHeight="1">
      <c r="A18" s="37"/>
      <c r="B18" s="119"/>
      <c r="C18" s="119"/>
      <c r="D18" s="119"/>
      <c r="E18" s="119"/>
      <c r="F18" s="142"/>
      <c r="G18" s="120"/>
      <c r="H18" s="119"/>
      <c r="I18" s="119"/>
      <c r="J18" s="119"/>
      <c r="K18" s="121"/>
      <c r="L18" s="121"/>
      <c r="M18" s="121"/>
      <c r="N18" s="122"/>
      <c r="O18" s="123"/>
      <c r="P18" s="124"/>
      <c r="Q18" s="125"/>
      <c r="R18" s="126"/>
      <c r="S18" s="124"/>
      <c r="T18" s="127"/>
      <c r="U18" s="127"/>
      <c r="V18" s="127"/>
      <c r="W18" s="128"/>
      <c r="X18" s="120"/>
      <c r="Y18" s="119"/>
      <c r="Z18" s="120"/>
      <c r="AA18" s="119"/>
      <c r="AB18" s="119"/>
      <c r="AC18" s="119"/>
      <c r="AD18" s="119"/>
      <c r="AE18" s="119"/>
      <c r="AF18" s="119"/>
      <c r="AG18" s="129"/>
      <c r="AH18" s="129"/>
      <c r="AI18" s="112"/>
      <c r="AJ18" s="113"/>
      <c r="AK18" s="114"/>
      <c r="AL18" s="115"/>
      <c r="AM18" s="115"/>
      <c r="AN18" s="116"/>
    </row>
    <row r="19" ht="15.75" customHeight="1">
      <c r="F19" s="143"/>
    </row>
  </sheetData>
  <autoFilter ref="$A$3:$AN$18"/>
  <mergeCells count="2">
    <mergeCell ref="B1:C1"/>
    <mergeCell ref="AG2:AM2"/>
  </mergeCells>
  <conditionalFormatting sqref="AK4:AK18">
    <cfRule type="cellIs" dxfId="2" priority="1" operator="greaterThan">
      <formula>0</formula>
    </cfRule>
  </conditionalFormatting>
  <conditionalFormatting sqref="AK4:AK18">
    <cfRule type="cellIs" dxfId="3" priority="2" operator="lessThan">
      <formula>0</formula>
    </cfRule>
  </conditionalFormatting>
  <conditionalFormatting sqref="AK12:AK13">
    <cfRule type="cellIs" dxfId="2" priority="3" operator="greaterThan">
      <formula>0</formula>
    </cfRule>
  </conditionalFormatting>
  <conditionalFormatting sqref="AK12:AK13">
    <cfRule type="cellIs" dxfId="3" priority="4" operator="lessThan">
      <formula>0</formula>
    </cfRule>
  </conditionalFormatting>
  <conditionalFormatting sqref="AK5:AK7">
    <cfRule type="cellIs" dxfId="2" priority="5" operator="greaterThan">
      <formula>0</formula>
    </cfRule>
  </conditionalFormatting>
  <conditionalFormatting sqref="AK5:AK7">
    <cfRule type="cellIs" dxfId="3" priority="6" operator="lessThan">
      <formula>0</formula>
    </cfRule>
  </conditionalFormatting>
  <dataValidations>
    <dataValidation type="decimal" allowBlank="1" showDropDown="1" showInputMessage="1" showErrorMessage="1" prompt="Recuerde que debe ingresar un valor numérico o porcentaje" sqref="AG12 AG17:AG18">
      <formula1>0.0</formula1>
      <formula2>5000000.0</formula2>
    </dataValidation>
  </dataValidations>
  <hyperlinks>
    <hyperlink display="Home" location="Home!A1" ref="B1"/>
    <hyperlink r:id="rId1" ref="AI12"/>
  </hyperlinks>
  <printOptions gridLines="1" horizontalCentered="1"/>
  <pageMargins bottom="0.75" footer="0.0" header="0.0" left="0.7" right="0.7" top="0.75"/>
  <pageSetup cellComments="atEnd" orientation="portrait" pageOrder="overThenDown"/>
  <drawing r:id="rId2"/>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46.0</v>
      </c>
      <c r="C4" s="100" t="s">
        <v>331</v>
      </c>
      <c r="D4" s="100" t="s">
        <v>332</v>
      </c>
      <c r="E4" s="100" t="s">
        <v>333</v>
      </c>
      <c r="F4" s="100">
        <v>2.01901E12</v>
      </c>
      <c r="G4" s="101" t="s">
        <v>334</v>
      </c>
      <c r="H4" s="100" t="s">
        <v>335</v>
      </c>
      <c r="I4" s="100" t="s">
        <v>336</v>
      </c>
      <c r="J4" s="100" t="s">
        <v>337</v>
      </c>
      <c r="K4" s="102" t="s">
        <v>117</v>
      </c>
      <c r="L4" s="102" t="s">
        <v>118</v>
      </c>
      <c r="M4" s="102" t="s">
        <v>119</v>
      </c>
      <c r="N4" s="103" t="s">
        <v>338</v>
      </c>
      <c r="O4" s="104">
        <v>110.0</v>
      </c>
      <c r="P4" s="105">
        <v>70.0</v>
      </c>
      <c r="Q4" s="106" t="s">
        <v>339</v>
      </c>
      <c r="R4" s="107" t="s">
        <v>121</v>
      </c>
      <c r="S4" s="105">
        <v>0.0</v>
      </c>
      <c r="T4" s="108">
        <v>18.0</v>
      </c>
      <c r="U4" s="108">
        <v>35.0</v>
      </c>
      <c r="V4" s="108">
        <v>17.0</v>
      </c>
      <c r="W4" s="109" t="s">
        <v>332</v>
      </c>
      <c r="X4" s="101" t="s">
        <v>340</v>
      </c>
      <c r="Y4" s="100" t="s">
        <v>341</v>
      </c>
      <c r="Z4" s="101" t="s">
        <v>342</v>
      </c>
      <c r="AA4" s="100" t="s">
        <v>152</v>
      </c>
      <c r="AB4" s="100" t="s">
        <v>173</v>
      </c>
      <c r="AC4" s="100" t="s">
        <v>343</v>
      </c>
      <c r="AD4" s="100" t="s">
        <v>154</v>
      </c>
      <c r="AE4" s="100" t="s">
        <v>291</v>
      </c>
      <c r="AF4" s="100" t="s">
        <v>210</v>
      </c>
      <c r="AG4" s="144">
        <v>0.0</v>
      </c>
      <c r="AH4" s="111" t="s">
        <v>344</v>
      </c>
      <c r="AI4" s="112"/>
      <c r="AJ4" s="113">
        <f t="shared" ref="AJ4:AJ10" si="1">$AK$1</f>
        <v>44298</v>
      </c>
      <c r="AK4" s="114">
        <f t="shared" ref="AK4:AK10" si="2">AJ4-$AL$1</f>
        <v>-416</v>
      </c>
      <c r="AL4" s="115" t="str">
        <f t="shared" ref="AL4:AL10" si="3">IF(ISBLANK(AG4),"Pendiente Ejecución"&amp;CHAR(10),)&amp;IF(ISBLANK(AH4),"Pendiente Justificación"&amp;CHAR(10),)&amp;IF(ISBLANK(AI4),"Pendiente Evidencia",)&amp;IF(OR(ISBLANK(AG4),ISBLANK(AH4),ISBLANK(AI4)),,"Reporte ok")</f>
        <v>Pendiente Evidencia</v>
      </c>
      <c r="AM4" s="115"/>
      <c r="AN4" s="116"/>
    </row>
    <row r="5" ht="67.5" customHeight="1">
      <c r="A5" s="37"/>
      <c r="B5" s="100">
        <v>47.0</v>
      </c>
      <c r="C5" s="100" t="s">
        <v>331</v>
      </c>
      <c r="D5" s="100" t="s">
        <v>332</v>
      </c>
      <c r="E5" s="100" t="s">
        <v>333</v>
      </c>
      <c r="F5" s="100">
        <v>2.01901E12</v>
      </c>
      <c r="G5" s="101" t="s">
        <v>334</v>
      </c>
      <c r="H5" s="100" t="s">
        <v>345</v>
      </c>
      <c r="I5" s="100" t="s">
        <v>346</v>
      </c>
      <c r="J5" s="100" t="s">
        <v>347</v>
      </c>
      <c r="K5" s="102" t="s">
        <v>117</v>
      </c>
      <c r="L5" s="102" t="s">
        <v>118</v>
      </c>
      <c r="M5" s="102" t="s">
        <v>119</v>
      </c>
      <c r="N5" s="103" t="s">
        <v>348</v>
      </c>
      <c r="O5" s="104">
        <v>157.0</v>
      </c>
      <c r="P5" s="105">
        <v>380.0</v>
      </c>
      <c r="Q5" s="106" t="s">
        <v>349</v>
      </c>
      <c r="R5" s="107" t="s">
        <v>121</v>
      </c>
      <c r="S5" s="105">
        <v>70.0</v>
      </c>
      <c r="T5" s="108">
        <v>106.0</v>
      </c>
      <c r="U5" s="108">
        <v>106.0</v>
      </c>
      <c r="V5" s="108">
        <v>98.0</v>
      </c>
      <c r="W5" s="109" t="s">
        <v>332</v>
      </c>
      <c r="X5" s="101" t="s">
        <v>340</v>
      </c>
      <c r="Y5" s="100" t="s">
        <v>341</v>
      </c>
      <c r="Z5" s="101" t="s">
        <v>342</v>
      </c>
      <c r="AA5" s="100" t="s">
        <v>152</v>
      </c>
      <c r="AB5" s="100" t="s">
        <v>173</v>
      </c>
      <c r="AC5" s="100" t="s">
        <v>343</v>
      </c>
      <c r="AD5" s="100" t="s">
        <v>154</v>
      </c>
      <c r="AE5" s="100" t="s">
        <v>291</v>
      </c>
      <c r="AF5" s="100" t="s">
        <v>210</v>
      </c>
      <c r="AG5" s="144">
        <v>74.0</v>
      </c>
      <c r="AH5" s="111" t="s">
        <v>350</v>
      </c>
      <c r="AI5" s="117" t="s">
        <v>351</v>
      </c>
      <c r="AJ5" s="113">
        <f t="shared" si="1"/>
        <v>44298</v>
      </c>
      <c r="AK5" s="114">
        <f t="shared" si="2"/>
        <v>-416</v>
      </c>
      <c r="AL5" s="115" t="str">
        <f t="shared" si="3"/>
        <v>Reporte ok</v>
      </c>
      <c r="AM5" s="115"/>
      <c r="AN5" s="116"/>
    </row>
    <row r="6" ht="67.5" customHeight="1">
      <c r="A6" s="37"/>
      <c r="B6" s="100">
        <v>48.0</v>
      </c>
      <c r="C6" s="100" t="s">
        <v>331</v>
      </c>
      <c r="D6" s="100" t="s">
        <v>332</v>
      </c>
      <c r="E6" s="100" t="s">
        <v>333</v>
      </c>
      <c r="F6" s="100">
        <v>2.01901E12</v>
      </c>
      <c r="G6" s="101" t="s">
        <v>334</v>
      </c>
      <c r="H6" s="100" t="s">
        <v>345</v>
      </c>
      <c r="I6" s="100" t="s">
        <v>346</v>
      </c>
      <c r="J6" s="100" t="s">
        <v>352</v>
      </c>
      <c r="K6" s="102" t="s">
        <v>141</v>
      </c>
      <c r="L6" s="102" t="s">
        <v>118</v>
      </c>
      <c r="M6" s="102" t="s">
        <v>119</v>
      </c>
      <c r="N6" s="103" t="s">
        <v>353</v>
      </c>
      <c r="O6" s="123"/>
      <c r="P6" s="105">
        <v>3.0</v>
      </c>
      <c r="Q6" s="106" t="s">
        <v>354</v>
      </c>
      <c r="R6" s="107" t="s">
        <v>163</v>
      </c>
      <c r="S6" s="105">
        <v>0.0</v>
      </c>
      <c r="T6" s="108">
        <v>1.0</v>
      </c>
      <c r="U6" s="108">
        <v>1.0</v>
      </c>
      <c r="V6" s="108">
        <v>1.0</v>
      </c>
      <c r="W6" s="109" t="s">
        <v>332</v>
      </c>
      <c r="X6" s="101" t="s">
        <v>340</v>
      </c>
      <c r="Y6" s="100" t="s">
        <v>341</v>
      </c>
      <c r="Z6" s="101" t="s">
        <v>342</v>
      </c>
      <c r="AA6" s="100" t="s">
        <v>152</v>
      </c>
      <c r="AB6" s="100" t="s">
        <v>173</v>
      </c>
      <c r="AC6" s="100" t="s">
        <v>343</v>
      </c>
      <c r="AD6" s="100" t="s">
        <v>154</v>
      </c>
      <c r="AE6" s="100" t="s">
        <v>291</v>
      </c>
      <c r="AF6" s="100" t="s">
        <v>210</v>
      </c>
      <c r="AG6" s="144">
        <v>0.0</v>
      </c>
      <c r="AH6" s="111" t="s">
        <v>344</v>
      </c>
      <c r="AI6" s="112"/>
      <c r="AJ6" s="113">
        <f t="shared" si="1"/>
        <v>44298</v>
      </c>
      <c r="AK6" s="114">
        <f t="shared" si="2"/>
        <v>-416</v>
      </c>
      <c r="AL6" s="115" t="str">
        <f t="shared" si="3"/>
        <v>Pendiente Evidencia</v>
      </c>
      <c r="AM6" s="115"/>
      <c r="AN6" s="116"/>
    </row>
    <row r="7" ht="67.5" customHeight="1">
      <c r="A7" s="37"/>
      <c r="B7" s="100">
        <v>49.0</v>
      </c>
      <c r="C7" s="100" t="s">
        <v>331</v>
      </c>
      <c r="D7" s="100" t="s">
        <v>332</v>
      </c>
      <c r="E7" s="100" t="s">
        <v>333</v>
      </c>
      <c r="F7" s="100">
        <v>2.01901E12</v>
      </c>
      <c r="G7" s="101" t="s">
        <v>334</v>
      </c>
      <c r="H7" s="100" t="s">
        <v>345</v>
      </c>
      <c r="I7" s="100" t="s">
        <v>346</v>
      </c>
      <c r="J7" s="100" t="s">
        <v>355</v>
      </c>
      <c r="K7" s="102" t="s">
        <v>141</v>
      </c>
      <c r="L7" s="102" t="s">
        <v>118</v>
      </c>
      <c r="M7" s="102" t="s">
        <v>119</v>
      </c>
      <c r="N7" s="103" t="s">
        <v>356</v>
      </c>
      <c r="O7" s="123"/>
      <c r="P7" s="105">
        <v>1.0</v>
      </c>
      <c r="Q7" s="106" t="s">
        <v>357</v>
      </c>
      <c r="R7" s="107" t="s">
        <v>121</v>
      </c>
      <c r="S7" s="105">
        <v>0.0</v>
      </c>
      <c r="T7" s="108">
        <v>0.0</v>
      </c>
      <c r="U7" s="108">
        <v>1.0</v>
      </c>
      <c r="V7" s="108">
        <v>0.0</v>
      </c>
      <c r="W7" s="109" t="s">
        <v>332</v>
      </c>
      <c r="X7" s="101" t="s">
        <v>340</v>
      </c>
      <c r="Y7" s="100" t="s">
        <v>341</v>
      </c>
      <c r="Z7" s="101" t="s">
        <v>342</v>
      </c>
      <c r="AA7" s="100" t="s">
        <v>152</v>
      </c>
      <c r="AB7" s="100" t="s">
        <v>173</v>
      </c>
      <c r="AC7" s="100" t="s">
        <v>343</v>
      </c>
      <c r="AD7" s="100" t="s">
        <v>154</v>
      </c>
      <c r="AE7" s="100" t="s">
        <v>291</v>
      </c>
      <c r="AF7" s="100" t="s">
        <v>210</v>
      </c>
      <c r="AG7" s="144">
        <v>0.0</v>
      </c>
      <c r="AH7" s="111" t="s">
        <v>344</v>
      </c>
      <c r="AI7" s="112"/>
      <c r="AJ7" s="113">
        <f t="shared" si="1"/>
        <v>44298</v>
      </c>
      <c r="AK7" s="114">
        <f t="shared" si="2"/>
        <v>-416</v>
      </c>
      <c r="AL7" s="115" t="str">
        <f t="shared" si="3"/>
        <v>Pendiente Evidencia</v>
      </c>
      <c r="AM7" s="115"/>
      <c r="AN7" s="116"/>
    </row>
    <row r="8" ht="67.5" customHeight="1">
      <c r="A8" s="37"/>
      <c r="B8" s="100">
        <v>50.0</v>
      </c>
      <c r="C8" s="100" t="s">
        <v>331</v>
      </c>
      <c r="D8" s="100" t="s">
        <v>332</v>
      </c>
      <c r="E8" s="100" t="s">
        <v>333</v>
      </c>
      <c r="F8" s="100">
        <v>2.01901E12</v>
      </c>
      <c r="G8" s="101" t="s">
        <v>334</v>
      </c>
      <c r="H8" s="100" t="s">
        <v>345</v>
      </c>
      <c r="I8" s="100" t="s">
        <v>346</v>
      </c>
      <c r="J8" s="100" t="s">
        <v>358</v>
      </c>
      <c r="K8" s="102" t="s">
        <v>141</v>
      </c>
      <c r="L8" s="102" t="s">
        <v>118</v>
      </c>
      <c r="M8" s="102" t="s">
        <v>119</v>
      </c>
      <c r="N8" s="103" t="s">
        <v>359</v>
      </c>
      <c r="O8" s="123"/>
      <c r="P8" s="105">
        <v>12.0</v>
      </c>
      <c r="Q8" s="106" t="s">
        <v>360</v>
      </c>
      <c r="R8" s="107" t="s">
        <v>219</v>
      </c>
      <c r="S8" s="105">
        <v>3.0</v>
      </c>
      <c r="T8" s="108">
        <v>3.0</v>
      </c>
      <c r="U8" s="108">
        <v>3.0</v>
      </c>
      <c r="V8" s="108">
        <v>3.0</v>
      </c>
      <c r="W8" s="109" t="s">
        <v>332</v>
      </c>
      <c r="X8" s="101" t="s">
        <v>340</v>
      </c>
      <c r="Y8" s="100" t="s">
        <v>341</v>
      </c>
      <c r="Z8" s="101" t="s">
        <v>342</v>
      </c>
      <c r="AA8" s="100" t="s">
        <v>152</v>
      </c>
      <c r="AB8" s="100" t="s">
        <v>173</v>
      </c>
      <c r="AC8" s="100" t="s">
        <v>343</v>
      </c>
      <c r="AD8" s="100" t="s">
        <v>154</v>
      </c>
      <c r="AE8" s="100" t="s">
        <v>291</v>
      </c>
      <c r="AF8" s="100" t="s">
        <v>210</v>
      </c>
      <c r="AG8" s="144">
        <v>3.0</v>
      </c>
      <c r="AH8" s="111" t="s">
        <v>361</v>
      </c>
      <c r="AI8" s="117" t="s">
        <v>362</v>
      </c>
      <c r="AJ8" s="113">
        <f t="shared" si="1"/>
        <v>44298</v>
      </c>
      <c r="AK8" s="114">
        <f t="shared" si="2"/>
        <v>-416</v>
      </c>
      <c r="AL8" s="115" t="str">
        <f t="shared" si="3"/>
        <v>Reporte ok</v>
      </c>
      <c r="AM8" s="115"/>
      <c r="AN8" s="116"/>
    </row>
    <row r="9" ht="67.5" customHeight="1">
      <c r="A9" s="37"/>
      <c r="B9" s="100">
        <v>51.0</v>
      </c>
      <c r="C9" s="100" t="s">
        <v>331</v>
      </c>
      <c r="D9" s="100" t="s">
        <v>332</v>
      </c>
      <c r="E9" s="100" t="s">
        <v>363</v>
      </c>
      <c r="F9" s="100">
        <v>2.01901E12</v>
      </c>
      <c r="G9" s="101" t="s">
        <v>364</v>
      </c>
      <c r="H9" s="100" t="s">
        <v>365</v>
      </c>
      <c r="I9" s="100" t="s">
        <v>366</v>
      </c>
      <c r="J9" s="100" t="s">
        <v>367</v>
      </c>
      <c r="K9" s="102" t="s">
        <v>117</v>
      </c>
      <c r="L9" s="102" t="s">
        <v>118</v>
      </c>
      <c r="M9" s="102" t="s">
        <v>119</v>
      </c>
      <c r="N9" s="103" t="s">
        <v>368</v>
      </c>
      <c r="O9" s="104">
        <v>3.0</v>
      </c>
      <c r="P9" s="105">
        <v>5.0</v>
      </c>
      <c r="Q9" s="106" t="s">
        <v>369</v>
      </c>
      <c r="R9" s="107" t="s">
        <v>370</v>
      </c>
      <c r="S9" s="105">
        <v>1.0</v>
      </c>
      <c r="T9" s="108">
        <v>1.0</v>
      </c>
      <c r="U9" s="108">
        <v>2.0</v>
      </c>
      <c r="V9" s="108">
        <v>1.0</v>
      </c>
      <c r="W9" s="109" t="s">
        <v>332</v>
      </c>
      <c r="X9" s="101" t="s">
        <v>340</v>
      </c>
      <c r="Y9" s="100" t="s">
        <v>341</v>
      </c>
      <c r="Z9" s="101" t="s">
        <v>342</v>
      </c>
      <c r="AA9" s="100" t="s">
        <v>152</v>
      </c>
      <c r="AB9" s="100" t="s">
        <v>173</v>
      </c>
      <c r="AC9" s="100" t="s">
        <v>343</v>
      </c>
      <c r="AD9" s="100" t="s">
        <v>154</v>
      </c>
      <c r="AE9" s="100" t="s">
        <v>291</v>
      </c>
      <c r="AF9" s="100" t="s">
        <v>210</v>
      </c>
      <c r="AG9" s="144">
        <v>1.0</v>
      </c>
      <c r="AH9" s="111" t="s">
        <v>371</v>
      </c>
      <c r="AI9" s="117" t="s">
        <v>372</v>
      </c>
      <c r="AJ9" s="113">
        <f t="shared" si="1"/>
        <v>44298</v>
      </c>
      <c r="AK9" s="114">
        <f t="shared" si="2"/>
        <v>-416</v>
      </c>
      <c r="AL9" s="115" t="str">
        <f t="shared" si="3"/>
        <v>Reporte ok</v>
      </c>
      <c r="AM9" s="115"/>
      <c r="AN9" s="116"/>
    </row>
    <row r="10" ht="67.5" customHeight="1">
      <c r="A10" s="37"/>
      <c r="B10" s="100">
        <v>52.0</v>
      </c>
      <c r="C10" s="100" t="s">
        <v>331</v>
      </c>
      <c r="D10" s="100" t="s">
        <v>332</v>
      </c>
      <c r="E10" s="100" t="s">
        <v>333</v>
      </c>
      <c r="F10" s="100">
        <v>2.01901E12</v>
      </c>
      <c r="G10" s="101" t="s">
        <v>334</v>
      </c>
      <c r="H10" s="100" t="s">
        <v>345</v>
      </c>
      <c r="I10" s="100" t="s">
        <v>346</v>
      </c>
      <c r="J10" s="100" t="s">
        <v>352</v>
      </c>
      <c r="K10" s="102" t="s">
        <v>141</v>
      </c>
      <c r="L10" s="102" t="s">
        <v>118</v>
      </c>
      <c r="M10" s="102" t="s">
        <v>119</v>
      </c>
      <c r="N10" s="103" t="s">
        <v>373</v>
      </c>
      <c r="O10" s="123"/>
      <c r="P10" s="105">
        <v>8.0</v>
      </c>
      <c r="Q10" s="106" t="s">
        <v>374</v>
      </c>
      <c r="R10" s="107" t="s">
        <v>219</v>
      </c>
      <c r="S10" s="105">
        <v>1.0</v>
      </c>
      <c r="T10" s="108">
        <v>0.0</v>
      </c>
      <c r="U10" s="108">
        <v>4.0</v>
      </c>
      <c r="V10" s="108">
        <v>3.0</v>
      </c>
      <c r="W10" s="109" t="s">
        <v>332</v>
      </c>
      <c r="X10" s="101" t="s">
        <v>340</v>
      </c>
      <c r="Y10" s="100" t="s">
        <v>341</v>
      </c>
      <c r="Z10" s="101" t="s">
        <v>342</v>
      </c>
      <c r="AA10" s="100" t="s">
        <v>152</v>
      </c>
      <c r="AB10" s="100" t="s">
        <v>173</v>
      </c>
      <c r="AC10" s="100" t="s">
        <v>343</v>
      </c>
      <c r="AD10" s="100" t="s">
        <v>154</v>
      </c>
      <c r="AE10" s="100" t="s">
        <v>291</v>
      </c>
      <c r="AF10" s="100" t="s">
        <v>210</v>
      </c>
      <c r="AG10" s="144">
        <v>1.0</v>
      </c>
      <c r="AH10" s="111" t="s">
        <v>375</v>
      </c>
      <c r="AI10" s="117" t="s">
        <v>376</v>
      </c>
      <c r="AJ10" s="113">
        <f t="shared" si="1"/>
        <v>44298</v>
      </c>
      <c r="AK10" s="114">
        <f t="shared" si="2"/>
        <v>-416</v>
      </c>
      <c r="AL10" s="115" t="str">
        <f t="shared" si="3"/>
        <v>Reporte ok</v>
      </c>
      <c r="AM10" s="115"/>
      <c r="AN10" s="116"/>
    </row>
    <row r="11" ht="67.5" customHeight="1">
      <c r="A11" s="37"/>
      <c r="B11" s="119"/>
      <c r="C11" s="119"/>
      <c r="D11" s="119"/>
      <c r="E11" s="119"/>
      <c r="F11" s="142"/>
      <c r="G11" s="120"/>
      <c r="H11" s="119"/>
      <c r="I11" s="119"/>
      <c r="J11" s="119"/>
      <c r="K11" s="121"/>
      <c r="L11" s="121"/>
      <c r="M11" s="121"/>
      <c r="N11" s="122"/>
      <c r="O11" s="123"/>
      <c r="P11" s="124"/>
      <c r="Q11" s="125"/>
      <c r="R11" s="126"/>
      <c r="S11" s="124"/>
      <c r="T11" s="127"/>
      <c r="U11" s="127"/>
      <c r="V11" s="127"/>
      <c r="W11" s="128"/>
      <c r="X11" s="120"/>
      <c r="Y11" s="119"/>
      <c r="Z11" s="120"/>
      <c r="AA11" s="119"/>
      <c r="AB11" s="119"/>
      <c r="AC11" s="119"/>
      <c r="AD11" s="119"/>
      <c r="AE11" s="119"/>
      <c r="AF11" s="119"/>
      <c r="AG11" s="129"/>
      <c r="AH11" s="129"/>
      <c r="AI11" s="112"/>
      <c r="AJ11" s="113"/>
      <c r="AK11" s="114"/>
      <c r="AL11" s="115"/>
      <c r="AM11" s="115"/>
      <c r="AN11" s="116"/>
    </row>
    <row r="12" ht="67.5" customHeight="1">
      <c r="A12" s="37"/>
      <c r="B12" s="119"/>
      <c r="C12" s="119"/>
      <c r="D12" s="119"/>
      <c r="E12" s="119"/>
      <c r="F12" s="142"/>
      <c r="G12" s="120"/>
      <c r="H12" s="119"/>
      <c r="I12" s="119"/>
      <c r="J12" s="119"/>
      <c r="K12" s="121"/>
      <c r="L12" s="121"/>
      <c r="M12" s="121"/>
      <c r="N12" s="122"/>
      <c r="O12" s="123"/>
      <c r="P12" s="124"/>
      <c r="Q12" s="125"/>
      <c r="R12" s="126"/>
      <c r="S12" s="124"/>
      <c r="T12" s="127"/>
      <c r="U12" s="127"/>
      <c r="V12" s="127"/>
      <c r="W12" s="128"/>
      <c r="X12" s="120"/>
      <c r="Y12" s="119"/>
      <c r="Z12" s="120"/>
      <c r="AA12" s="119"/>
      <c r="AB12" s="119"/>
      <c r="AC12" s="119"/>
      <c r="AD12" s="119"/>
      <c r="AE12" s="119"/>
      <c r="AF12" s="119"/>
      <c r="AG12" s="129"/>
      <c r="AH12" s="129"/>
      <c r="AI12" s="112"/>
      <c r="AJ12" s="113"/>
      <c r="AK12" s="114"/>
      <c r="AL12" s="115"/>
      <c r="AM12" s="115"/>
      <c r="AN12" s="116"/>
    </row>
    <row r="13" ht="15.75" customHeight="1">
      <c r="F13" s="143"/>
    </row>
  </sheetData>
  <autoFilter ref="$A$3:$AN$12"/>
  <mergeCells count="2">
    <mergeCell ref="B1:C1"/>
    <mergeCell ref="AG2:AM2"/>
  </mergeCells>
  <conditionalFormatting sqref="AK4:AK12">
    <cfRule type="cellIs" dxfId="2" priority="1" operator="greaterThan">
      <formula>0</formula>
    </cfRule>
  </conditionalFormatting>
  <conditionalFormatting sqref="AK4:AK12">
    <cfRule type="cellIs" dxfId="3" priority="2" operator="lessThan">
      <formula>0</formula>
    </cfRule>
  </conditionalFormatting>
  <dataValidations>
    <dataValidation type="decimal" allowBlank="1" showDropDown="1" showInputMessage="1" showErrorMessage="1" prompt="Recuerde que debe ingresar un valor numérico o porcentaje" sqref="AG4:AG12">
      <formula1>0.0</formula1>
      <formula2>5000000.0</formula2>
    </dataValidation>
  </dataValidations>
  <hyperlinks>
    <hyperlink display="Home" location="Home!A1" ref="B1"/>
    <hyperlink r:id="rId1" ref="AI5"/>
    <hyperlink r:id="rId2" ref="AI8"/>
    <hyperlink r:id="rId3" ref="AI9"/>
    <hyperlink r:id="rId4" ref="AI10"/>
  </hyperlinks>
  <printOptions gridLines="1" horizontalCentered="1"/>
  <pageMargins bottom="0.75" footer="0.0" header="0.0" left="0.7" right="0.7" top="0.75"/>
  <pageSetup cellComments="atEnd" orientation="portrait" pageOrder="overThenDown"/>
  <drawing r:id="rId5"/>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133"/>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134"/>
      <c r="AF2" s="11"/>
      <c r="AG2" s="94" t="s">
        <v>109</v>
      </c>
      <c r="AH2" s="15"/>
      <c r="AI2" s="15"/>
      <c r="AJ2" s="15"/>
      <c r="AK2" s="15"/>
      <c r="AL2" s="15"/>
      <c r="AM2" s="16"/>
      <c r="AN2" s="95"/>
    </row>
    <row r="3" ht="33.75" customHeight="1">
      <c r="A3" s="81"/>
      <c r="B3" s="96" t="s">
        <v>34</v>
      </c>
      <c r="C3" s="97" t="s">
        <v>35</v>
      </c>
      <c r="D3" s="96" t="s">
        <v>36</v>
      </c>
      <c r="E3" s="96" t="s">
        <v>37</v>
      </c>
      <c r="F3" s="135"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56.0</v>
      </c>
      <c r="C4" s="100" t="s">
        <v>377</v>
      </c>
      <c r="D4" s="100" t="s">
        <v>378</v>
      </c>
      <c r="E4" s="100" t="s">
        <v>112</v>
      </c>
      <c r="F4" s="100">
        <v>2.01801E12</v>
      </c>
      <c r="G4" s="101" t="s">
        <v>113</v>
      </c>
      <c r="H4" s="100" t="s">
        <v>138</v>
      </c>
      <c r="I4" s="100" t="s">
        <v>379</v>
      </c>
      <c r="J4" s="100" t="s">
        <v>380</v>
      </c>
      <c r="K4" s="102" t="s">
        <v>141</v>
      </c>
      <c r="L4" s="102" t="s">
        <v>118</v>
      </c>
      <c r="M4" s="102" t="s">
        <v>119</v>
      </c>
      <c r="N4" s="103" t="s">
        <v>381</v>
      </c>
      <c r="O4" s="123"/>
      <c r="P4" s="105">
        <v>2.0</v>
      </c>
      <c r="Q4" s="106" t="s">
        <v>382</v>
      </c>
      <c r="R4" s="107" t="s">
        <v>150</v>
      </c>
      <c r="S4" s="105">
        <v>0.0</v>
      </c>
      <c r="T4" s="130">
        <v>1.0</v>
      </c>
      <c r="U4" s="127"/>
      <c r="V4" s="130">
        <v>1.0</v>
      </c>
      <c r="W4" s="109" t="s">
        <v>378</v>
      </c>
      <c r="X4" s="101" t="s">
        <v>123</v>
      </c>
      <c r="Y4" s="100" t="s">
        <v>383</v>
      </c>
      <c r="Z4" s="101" t="s">
        <v>125</v>
      </c>
      <c r="AA4" s="100" t="s">
        <v>384</v>
      </c>
      <c r="AB4" s="100" t="s">
        <v>385</v>
      </c>
      <c r="AC4" s="100" t="s">
        <v>128</v>
      </c>
      <c r="AD4" s="100" t="s">
        <v>208</v>
      </c>
      <c r="AE4" s="100" t="s">
        <v>378</v>
      </c>
      <c r="AF4" s="100" t="s">
        <v>131</v>
      </c>
      <c r="AG4" s="111" t="s">
        <v>386</v>
      </c>
      <c r="AH4" s="111"/>
      <c r="AI4" s="140" t="s">
        <v>387</v>
      </c>
      <c r="AJ4" s="113">
        <f t="shared" ref="AJ4:AJ6" si="1">$AK$1</f>
        <v>44298</v>
      </c>
      <c r="AK4" s="114">
        <f t="shared" ref="AK4:AK6" si="2">AJ4-$AL$1</f>
        <v>-416</v>
      </c>
      <c r="AL4" s="115" t="str">
        <f t="shared" ref="AL4:AL6" si="3">IF(ISBLANK(AG4),"Pendiente Ejecución"&amp;CHAR(10),)&amp;IF(ISBLANK(AH4),"Pendiente Justificación"&amp;CHAR(10),)&amp;IF(ISBLANK(AI4),"Pendiente Evidencia",)&amp;IF(OR(ISBLANK(AG4),ISBLANK(AH4),ISBLANK(AI4)),,"Reporte ok")</f>
        <v>Pendiente Justificación
</v>
      </c>
      <c r="AM4" s="115"/>
      <c r="AN4" s="116"/>
    </row>
    <row r="5" ht="67.5" customHeight="1">
      <c r="A5" s="37"/>
      <c r="B5" s="100">
        <v>57.0</v>
      </c>
      <c r="C5" s="100" t="s">
        <v>377</v>
      </c>
      <c r="D5" s="100" t="s">
        <v>378</v>
      </c>
      <c r="E5" s="100" t="s">
        <v>112</v>
      </c>
      <c r="F5" s="100">
        <v>2.01801E12</v>
      </c>
      <c r="G5" s="101" t="s">
        <v>113</v>
      </c>
      <c r="H5" s="100" t="s">
        <v>138</v>
      </c>
      <c r="I5" s="100" t="s">
        <v>379</v>
      </c>
      <c r="J5" s="100" t="s">
        <v>380</v>
      </c>
      <c r="K5" s="102" t="s">
        <v>141</v>
      </c>
      <c r="L5" s="102" t="s">
        <v>118</v>
      </c>
      <c r="M5" s="102" t="s">
        <v>119</v>
      </c>
      <c r="N5" s="103" t="s">
        <v>381</v>
      </c>
      <c r="O5" s="123"/>
      <c r="P5" s="105">
        <v>2.0</v>
      </c>
      <c r="Q5" s="106" t="s">
        <v>388</v>
      </c>
      <c r="R5" s="107" t="s">
        <v>150</v>
      </c>
      <c r="S5" s="105">
        <v>0.0</v>
      </c>
      <c r="T5" s="130">
        <v>1.0</v>
      </c>
      <c r="U5" s="127"/>
      <c r="V5" s="130">
        <v>1.0</v>
      </c>
      <c r="W5" s="109" t="s">
        <v>378</v>
      </c>
      <c r="X5" s="101" t="s">
        <v>123</v>
      </c>
      <c r="Y5" s="100" t="s">
        <v>383</v>
      </c>
      <c r="Z5" s="101" t="s">
        <v>125</v>
      </c>
      <c r="AA5" s="100" t="s">
        <v>384</v>
      </c>
      <c r="AB5" s="100" t="s">
        <v>385</v>
      </c>
      <c r="AC5" s="100" t="s">
        <v>128</v>
      </c>
      <c r="AD5" s="100" t="s">
        <v>208</v>
      </c>
      <c r="AE5" s="100" t="s">
        <v>378</v>
      </c>
      <c r="AF5" s="100" t="s">
        <v>131</v>
      </c>
      <c r="AG5" s="111" t="s">
        <v>389</v>
      </c>
      <c r="AH5" s="111"/>
      <c r="AI5" s="140" t="s">
        <v>387</v>
      </c>
      <c r="AJ5" s="113">
        <f t="shared" si="1"/>
        <v>44298</v>
      </c>
      <c r="AK5" s="114">
        <f t="shared" si="2"/>
        <v>-416</v>
      </c>
      <c r="AL5" s="115" t="str">
        <f t="shared" si="3"/>
        <v>Pendiente Justificación
</v>
      </c>
      <c r="AM5" s="115"/>
      <c r="AN5" s="116"/>
    </row>
    <row r="6" ht="67.5" customHeight="1">
      <c r="A6" s="37"/>
      <c r="B6" s="100">
        <v>58.0</v>
      </c>
      <c r="C6" s="100" t="s">
        <v>377</v>
      </c>
      <c r="D6" s="100" t="s">
        <v>378</v>
      </c>
      <c r="E6" s="100" t="s">
        <v>112</v>
      </c>
      <c r="F6" s="100">
        <v>2.01801E12</v>
      </c>
      <c r="G6" s="101" t="s">
        <v>113</v>
      </c>
      <c r="H6" s="100" t="s">
        <v>138</v>
      </c>
      <c r="I6" s="100" t="s">
        <v>379</v>
      </c>
      <c r="J6" s="100" t="s">
        <v>380</v>
      </c>
      <c r="K6" s="102" t="s">
        <v>141</v>
      </c>
      <c r="L6" s="102" t="s">
        <v>118</v>
      </c>
      <c r="M6" s="102" t="s">
        <v>119</v>
      </c>
      <c r="N6" s="103" t="s">
        <v>381</v>
      </c>
      <c r="O6" s="123"/>
      <c r="P6" s="105">
        <v>4.0</v>
      </c>
      <c r="Q6" s="106" t="s">
        <v>390</v>
      </c>
      <c r="R6" s="107" t="s">
        <v>163</v>
      </c>
      <c r="S6" s="105">
        <v>1.0</v>
      </c>
      <c r="T6" s="130">
        <v>1.0</v>
      </c>
      <c r="U6" s="130">
        <v>1.0</v>
      </c>
      <c r="V6" s="130">
        <v>1.0</v>
      </c>
      <c r="W6" s="109" t="s">
        <v>378</v>
      </c>
      <c r="X6" s="101" t="s">
        <v>123</v>
      </c>
      <c r="Y6" s="100" t="s">
        <v>383</v>
      </c>
      <c r="Z6" s="101" t="s">
        <v>125</v>
      </c>
      <c r="AA6" s="100" t="s">
        <v>384</v>
      </c>
      <c r="AB6" s="100" t="s">
        <v>385</v>
      </c>
      <c r="AC6" s="100" t="s">
        <v>128</v>
      </c>
      <c r="AD6" s="100" t="s">
        <v>208</v>
      </c>
      <c r="AE6" s="100" t="s">
        <v>378</v>
      </c>
      <c r="AF6" s="100" t="s">
        <v>131</v>
      </c>
      <c r="AG6" s="144">
        <v>2.0</v>
      </c>
      <c r="AH6" s="111" t="s">
        <v>391</v>
      </c>
      <c r="AI6" s="140" t="s">
        <v>392</v>
      </c>
      <c r="AJ6" s="113">
        <f t="shared" si="1"/>
        <v>44298</v>
      </c>
      <c r="AK6" s="114">
        <f t="shared" si="2"/>
        <v>-416</v>
      </c>
      <c r="AL6" s="115" t="str">
        <f t="shared" si="3"/>
        <v>Reporte ok</v>
      </c>
      <c r="AM6" s="115"/>
      <c r="AN6" s="116"/>
    </row>
    <row r="7" ht="67.5" customHeight="1">
      <c r="A7" s="37"/>
      <c r="B7" s="119"/>
      <c r="C7" s="119"/>
      <c r="D7" s="119"/>
      <c r="E7" s="119"/>
      <c r="F7" s="142"/>
      <c r="G7" s="120"/>
      <c r="H7" s="119"/>
      <c r="I7" s="119"/>
      <c r="J7" s="119"/>
      <c r="K7" s="121"/>
      <c r="L7" s="121"/>
      <c r="M7" s="121"/>
      <c r="N7" s="122"/>
      <c r="O7" s="123"/>
      <c r="P7" s="124"/>
      <c r="Q7" s="125"/>
      <c r="R7" s="126"/>
      <c r="S7" s="124"/>
      <c r="T7" s="127"/>
      <c r="U7" s="127"/>
      <c r="V7" s="127"/>
      <c r="W7" s="128"/>
      <c r="X7" s="120"/>
      <c r="Y7" s="119"/>
      <c r="Z7" s="120"/>
      <c r="AA7" s="119"/>
      <c r="AB7" s="119"/>
      <c r="AC7" s="119"/>
      <c r="AD7" s="119"/>
      <c r="AE7" s="119"/>
      <c r="AF7" s="119"/>
      <c r="AG7" s="129"/>
      <c r="AH7" s="129"/>
      <c r="AI7" s="112"/>
      <c r="AJ7" s="113"/>
      <c r="AK7" s="114"/>
      <c r="AL7" s="115"/>
      <c r="AM7" s="115"/>
      <c r="AN7" s="116"/>
    </row>
    <row r="8" ht="67.5" customHeight="1">
      <c r="A8" s="37"/>
      <c r="B8" s="119"/>
      <c r="C8" s="119"/>
      <c r="D8" s="119"/>
      <c r="E8" s="119"/>
      <c r="F8" s="142"/>
      <c r="G8" s="120"/>
      <c r="H8" s="119"/>
      <c r="I8" s="119"/>
      <c r="J8" s="119"/>
      <c r="K8" s="121"/>
      <c r="L8" s="121"/>
      <c r="M8" s="121"/>
      <c r="N8" s="122"/>
      <c r="O8" s="123"/>
      <c r="P8" s="124"/>
      <c r="Q8" s="125"/>
      <c r="R8" s="126"/>
      <c r="S8" s="124"/>
      <c r="T8" s="127"/>
      <c r="U8" s="127"/>
      <c r="V8" s="127"/>
      <c r="W8" s="128"/>
      <c r="X8" s="120"/>
      <c r="Y8" s="119"/>
      <c r="Z8" s="120"/>
      <c r="AA8" s="119"/>
      <c r="AB8" s="119"/>
      <c r="AC8" s="119"/>
      <c r="AD8" s="119"/>
      <c r="AE8" s="119"/>
      <c r="AF8" s="119"/>
      <c r="AG8" s="129"/>
      <c r="AH8" s="129"/>
      <c r="AI8" s="112"/>
      <c r="AJ8" s="113"/>
      <c r="AK8" s="114"/>
      <c r="AL8" s="115"/>
      <c r="AM8" s="115"/>
      <c r="AN8" s="116"/>
    </row>
    <row r="9" ht="15.75" customHeight="1">
      <c r="F9" s="143"/>
    </row>
  </sheetData>
  <autoFilter ref="$A$3:$AN$8"/>
  <mergeCells count="2">
    <mergeCell ref="B1:C1"/>
    <mergeCell ref="AG2:AM2"/>
  </mergeCells>
  <conditionalFormatting sqref="AK4:AK8">
    <cfRule type="cellIs" dxfId="2" priority="1" operator="greaterThan">
      <formula>0</formula>
    </cfRule>
  </conditionalFormatting>
  <conditionalFormatting sqref="AK4:AK8">
    <cfRule type="cellIs" dxfId="3" priority="2" operator="lessThan">
      <formula>0</formula>
    </cfRule>
  </conditionalFormatting>
  <conditionalFormatting sqref="AK4:AK8">
    <cfRule type="cellIs" dxfId="2" priority="3" operator="greaterThan">
      <formula>0</formula>
    </cfRule>
  </conditionalFormatting>
  <conditionalFormatting sqref="AK4:AK8">
    <cfRule type="cellIs" dxfId="3" priority="4" operator="lessThan">
      <formula>0</formula>
    </cfRule>
  </conditionalFormatting>
  <dataValidations>
    <dataValidation type="decimal" allowBlank="1" showDropDown="1" showInputMessage="1" showErrorMessage="1" prompt="Recuerde que debe ingresar un valor numérico o porcentaje" sqref="AG6:AG8">
      <formula1>0.0</formula1>
      <formula2>5000000.0</formula2>
    </dataValidation>
    <dataValidation type="decimal" allowBlank="1" showDropDown="1" showInputMessage="1" showErrorMessage="1" prompt="Recuerde que debe ingresar un valor numérico o porcentaje" sqref="A1">
      <formula1>0.0</formula1>
      <formula2>5000.0</formula2>
    </dataValidation>
  </dataValidations>
  <hyperlinks>
    <hyperlink display="Home" location="Home!A1" ref="B1"/>
  </hyperlinks>
  <printOptions gridLines="1" horizontalCentered="1"/>
  <pageMargins bottom="0.75" footer="0.0" header="0.0" left="0.7" right="0.7" top="0.75"/>
  <pageSetup cellComments="atEnd" orientation="portrait" pageOrder="overThenDown"/>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59.0</v>
      </c>
      <c r="C4" s="100" t="s">
        <v>393</v>
      </c>
      <c r="D4" s="100" t="s">
        <v>394</v>
      </c>
      <c r="E4" s="100" t="s">
        <v>112</v>
      </c>
      <c r="F4" s="100">
        <v>2.018011000241E12</v>
      </c>
      <c r="G4" s="101" t="s">
        <v>113</v>
      </c>
      <c r="H4" s="100" t="s">
        <v>138</v>
      </c>
      <c r="I4" s="100" t="s">
        <v>139</v>
      </c>
      <c r="J4" s="100" t="s">
        <v>140</v>
      </c>
      <c r="K4" s="102" t="s">
        <v>141</v>
      </c>
      <c r="L4" s="102" t="s">
        <v>307</v>
      </c>
      <c r="M4" s="102" t="s">
        <v>142</v>
      </c>
      <c r="N4" s="103" t="s">
        <v>395</v>
      </c>
      <c r="O4" s="123"/>
      <c r="P4" s="118">
        <v>1.0</v>
      </c>
      <c r="Q4" s="106" t="s">
        <v>396</v>
      </c>
      <c r="R4" s="107" t="s">
        <v>163</v>
      </c>
      <c r="S4" s="118">
        <v>1.0</v>
      </c>
      <c r="T4" s="118">
        <v>1.0</v>
      </c>
      <c r="U4" s="118">
        <v>1.0</v>
      </c>
      <c r="V4" s="118">
        <v>1.0</v>
      </c>
      <c r="W4" s="109" t="s">
        <v>397</v>
      </c>
      <c r="X4" s="101" t="s">
        <v>398</v>
      </c>
      <c r="Y4" s="100" t="s">
        <v>399</v>
      </c>
      <c r="Z4" s="101" t="s">
        <v>400</v>
      </c>
      <c r="AA4" s="100" t="s">
        <v>152</v>
      </c>
      <c r="AB4" s="100" t="s">
        <v>173</v>
      </c>
      <c r="AC4" s="100" t="s">
        <v>290</v>
      </c>
      <c r="AD4" s="100" t="s">
        <v>154</v>
      </c>
      <c r="AE4" s="100" t="s">
        <v>401</v>
      </c>
      <c r="AF4" s="100" t="s">
        <v>131</v>
      </c>
      <c r="AG4" s="110">
        <v>1.0</v>
      </c>
      <c r="AH4" s="111" t="s">
        <v>402</v>
      </c>
      <c r="AI4" s="117" t="s">
        <v>403</v>
      </c>
      <c r="AJ4" s="113">
        <f t="shared" ref="AJ4:AJ13" si="1">$AK$1</f>
        <v>44298</v>
      </c>
      <c r="AK4" s="114">
        <f t="shared" ref="AK4:AK13" si="2">AJ4-$AL$1</f>
        <v>-416</v>
      </c>
      <c r="AL4" s="115" t="str">
        <f t="shared" ref="AL4:AL13" si="3">IF(ISBLANK(AG4),"Pendiente Ejecución"&amp;CHAR(10),)&amp;IF(ISBLANK(AH4),"Pendiente Justificación"&amp;CHAR(10),)&amp;IF(ISBLANK(AI4),"Pendiente Evidencia",)&amp;IF(OR(ISBLANK(AG4),ISBLANK(AH4),ISBLANK(AI4)),,"Reporte ok")</f>
        <v>Reporte ok</v>
      </c>
      <c r="AM4" s="146" t="s">
        <v>268</v>
      </c>
      <c r="AN4" s="116"/>
    </row>
    <row r="5" ht="67.5" customHeight="1">
      <c r="A5" s="37"/>
      <c r="B5" s="100">
        <v>60.0</v>
      </c>
      <c r="C5" s="100" t="s">
        <v>393</v>
      </c>
      <c r="D5" s="100" t="s">
        <v>394</v>
      </c>
      <c r="E5" s="100" t="s">
        <v>112</v>
      </c>
      <c r="F5" s="100">
        <v>2.018011000241E12</v>
      </c>
      <c r="G5" s="101" t="s">
        <v>113</v>
      </c>
      <c r="H5" s="100" t="s">
        <v>138</v>
      </c>
      <c r="I5" s="100" t="s">
        <v>139</v>
      </c>
      <c r="J5" s="100" t="s">
        <v>140</v>
      </c>
      <c r="K5" s="102" t="s">
        <v>141</v>
      </c>
      <c r="L5" s="102" t="s">
        <v>118</v>
      </c>
      <c r="M5" s="102" t="s">
        <v>142</v>
      </c>
      <c r="N5" s="103" t="s">
        <v>404</v>
      </c>
      <c r="O5" s="123"/>
      <c r="P5" s="118">
        <v>1.0</v>
      </c>
      <c r="Q5" s="106" t="s">
        <v>405</v>
      </c>
      <c r="R5" s="107" t="s">
        <v>163</v>
      </c>
      <c r="S5" s="118">
        <v>1.0</v>
      </c>
      <c r="T5" s="118">
        <v>1.0</v>
      </c>
      <c r="U5" s="118">
        <v>1.0</v>
      </c>
      <c r="V5" s="118">
        <v>1.0</v>
      </c>
      <c r="W5" s="109" t="s">
        <v>397</v>
      </c>
      <c r="X5" s="101" t="s">
        <v>398</v>
      </c>
      <c r="Y5" s="100" t="s">
        <v>399</v>
      </c>
      <c r="Z5" s="101" t="s">
        <v>400</v>
      </c>
      <c r="AA5" s="100" t="s">
        <v>152</v>
      </c>
      <c r="AB5" s="100" t="s">
        <v>173</v>
      </c>
      <c r="AC5" s="100" t="s">
        <v>343</v>
      </c>
      <c r="AD5" s="100" t="s">
        <v>154</v>
      </c>
      <c r="AE5" s="100" t="s">
        <v>401</v>
      </c>
      <c r="AF5" s="100" t="s">
        <v>131</v>
      </c>
      <c r="AG5" s="110">
        <v>1.0</v>
      </c>
      <c r="AH5" s="111" t="s">
        <v>406</v>
      </c>
      <c r="AI5" s="117" t="s">
        <v>403</v>
      </c>
      <c r="AJ5" s="113">
        <f t="shared" si="1"/>
        <v>44298</v>
      </c>
      <c r="AK5" s="114">
        <f t="shared" si="2"/>
        <v>-416</v>
      </c>
      <c r="AL5" s="115" t="str">
        <f t="shared" si="3"/>
        <v>Reporte ok</v>
      </c>
      <c r="AM5" s="146" t="s">
        <v>268</v>
      </c>
      <c r="AN5" s="116"/>
    </row>
    <row r="6" ht="67.5" customHeight="1">
      <c r="A6" s="37"/>
      <c r="B6" s="100">
        <v>61.0</v>
      </c>
      <c r="C6" s="100" t="s">
        <v>393</v>
      </c>
      <c r="D6" s="100" t="s">
        <v>394</v>
      </c>
      <c r="E6" s="100" t="s">
        <v>112</v>
      </c>
      <c r="F6" s="100">
        <v>2.018011000241E12</v>
      </c>
      <c r="G6" s="101" t="s">
        <v>113</v>
      </c>
      <c r="H6" s="100" t="s">
        <v>138</v>
      </c>
      <c r="I6" s="100" t="s">
        <v>139</v>
      </c>
      <c r="J6" s="100" t="s">
        <v>140</v>
      </c>
      <c r="K6" s="102" t="s">
        <v>141</v>
      </c>
      <c r="L6" s="102" t="s">
        <v>118</v>
      </c>
      <c r="M6" s="102" t="s">
        <v>142</v>
      </c>
      <c r="N6" s="103" t="s">
        <v>407</v>
      </c>
      <c r="O6" s="123"/>
      <c r="P6" s="118">
        <v>1.0</v>
      </c>
      <c r="Q6" s="106" t="s">
        <v>408</v>
      </c>
      <c r="R6" s="107" t="s">
        <v>163</v>
      </c>
      <c r="S6" s="118">
        <v>1.0</v>
      </c>
      <c r="T6" s="118">
        <v>1.0</v>
      </c>
      <c r="U6" s="118">
        <v>1.0</v>
      </c>
      <c r="V6" s="118">
        <v>1.0</v>
      </c>
      <c r="W6" s="109" t="s">
        <v>397</v>
      </c>
      <c r="X6" s="101" t="s">
        <v>398</v>
      </c>
      <c r="Y6" s="100" t="s">
        <v>399</v>
      </c>
      <c r="Z6" s="101" t="s">
        <v>400</v>
      </c>
      <c r="AA6" s="100" t="s">
        <v>152</v>
      </c>
      <c r="AB6" s="100" t="s">
        <v>173</v>
      </c>
      <c r="AC6" s="100" t="s">
        <v>290</v>
      </c>
      <c r="AD6" s="100" t="s">
        <v>154</v>
      </c>
      <c r="AE6" s="100" t="s">
        <v>401</v>
      </c>
      <c r="AF6" s="100" t="s">
        <v>131</v>
      </c>
      <c r="AG6" s="110">
        <v>1.0</v>
      </c>
      <c r="AH6" s="111" t="s">
        <v>409</v>
      </c>
      <c r="AI6" s="117" t="s">
        <v>403</v>
      </c>
      <c r="AJ6" s="113">
        <f t="shared" si="1"/>
        <v>44298</v>
      </c>
      <c r="AK6" s="114">
        <f t="shared" si="2"/>
        <v>-416</v>
      </c>
      <c r="AL6" s="115" t="str">
        <f t="shared" si="3"/>
        <v>Reporte ok</v>
      </c>
      <c r="AM6" s="146" t="s">
        <v>268</v>
      </c>
      <c r="AN6" s="116"/>
    </row>
    <row r="7" ht="67.5" customHeight="1">
      <c r="A7" s="37"/>
      <c r="B7" s="100">
        <v>62.0</v>
      </c>
      <c r="C7" s="100" t="s">
        <v>393</v>
      </c>
      <c r="D7" s="100" t="s">
        <v>394</v>
      </c>
      <c r="E7" s="100" t="s">
        <v>112</v>
      </c>
      <c r="F7" s="100">
        <v>2.018011000241E12</v>
      </c>
      <c r="G7" s="101" t="s">
        <v>113</v>
      </c>
      <c r="H7" s="100" t="s">
        <v>138</v>
      </c>
      <c r="I7" s="100" t="s">
        <v>139</v>
      </c>
      <c r="J7" s="100" t="s">
        <v>140</v>
      </c>
      <c r="K7" s="102" t="s">
        <v>141</v>
      </c>
      <c r="L7" s="102" t="s">
        <v>118</v>
      </c>
      <c r="M7" s="102" t="s">
        <v>142</v>
      </c>
      <c r="N7" s="103" t="s">
        <v>410</v>
      </c>
      <c r="O7" s="123"/>
      <c r="P7" s="118">
        <v>1.0</v>
      </c>
      <c r="Q7" s="106" t="s">
        <v>411</v>
      </c>
      <c r="R7" s="107" t="s">
        <v>163</v>
      </c>
      <c r="S7" s="118">
        <v>1.0</v>
      </c>
      <c r="T7" s="118">
        <v>1.0</v>
      </c>
      <c r="U7" s="118">
        <v>1.0</v>
      </c>
      <c r="V7" s="118">
        <v>1.0</v>
      </c>
      <c r="W7" s="109" t="s">
        <v>397</v>
      </c>
      <c r="X7" s="101" t="s">
        <v>398</v>
      </c>
      <c r="Y7" s="100" t="s">
        <v>399</v>
      </c>
      <c r="Z7" s="101" t="s">
        <v>400</v>
      </c>
      <c r="AA7" s="100" t="s">
        <v>152</v>
      </c>
      <c r="AB7" s="100" t="s">
        <v>173</v>
      </c>
      <c r="AC7" s="100" t="s">
        <v>290</v>
      </c>
      <c r="AD7" s="100" t="s">
        <v>154</v>
      </c>
      <c r="AE7" s="100" t="s">
        <v>401</v>
      </c>
      <c r="AF7" s="100" t="s">
        <v>131</v>
      </c>
      <c r="AG7" s="110">
        <v>1.0</v>
      </c>
      <c r="AH7" s="111" t="s">
        <v>412</v>
      </c>
      <c r="AI7" s="117" t="s">
        <v>413</v>
      </c>
      <c r="AJ7" s="113">
        <f t="shared" si="1"/>
        <v>44298</v>
      </c>
      <c r="AK7" s="114">
        <f t="shared" si="2"/>
        <v>-416</v>
      </c>
      <c r="AL7" s="115" t="str">
        <f t="shared" si="3"/>
        <v>Reporte ok</v>
      </c>
      <c r="AM7" s="146" t="s">
        <v>268</v>
      </c>
      <c r="AN7" s="116"/>
    </row>
    <row r="8" ht="67.5" customHeight="1">
      <c r="A8" s="37"/>
      <c r="B8" s="100">
        <v>63.0</v>
      </c>
      <c r="C8" s="100" t="s">
        <v>393</v>
      </c>
      <c r="D8" s="100" t="s">
        <v>394</v>
      </c>
      <c r="E8" s="100" t="s">
        <v>112</v>
      </c>
      <c r="F8" s="100">
        <v>2.018011000241E12</v>
      </c>
      <c r="G8" s="101" t="s">
        <v>113</v>
      </c>
      <c r="H8" s="100" t="s">
        <v>138</v>
      </c>
      <c r="I8" s="100" t="s">
        <v>139</v>
      </c>
      <c r="J8" s="100" t="s">
        <v>140</v>
      </c>
      <c r="K8" s="102" t="s">
        <v>141</v>
      </c>
      <c r="L8" s="102" t="s">
        <v>118</v>
      </c>
      <c r="M8" s="102" t="s">
        <v>142</v>
      </c>
      <c r="N8" s="103" t="s">
        <v>414</v>
      </c>
      <c r="O8" s="123"/>
      <c r="P8" s="118">
        <v>1.0</v>
      </c>
      <c r="Q8" s="106" t="s">
        <v>415</v>
      </c>
      <c r="R8" s="107" t="s">
        <v>163</v>
      </c>
      <c r="S8" s="118">
        <v>1.0</v>
      </c>
      <c r="T8" s="118">
        <v>1.0</v>
      </c>
      <c r="U8" s="118">
        <v>1.0</v>
      </c>
      <c r="V8" s="118">
        <v>1.0</v>
      </c>
      <c r="W8" s="109" t="s">
        <v>397</v>
      </c>
      <c r="X8" s="101" t="s">
        <v>398</v>
      </c>
      <c r="Y8" s="100" t="s">
        <v>399</v>
      </c>
      <c r="Z8" s="101" t="s">
        <v>400</v>
      </c>
      <c r="AA8" s="100" t="s">
        <v>152</v>
      </c>
      <c r="AB8" s="100" t="s">
        <v>173</v>
      </c>
      <c r="AC8" s="100" t="s">
        <v>290</v>
      </c>
      <c r="AD8" s="100" t="s">
        <v>154</v>
      </c>
      <c r="AE8" s="100" t="s">
        <v>401</v>
      </c>
      <c r="AF8" s="100" t="s">
        <v>131</v>
      </c>
      <c r="AG8" s="110">
        <v>1.0</v>
      </c>
      <c r="AH8" s="111" t="s">
        <v>416</v>
      </c>
      <c r="AI8" s="117" t="s">
        <v>403</v>
      </c>
      <c r="AJ8" s="113">
        <f t="shared" si="1"/>
        <v>44298</v>
      </c>
      <c r="AK8" s="114">
        <f t="shared" si="2"/>
        <v>-416</v>
      </c>
      <c r="AL8" s="115" t="str">
        <f t="shared" si="3"/>
        <v>Reporte ok</v>
      </c>
      <c r="AM8" s="146" t="s">
        <v>268</v>
      </c>
      <c r="AN8" s="116"/>
    </row>
    <row r="9" ht="67.5" customHeight="1">
      <c r="A9" s="37"/>
      <c r="B9" s="100">
        <v>64.0</v>
      </c>
      <c r="C9" s="100" t="s">
        <v>393</v>
      </c>
      <c r="D9" s="100" t="s">
        <v>394</v>
      </c>
      <c r="E9" s="100" t="s">
        <v>112</v>
      </c>
      <c r="F9" s="100">
        <v>2.018011000241E12</v>
      </c>
      <c r="G9" s="101" t="s">
        <v>113</v>
      </c>
      <c r="H9" s="100" t="s">
        <v>138</v>
      </c>
      <c r="I9" s="100" t="s">
        <v>139</v>
      </c>
      <c r="J9" s="100" t="s">
        <v>140</v>
      </c>
      <c r="K9" s="102" t="s">
        <v>141</v>
      </c>
      <c r="L9" s="102" t="s">
        <v>118</v>
      </c>
      <c r="M9" s="102" t="s">
        <v>142</v>
      </c>
      <c r="N9" s="103" t="s">
        <v>417</v>
      </c>
      <c r="O9" s="123"/>
      <c r="P9" s="118">
        <v>1.0</v>
      </c>
      <c r="Q9" s="106" t="s">
        <v>418</v>
      </c>
      <c r="R9" s="107" t="s">
        <v>163</v>
      </c>
      <c r="S9" s="118">
        <v>1.0</v>
      </c>
      <c r="T9" s="118">
        <v>1.0</v>
      </c>
      <c r="U9" s="118">
        <v>1.0</v>
      </c>
      <c r="V9" s="118">
        <v>1.0</v>
      </c>
      <c r="W9" s="109" t="s">
        <v>397</v>
      </c>
      <c r="X9" s="101" t="s">
        <v>398</v>
      </c>
      <c r="Y9" s="100" t="s">
        <v>399</v>
      </c>
      <c r="Z9" s="101" t="s">
        <v>400</v>
      </c>
      <c r="AA9" s="100" t="s">
        <v>152</v>
      </c>
      <c r="AB9" s="100" t="s">
        <v>173</v>
      </c>
      <c r="AC9" s="100" t="s">
        <v>290</v>
      </c>
      <c r="AD9" s="100" t="s">
        <v>154</v>
      </c>
      <c r="AE9" s="100" t="s">
        <v>401</v>
      </c>
      <c r="AF9" s="100" t="s">
        <v>131</v>
      </c>
      <c r="AG9" s="110">
        <v>1.0</v>
      </c>
      <c r="AH9" s="111" t="s">
        <v>419</v>
      </c>
      <c r="AI9" s="117" t="s">
        <v>403</v>
      </c>
      <c r="AJ9" s="113">
        <f t="shared" si="1"/>
        <v>44298</v>
      </c>
      <c r="AK9" s="114">
        <f t="shared" si="2"/>
        <v>-416</v>
      </c>
      <c r="AL9" s="115" t="str">
        <f t="shared" si="3"/>
        <v>Reporte ok</v>
      </c>
      <c r="AM9" s="146" t="s">
        <v>268</v>
      </c>
      <c r="AN9" s="116"/>
    </row>
    <row r="10" ht="67.5" customHeight="1">
      <c r="A10" s="37"/>
      <c r="B10" s="100">
        <v>65.0</v>
      </c>
      <c r="C10" s="100" t="s">
        <v>393</v>
      </c>
      <c r="D10" s="100" t="s">
        <v>394</v>
      </c>
      <c r="E10" s="100" t="s">
        <v>279</v>
      </c>
      <c r="F10" s="100">
        <v>2.01901100028E12</v>
      </c>
      <c r="G10" s="101" t="s">
        <v>280</v>
      </c>
      <c r="H10" s="100" t="s">
        <v>296</v>
      </c>
      <c r="I10" s="100" t="s">
        <v>297</v>
      </c>
      <c r="J10" s="100" t="s">
        <v>298</v>
      </c>
      <c r="K10" s="102" t="s">
        <v>141</v>
      </c>
      <c r="L10" s="102" t="s">
        <v>118</v>
      </c>
      <c r="M10" s="102" t="s">
        <v>142</v>
      </c>
      <c r="N10" s="103" t="s">
        <v>420</v>
      </c>
      <c r="O10" s="123"/>
      <c r="P10" s="118">
        <v>1.0</v>
      </c>
      <c r="Q10" s="106" t="s">
        <v>421</v>
      </c>
      <c r="R10" s="107" t="s">
        <v>163</v>
      </c>
      <c r="S10" s="118">
        <v>1.0</v>
      </c>
      <c r="T10" s="118">
        <v>1.0</v>
      </c>
      <c r="U10" s="118">
        <v>1.0</v>
      </c>
      <c r="V10" s="118">
        <v>1.0</v>
      </c>
      <c r="W10" s="109" t="s">
        <v>397</v>
      </c>
      <c r="X10" s="101" t="s">
        <v>398</v>
      </c>
      <c r="Y10" s="100" t="s">
        <v>399</v>
      </c>
      <c r="Z10" s="101" t="s">
        <v>400</v>
      </c>
      <c r="AA10" s="100" t="s">
        <v>152</v>
      </c>
      <c r="AB10" s="100" t="s">
        <v>173</v>
      </c>
      <c r="AC10" s="100" t="s">
        <v>290</v>
      </c>
      <c r="AD10" s="100" t="s">
        <v>154</v>
      </c>
      <c r="AE10" s="100" t="s">
        <v>401</v>
      </c>
      <c r="AF10" s="100" t="s">
        <v>131</v>
      </c>
      <c r="AG10" s="110">
        <v>1.0</v>
      </c>
      <c r="AH10" s="111" t="s">
        <v>422</v>
      </c>
      <c r="AI10" s="117" t="s">
        <v>403</v>
      </c>
      <c r="AJ10" s="113">
        <f t="shared" si="1"/>
        <v>44298</v>
      </c>
      <c r="AK10" s="114">
        <f t="shared" si="2"/>
        <v>-416</v>
      </c>
      <c r="AL10" s="115" t="str">
        <f t="shared" si="3"/>
        <v>Reporte ok</v>
      </c>
      <c r="AM10" s="146" t="s">
        <v>268</v>
      </c>
      <c r="AN10" s="116"/>
    </row>
    <row r="11" ht="67.5" customHeight="1">
      <c r="A11" s="37"/>
      <c r="B11" s="100">
        <v>66.0</v>
      </c>
      <c r="C11" s="100" t="s">
        <v>393</v>
      </c>
      <c r="D11" s="100" t="s">
        <v>394</v>
      </c>
      <c r="E11" s="100" t="s">
        <v>112</v>
      </c>
      <c r="F11" s="100">
        <v>2.018011000241E12</v>
      </c>
      <c r="G11" s="101" t="s">
        <v>113</v>
      </c>
      <c r="H11" s="100" t="s">
        <v>138</v>
      </c>
      <c r="I11" s="100" t="s">
        <v>139</v>
      </c>
      <c r="J11" s="100" t="s">
        <v>140</v>
      </c>
      <c r="K11" s="102" t="s">
        <v>141</v>
      </c>
      <c r="L11" s="102" t="s">
        <v>118</v>
      </c>
      <c r="M11" s="102" t="s">
        <v>142</v>
      </c>
      <c r="N11" s="103" t="s">
        <v>423</v>
      </c>
      <c r="O11" s="123"/>
      <c r="P11" s="118">
        <v>1.0</v>
      </c>
      <c r="Q11" s="106" t="s">
        <v>424</v>
      </c>
      <c r="R11" s="107" t="s">
        <v>163</v>
      </c>
      <c r="S11" s="118">
        <v>1.0</v>
      </c>
      <c r="T11" s="118">
        <v>1.0</v>
      </c>
      <c r="U11" s="118">
        <v>1.0</v>
      </c>
      <c r="V11" s="118">
        <v>1.0</v>
      </c>
      <c r="W11" s="109" t="s">
        <v>397</v>
      </c>
      <c r="X11" s="101" t="s">
        <v>398</v>
      </c>
      <c r="Y11" s="100" t="s">
        <v>399</v>
      </c>
      <c r="Z11" s="101" t="s">
        <v>400</v>
      </c>
      <c r="AA11" s="100" t="s">
        <v>152</v>
      </c>
      <c r="AB11" s="100" t="s">
        <v>173</v>
      </c>
      <c r="AC11" s="100" t="s">
        <v>290</v>
      </c>
      <c r="AD11" s="100" t="s">
        <v>154</v>
      </c>
      <c r="AE11" s="100" t="s">
        <v>401</v>
      </c>
      <c r="AF11" s="100" t="s">
        <v>131</v>
      </c>
      <c r="AG11" s="110">
        <v>1.0</v>
      </c>
      <c r="AH11" s="111" t="s">
        <v>425</v>
      </c>
      <c r="AI11" s="117" t="s">
        <v>403</v>
      </c>
      <c r="AJ11" s="113">
        <f t="shared" si="1"/>
        <v>44298</v>
      </c>
      <c r="AK11" s="114">
        <f t="shared" si="2"/>
        <v>-416</v>
      </c>
      <c r="AL11" s="115" t="str">
        <f t="shared" si="3"/>
        <v>Reporte ok</v>
      </c>
      <c r="AM11" s="146" t="s">
        <v>268</v>
      </c>
      <c r="AN11" s="116"/>
    </row>
    <row r="12" ht="67.5" customHeight="1">
      <c r="A12" s="37"/>
      <c r="B12" s="100">
        <v>67.0</v>
      </c>
      <c r="C12" s="100" t="s">
        <v>393</v>
      </c>
      <c r="D12" s="100" t="s">
        <v>394</v>
      </c>
      <c r="E12" s="100" t="s">
        <v>112</v>
      </c>
      <c r="F12" s="100">
        <v>2.018011000241E12</v>
      </c>
      <c r="G12" s="101" t="s">
        <v>113</v>
      </c>
      <c r="H12" s="100" t="s">
        <v>138</v>
      </c>
      <c r="I12" s="100" t="s">
        <v>139</v>
      </c>
      <c r="J12" s="100" t="s">
        <v>140</v>
      </c>
      <c r="K12" s="102" t="s">
        <v>141</v>
      </c>
      <c r="L12" s="102" t="s">
        <v>118</v>
      </c>
      <c r="M12" s="102" t="s">
        <v>142</v>
      </c>
      <c r="N12" s="103" t="s">
        <v>426</v>
      </c>
      <c r="O12" s="123"/>
      <c r="P12" s="118">
        <v>1.0</v>
      </c>
      <c r="Q12" s="106" t="s">
        <v>427</v>
      </c>
      <c r="R12" s="107" t="s">
        <v>163</v>
      </c>
      <c r="S12" s="118">
        <v>1.0</v>
      </c>
      <c r="T12" s="118">
        <v>1.0</v>
      </c>
      <c r="U12" s="118">
        <v>1.0</v>
      </c>
      <c r="V12" s="118">
        <v>1.0</v>
      </c>
      <c r="W12" s="109" t="s">
        <v>397</v>
      </c>
      <c r="X12" s="101" t="s">
        <v>398</v>
      </c>
      <c r="Y12" s="100" t="s">
        <v>399</v>
      </c>
      <c r="Z12" s="101" t="s">
        <v>400</v>
      </c>
      <c r="AA12" s="100" t="s">
        <v>152</v>
      </c>
      <c r="AB12" s="100" t="s">
        <v>173</v>
      </c>
      <c r="AC12" s="100" t="s">
        <v>290</v>
      </c>
      <c r="AD12" s="100" t="s">
        <v>154</v>
      </c>
      <c r="AE12" s="100" t="s">
        <v>401</v>
      </c>
      <c r="AF12" s="100" t="s">
        <v>131</v>
      </c>
      <c r="AG12" s="110">
        <v>1.0</v>
      </c>
      <c r="AH12" s="111" t="s">
        <v>428</v>
      </c>
      <c r="AI12" s="117" t="s">
        <v>403</v>
      </c>
      <c r="AJ12" s="113">
        <f t="shared" si="1"/>
        <v>44298</v>
      </c>
      <c r="AK12" s="114">
        <f t="shared" si="2"/>
        <v>-416</v>
      </c>
      <c r="AL12" s="115" t="str">
        <f t="shared" si="3"/>
        <v>Reporte ok</v>
      </c>
      <c r="AM12" s="146" t="s">
        <v>268</v>
      </c>
      <c r="AN12" s="116"/>
    </row>
    <row r="13" ht="67.5" customHeight="1">
      <c r="A13" s="37"/>
      <c r="B13" s="100">
        <v>68.0</v>
      </c>
      <c r="C13" s="100" t="s">
        <v>393</v>
      </c>
      <c r="D13" s="100" t="s">
        <v>394</v>
      </c>
      <c r="E13" s="100" t="s">
        <v>112</v>
      </c>
      <c r="F13" s="100">
        <v>2.018011000241E12</v>
      </c>
      <c r="G13" s="101" t="s">
        <v>113</v>
      </c>
      <c r="H13" s="100" t="s">
        <v>138</v>
      </c>
      <c r="I13" s="100" t="s">
        <v>139</v>
      </c>
      <c r="J13" s="100" t="s">
        <v>140</v>
      </c>
      <c r="K13" s="102" t="s">
        <v>141</v>
      </c>
      <c r="L13" s="102" t="s">
        <v>118</v>
      </c>
      <c r="M13" s="102" t="s">
        <v>142</v>
      </c>
      <c r="N13" s="103" t="s">
        <v>429</v>
      </c>
      <c r="O13" s="123"/>
      <c r="P13" s="118">
        <v>1.0</v>
      </c>
      <c r="Q13" s="106" t="s">
        <v>430</v>
      </c>
      <c r="R13" s="107" t="s">
        <v>163</v>
      </c>
      <c r="S13" s="118">
        <v>1.0</v>
      </c>
      <c r="T13" s="118">
        <v>1.0</v>
      </c>
      <c r="U13" s="118">
        <v>1.0</v>
      </c>
      <c r="V13" s="118">
        <v>1.0</v>
      </c>
      <c r="W13" s="109" t="s">
        <v>397</v>
      </c>
      <c r="X13" s="101" t="s">
        <v>398</v>
      </c>
      <c r="Y13" s="100" t="s">
        <v>399</v>
      </c>
      <c r="Z13" s="101" t="s">
        <v>400</v>
      </c>
      <c r="AA13" s="100" t="s">
        <v>152</v>
      </c>
      <c r="AB13" s="100" t="s">
        <v>173</v>
      </c>
      <c r="AC13" s="100" t="s">
        <v>290</v>
      </c>
      <c r="AD13" s="100" t="s">
        <v>154</v>
      </c>
      <c r="AE13" s="100" t="s">
        <v>401</v>
      </c>
      <c r="AF13" s="100" t="s">
        <v>131</v>
      </c>
      <c r="AG13" s="110">
        <v>1.0</v>
      </c>
      <c r="AH13" s="111" t="s">
        <v>431</v>
      </c>
      <c r="AI13" s="117" t="s">
        <v>413</v>
      </c>
      <c r="AJ13" s="113">
        <f t="shared" si="1"/>
        <v>44298</v>
      </c>
      <c r="AK13" s="114">
        <f t="shared" si="2"/>
        <v>-416</v>
      </c>
      <c r="AL13" s="115" t="str">
        <f t="shared" si="3"/>
        <v>Reporte ok</v>
      </c>
      <c r="AM13" s="146" t="s">
        <v>268</v>
      </c>
      <c r="AN13" s="116"/>
    </row>
    <row r="14" ht="67.5" customHeight="1">
      <c r="A14" s="37"/>
      <c r="B14" s="119"/>
      <c r="C14" s="119"/>
      <c r="D14" s="119"/>
      <c r="E14" s="119"/>
      <c r="F14" s="119"/>
      <c r="G14" s="120"/>
      <c r="H14" s="119"/>
      <c r="I14" s="119"/>
      <c r="J14" s="119"/>
      <c r="K14" s="121"/>
      <c r="L14" s="121"/>
      <c r="M14" s="121"/>
      <c r="N14" s="122"/>
      <c r="O14" s="123"/>
      <c r="P14" s="124"/>
      <c r="Q14" s="125"/>
      <c r="R14" s="126"/>
      <c r="S14" s="124"/>
      <c r="T14" s="127"/>
      <c r="U14" s="127"/>
      <c r="V14" s="127"/>
      <c r="W14" s="128"/>
      <c r="X14" s="120"/>
      <c r="Y14" s="119"/>
      <c r="Z14" s="120"/>
      <c r="AA14" s="119"/>
      <c r="AB14" s="119"/>
      <c r="AC14" s="119"/>
      <c r="AD14" s="119"/>
      <c r="AE14" s="119"/>
      <c r="AF14" s="119"/>
      <c r="AG14" s="129"/>
      <c r="AH14" s="129"/>
      <c r="AI14" s="112"/>
      <c r="AJ14" s="113"/>
      <c r="AK14" s="114"/>
      <c r="AL14" s="115"/>
      <c r="AM14" s="115"/>
      <c r="AN14" s="116"/>
    </row>
    <row r="15" ht="67.5" customHeight="1">
      <c r="A15" s="37"/>
      <c r="B15" s="119"/>
      <c r="C15" s="119"/>
      <c r="D15" s="119"/>
      <c r="E15" s="119"/>
      <c r="F15" s="119"/>
      <c r="G15" s="120"/>
      <c r="H15" s="119"/>
      <c r="I15" s="119"/>
      <c r="J15" s="119"/>
      <c r="K15" s="121"/>
      <c r="L15" s="121"/>
      <c r="M15" s="121"/>
      <c r="N15" s="122"/>
      <c r="O15" s="123"/>
      <c r="P15" s="124"/>
      <c r="Q15" s="125"/>
      <c r="R15" s="126"/>
      <c r="S15" s="124"/>
      <c r="T15" s="127"/>
      <c r="U15" s="127"/>
      <c r="V15" s="127"/>
      <c r="W15" s="128"/>
      <c r="X15" s="120"/>
      <c r="Y15" s="119"/>
      <c r="Z15" s="120"/>
      <c r="AA15" s="119"/>
      <c r="AB15" s="119"/>
      <c r="AC15" s="119"/>
      <c r="AD15" s="119"/>
      <c r="AE15" s="119"/>
      <c r="AF15" s="119"/>
      <c r="AG15" s="129"/>
      <c r="AH15" s="129"/>
      <c r="AI15" s="112"/>
      <c r="AJ15" s="113"/>
      <c r="AK15" s="114"/>
      <c r="AL15" s="115"/>
      <c r="AM15" s="115"/>
      <c r="AN15" s="116"/>
    </row>
    <row r="16" ht="15.75" customHeight="1"/>
  </sheetData>
  <autoFilter ref="$A$3:$AN$15"/>
  <mergeCells count="2">
    <mergeCell ref="B1:C1"/>
    <mergeCell ref="AG2:AM2"/>
  </mergeCells>
  <conditionalFormatting sqref="AK4:AK15">
    <cfRule type="cellIs" dxfId="2" priority="1" operator="greaterThan">
      <formula>0</formula>
    </cfRule>
  </conditionalFormatting>
  <conditionalFormatting sqref="AK4:AK15">
    <cfRule type="cellIs" dxfId="3" priority="2" operator="lessThan">
      <formula>0</formula>
    </cfRule>
  </conditionalFormatting>
  <dataValidations>
    <dataValidation type="decimal" allowBlank="1" showDropDown="1" showInputMessage="1" showErrorMessage="1" prompt="Recuerde que debe ingresar un valor numérico o porcentaje" sqref="AG4:AG15">
      <formula1>0.0</formula1>
      <formula2>5000000.0</formula2>
    </dataValidation>
    <dataValidation type="decimal" allowBlank="1" showDropDown="1" showInputMessage="1" showErrorMessage="1" prompt="Recuerde que debe ingresar un valor numérico o porcentaje" sqref="A1">
      <formula1>0.0</formula1>
      <formula2>5000.0</formula2>
    </dataValidation>
  </dataValidations>
  <hyperlinks>
    <hyperlink display="Home" location="Home!A1" ref="B1"/>
    <hyperlink r:id="rId1" ref="AI4"/>
    <hyperlink r:id="rId2" ref="AI5"/>
    <hyperlink r:id="rId3" ref="AI6"/>
    <hyperlink r:id="rId4" ref="AI7"/>
    <hyperlink r:id="rId5" ref="AI8"/>
    <hyperlink r:id="rId6" ref="AI9"/>
    <hyperlink r:id="rId7" ref="AI10"/>
    <hyperlink r:id="rId8" ref="AI11"/>
    <hyperlink r:id="rId9" ref="AI12"/>
    <hyperlink r:id="rId10" ref="AI13"/>
  </hyperlinks>
  <printOptions gridLines="1" horizontalCentered="1"/>
  <pageMargins bottom="0.75" footer="0.0" header="0.0" left="0.7" right="0.7" top="0.75"/>
  <pageSetup cellComments="atEnd" orientation="portrait" pageOrder="overThenDown"/>
  <drawing r:id="rId1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69.0</v>
      </c>
      <c r="C4" s="100" t="s">
        <v>432</v>
      </c>
      <c r="D4" s="100" t="s">
        <v>433</v>
      </c>
      <c r="E4" s="100" t="s">
        <v>434</v>
      </c>
      <c r="F4" s="100">
        <v>2.019011000277E12</v>
      </c>
      <c r="G4" s="101" t="s">
        <v>435</v>
      </c>
      <c r="H4" s="100" t="s">
        <v>436</v>
      </c>
      <c r="I4" s="100" t="s">
        <v>437</v>
      </c>
      <c r="J4" s="100" t="s">
        <v>438</v>
      </c>
      <c r="K4" s="102" t="s">
        <v>117</v>
      </c>
      <c r="L4" s="102" t="s">
        <v>118</v>
      </c>
      <c r="M4" s="102" t="s">
        <v>119</v>
      </c>
      <c r="N4" s="103" t="s">
        <v>439</v>
      </c>
      <c r="O4" s="104">
        <v>3.0</v>
      </c>
      <c r="P4" s="105">
        <v>3.0</v>
      </c>
      <c r="Q4" s="106" t="s">
        <v>440</v>
      </c>
      <c r="R4" s="107" t="s">
        <v>121</v>
      </c>
      <c r="S4" s="105">
        <v>0.0</v>
      </c>
      <c r="T4" s="108">
        <v>0.0</v>
      </c>
      <c r="U4" s="108">
        <v>0.0</v>
      </c>
      <c r="V4" s="108">
        <v>3.0</v>
      </c>
      <c r="W4" s="109" t="s">
        <v>433</v>
      </c>
      <c r="X4" s="101" t="s">
        <v>441</v>
      </c>
      <c r="Y4" s="100" t="s">
        <v>442</v>
      </c>
      <c r="Z4" s="101" t="s">
        <v>443</v>
      </c>
      <c r="AA4" s="100" t="s">
        <v>444</v>
      </c>
      <c r="AB4" s="100" t="s">
        <v>173</v>
      </c>
      <c r="AC4" s="100" t="s">
        <v>343</v>
      </c>
      <c r="AD4" s="100" t="s">
        <v>445</v>
      </c>
      <c r="AE4" s="100" t="s">
        <v>446</v>
      </c>
      <c r="AF4" s="100" t="s">
        <v>210</v>
      </c>
      <c r="AG4" s="144">
        <v>0.0</v>
      </c>
      <c r="AH4" s="111" t="s">
        <v>447</v>
      </c>
      <c r="AI4" s="112"/>
      <c r="AJ4" s="113">
        <f t="shared" ref="AJ4:AJ15" si="1">$AK$1</f>
        <v>44298</v>
      </c>
      <c r="AK4" s="114">
        <f t="shared" ref="AK4:AK15" si="2">AJ4-$AL$1</f>
        <v>-416</v>
      </c>
      <c r="AL4" s="115" t="str">
        <f t="shared" ref="AL4:AL15" si="3">IF(ISBLANK(AG4),"Pendiente Ejecución"&amp;CHAR(10),)&amp;IF(ISBLANK(AH4),"Pendiente Justificación"&amp;CHAR(10),)&amp;IF(ISBLANK(AI4),"Pendiente Evidencia",)&amp;IF(OR(ISBLANK(AG4),ISBLANK(AH4),ISBLANK(AI4)),,"Reporte ok")</f>
        <v>Pendiente Evidencia</v>
      </c>
      <c r="AM4" s="146" t="s">
        <v>268</v>
      </c>
      <c r="AN4" s="116"/>
    </row>
    <row r="5" ht="67.5" customHeight="1">
      <c r="A5" s="37"/>
      <c r="B5" s="100">
        <v>70.0</v>
      </c>
      <c r="C5" s="100" t="s">
        <v>432</v>
      </c>
      <c r="D5" s="100" t="s">
        <v>433</v>
      </c>
      <c r="E5" s="100" t="s">
        <v>434</v>
      </c>
      <c r="F5" s="100">
        <v>2.019011000277E12</v>
      </c>
      <c r="G5" s="101" t="s">
        <v>435</v>
      </c>
      <c r="H5" s="100" t="s">
        <v>436</v>
      </c>
      <c r="I5" s="100" t="s">
        <v>437</v>
      </c>
      <c r="J5" s="100" t="s">
        <v>448</v>
      </c>
      <c r="K5" s="102" t="s">
        <v>117</v>
      </c>
      <c r="L5" s="102" t="s">
        <v>118</v>
      </c>
      <c r="M5" s="102" t="s">
        <v>119</v>
      </c>
      <c r="N5" s="103" t="s">
        <v>439</v>
      </c>
      <c r="O5" s="104">
        <v>3.0</v>
      </c>
      <c r="P5" s="105">
        <v>3.0</v>
      </c>
      <c r="Q5" s="106" t="s">
        <v>440</v>
      </c>
      <c r="R5" s="107" t="s">
        <v>121</v>
      </c>
      <c r="S5" s="105">
        <v>0.0</v>
      </c>
      <c r="T5" s="108">
        <v>0.0</v>
      </c>
      <c r="U5" s="108">
        <v>0.0</v>
      </c>
      <c r="V5" s="108">
        <v>3.0</v>
      </c>
      <c r="W5" s="109" t="s">
        <v>433</v>
      </c>
      <c r="X5" s="101" t="s">
        <v>441</v>
      </c>
      <c r="Y5" s="100" t="s">
        <v>442</v>
      </c>
      <c r="Z5" s="101" t="s">
        <v>443</v>
      </c>
      <c r="AA5" s="100" t="s">
        <v>444</v>
      </c>
      <c r="AB5" s="100" t="s">
        <v>173</v>
      </c>
      <c r="AC5" s="100" t="s">
        <v>343</v>
      </c>
      <c r="AD5" s="100" t="s">
        <v>445</v>
      </c>
      <c r="AE5" s="100" t="s">
        <v>446</v>
      </c>
      <c r="AF5" s="100" t="s">
        <v>210</v>
      </c>
      <c r="AG5" s="144">
        <v>0.0</v>
      </c>
      <c r="AH5" s="111" t="s">
        <v>447</v>
      </c>
      <c r="AI5" s="112"/>
      <c r="AJ5" s="113">
        <f t="shared" si="1"/>
        <v>44298</v>
      </c>
      <c r="AK5" s="114">
        <f t="shared" si="2"/>
        <v>-416</v>
      </c>
      <c r="AL5" s="115" t="str">
        <f t="shared" si="3"/>
        <v>Pendiente Evidencia</v>
      </c>
      <c r="AM5" s="146" t="s">
        <v>268</v>
      </c>
      <c r="AN5" s="116"/>
    </row>
    <row r="6" ht="67.5" customHeight="1">
      <c r="A6" s="37"/>
      <c r="B6" s="100">
        <v>71.0</v>
      </c>
      <c r="C6" s="100" t="s">
        <v>432</v>
      </c>
      <c r="D6" s="100" t="s">
        <v>433</v>
      </c>
      <c r="E6" s="100" t="s">
        <v>434</v>
      </c>
      <c r="F6" s="100">
        <v>2.019011000277E12</v>
      </c>
      <c r="G6" s="101" t="s">
        <v>435</v>
      </c>
      <c r="H6" s="100" t="s">
        <v>436</v>
      </c>
      <c r="I6" s="100" t="s">
        <v>437</v>
      </c>
      <c r="J6" s="100" t="s">
        <v>448</v>
      </c>
      <c r="K6" s="102" t="s">
        <v>141</v>
      </c>
      <c r="L6" s="102" t="s">
        <v>118</v>
      </c>
      <c r="M6" s="102" t="s">
        <v>142</v>
      </c>
      <c r="N6" s="103" t="s">
        <v>449</v>
      </c>
      <c r="O6" s="104">
        <v>1.0</v>
      </c>
      <c r="P6" s="118">
        <v>1.0</v>
      </c>
      <c r="Q6" s="106" t="s">
        <v>450</v>
      </c>
      <c r="R6" s="107" t="s">
        <v>163</v>
      </c>
      <c r="S6" s="118">
        <v>1.0</v>
      </c>
      <c r="T6" s="108">
        <v>1.0</v>
      </c>
      <c r="U6" s="108">
        <v>1.0</v>
      </c>
      <c r="V6" s="108">
        <v>1.0</v>
      </c>
      <c r="W6" s="109" t="s">
        <v>433</v>
      </c>
      <c r="X6" s="101" t="s">
        <v>441</v>
      </c>
      <c r="Y6" s="100" t="s">
        <v>442</v>
      </c>
      <c r="Z6" s="101" t="s">
        <v>443</v>
      </c>
      <c r="AA6" s="100" t="s">
        <v>444</v>
      </c>
      <c r="AB6" s="100" t="s">
        <v>173</v>
      </c>
      <c r="AC6" s="100" t="s">
        <v>343</v>
      </c>
      <c r="AD6" s="100" t="s">
        <v>445</v>
      </c>
      <c r="AE6" s="100" t="s">
        <v>446</v>
      </c>
      <c r="AF6" s="100" t="s">
        <v>210</v>
      </c>
      <c r="AG6" s="110">
        <v>1.0</v>
      </c>
      <c r="AH6" s="111" t="s">
        <v>451</v>
      </c>
      <c r="AI6" s="137" t="s">
        <v>452</v>
      </c>
      <c r="AJ6" s="113">
        <f t="shared" si="1"/>
        <v>44298</v>
      </c>
      <c r="AK6" s="114">
        <f t="shared" si="2"/>
        <v>-416</v>
      </c>
      <c r="AL6" s="115" t="str">
        <f t="shared" si="3"/>
        <v>Reporte ok</v>
      </c>
      <c r="AM6" s="146" t="s">
        <v>268</v>
      </c>
      <c r="AN6" s="116"/>
    </row>
    <row r="7" ht="67.5" customHeight="1">
      <c r="A7" s="37"/>
      <c r="B7" s="100">
        <v>72.0</v>
      </c>
      <c r="C7" s="100" t="s">
        <v>432</v>
      </c>
      <c r="D7" s="100" t="s">
        <v>433</v>
      </c>
      <c r="E7" s="100" t="s">
        <v>434</v>
      </c>
      <c r="F7" s="100">
        <v>2.019011000277E12</v>
      </c>
      <c r="G7" s="101" t="s">
        <v>435</v>
      </c>
      <c r="H7" s="100" t="s">
        <v>453</v>
      </c>
      <c r="I7" s="100" t="s">
        <v>454</v>
      </c>
      <c r="J7" s="100" t="s">
        <v>455</v>
      </c>
      <c r="K7" s="102" t="s">
        <v>117</v>
      </c>
      <c r="L7" s="102" t="s">
        <v>118</v>
      </c>
      <c r="M7" s="102" t="s">
        <v>119</v>
      </c>
      <c r="N7" s="103" t="s">
        <v>456</v>
      </c>
      <c r="O7" s="104">
        <v>4.0</v>
      </c>
      <c r="P7" s="105">
        <v>4.0</v>
      </c>
      <c r="Q7" s="106" t="s">
        <v>457</v>
      </c>
      <c r="R7" s="107" t="s">
        <v>121</v>
      </c>
      <c r="S7" s="105">
        <v>0.0</v>
      </c>
      <c r="T7" s="108">
        <v>0.0</v>
      </c>
      <c r="U7" s="108">
        <v>0.0</v>
      </c>
      <c r="V7" s="108">
        <v>4.0</v>
      </c>
      <c r="W7" s="109" t="s">
        <v>433</v>
      </c>
      <c r="X7" s="101" t="s">
        <v>441</v>
      </c>
      <c r="Y7" s="100" t="s">
        <v>442</v>
      </c>
      <c r="Z7" s="101" t="s">
        <v>443</v>
      </c>
      <c r="AA7" s="100" t="s">
        <v>444</v>
      </c>
      <c r="AB7" s="100" t="s">
        <v>173</v>
      </c>
      <c r="AC7" s="100" t="s">
        <v>343</v>
      </c>
      <c r="AD7" s="100" t="s">
        <v>445</v>
      </c>
      <c r="AE7" s="100" t="s">
        <v>446</v>
      </c>
      <c r="AF7" s="100" t="s">
        <v>210</v>
      </c>
      <c r="AG7" s="144">
        <v>0.0</v>
      </c>
      <c r="AH7" s="111" t="s">
        <v>447</v>
      </c>
      <c r="AI7" s="112"/>
      <c r="AJ7" s="113">
        <f t="shared" si="1"/>
        <v>44298</v>
      </c>
      <c r="AK7" s="114">
        <f t="shared" si="2"/>
        <v>-416</v>
      </c>
      <c r="AL7" s="115" t="str">
        <f t="shared" si="3"/>
        <v>Pendiente Evidencia</v>
      </c>
      <c r="AM7" s="146" t="s">
        <v>268</v>
      </c>
      <c r="AN7" s="116"/>
    </row>
    <row r="8" ht="67.5" customHeight="1">
      <c r="A8" s="37"/>
      <c r="B8" s="100">
        <v>73.0</v>
      </c>
      <c r="C8" s="100" t="s">
        <v>432</v>
      </c>
      <c r="D8" s="100" t="s">
        <v>433</v>
      </c>
      <c r="E8" s="100" t="s">
        <v>434</v>
      </c>
      <c r="F8" s="100">
        <v>2.019011000277E12</v>
      </c>
      <c r="G8" s="101" t="s">
        <v>435</v>
      </c>
      <c r="H8" s="100" t="s">
        <v>453</v>
      </c>
      <c r="I8" s="100" t="s">
        <v>454</v>
      </c>
      <c r="J8" s="100" t="s">
        <v>458</v>
      </c>
      <c r="K8" s="102" t="s">
        <v>117</v>
      </c>
      <c r="L8" s="102" t="s">
        <v>118</v>
      </c>
      <c r="M8" s="102" t="s">
        <v>119</v>
      </c>
      <c r="N8" s="103" t="s">
        <v>456</v>
      </c>
      <c r="O8" s="104">
        <v>4.0</v>
      </c>
      <c r="P8" s="105">
        <v>4.0</v>
      </c>
      <c r="Q8" s="106" t="s">
        <v>457</v>
      </c>
      <c r="R8" s="107" t="s">
        <v>121</v>
      </c>
      <c r="S8" s="105">
        <v>0.0</v>
      </c>
      <c r="T8" s="108">
        <v>0.0</v>
      </c>
      <c r="U8" s="108">
        <v>0.0</v>
      </c>
      <c r="V8" s="108">
        <v>4.0</v>
      </c>
      <c r="W8" s="109" t="s">
        <v>433</v>
      </c>
      <c r="X8" s="101" t="s">
        <v>441</v>
      </c>
      <c r="Y8" s="100" t="s">
        <v>442</v>
      </c>
      <c r="Z8" s="101" t="s">
        <v>443</v>
      </c>
      <c r="AA8" s="100" t="s">
        <v>444</v>
      </c>
      <c r="AB8" s="100" t="s">
        <v>173</v>
      </c>
      <c r="AC8" s="100" t="s">
        <v>343</v>
      </c>
      <c r="AD8" s="100" t="s">
        <v>445</v>
      </c>
      <c r="AE8" s="100" t="s">
        <v>446</v>
      </c>
      <c r="AF8" s="100" t="s">
        <v>210</v>
      </c>
      <c r="AG8" s="144">
        <v>0.0</v>
      </c>
      <c r="AH8" s="111" t="s">
        <v>447</v>
      </c>
      <c r="AI8" s="112"/>
      <c r="AJ8" s="113">
        <f t="shared" si="1"/>
        <v>44298</v>
      </c>
      <c r="AK8" s="114">
        <f t="shared" si="2"/>
        <v>-416</v>
      </c>
      <c r="AL8" s="115" t="str">
        <f t="shared" si="3"/>
        <v>Pendiente Evidencia</v>
      </c>
      <c r="AM8" s="146" t="s">
        <v>268</v>
      </c>
      <c r="AN8" s="116"/>
    </row>
    <row r="9" ht="67.5" customHeight="1">
      <c r="A9" s="37"/>
      <c r="B9" s="100">
        <v>74.0</v>
      </c>
      <c r="C9" s="100" t="s">
        <v>432</v>
      </c>
      <c r="D9" s="100" t="s">
        <v>433</v>
      </c>
      <c r="E9" s="100" t="s">
        <v>434</v>
      </c>
      <c r="F9" s="100">
        <v>2.019011000277E12</v>
      </c>
      <c r="G9" s="101" t="s">
        <v>435</v>
      </c>
      <c r="H9" s="100" t="s">
        <v>453</v>
      </c>
      <c r="I9" s="100" t="s">
        <v>454</v>
      </c>
      <c r="J9" s="100" t="s">
        <v>455</v>
      </c>
      <c r="K9" s="102" t="s">
        <v>141</v>
      </c>
      <c r="L9" s="102" t="s">
        <v>118</v>
      </c>
      <c r="M9" s="102" t="s">
        <v>142</v>
      </c>
      <c r="N9" s="103" t="s">
        <v>449</v>
      </c>
      <c r="O9" s="104">
        <v>1.0</v>
      </c>
      <c r="P9" s="118">
        <v>1.0</v>
      </c>
      <c r="Q9" s="106" t="s">
        <v>459</v>
      </c>
      <c r="R9" s="107" t="s">
        <v>163</v>
      </c>
      <c r="S9" s="118">
        <v>1.0</v>
      </c>
      <c r="T9" s="108">
        <v>1.0</v>
      </c>
      <c r="U9" s="108">
        <v>1.0</v>
      </c>
      <c r="V9" s="108">
        <v>1.0</v>
      </c>
      <c r="W9" s="109" t="s">
        <v>433</v>
      </c>
      <c r="X9" s="101" t="s">
        <v>441</v>
      </c>
      <c r="Y9" s="100" t="s">
        <v>442</v>
      </c>
      <c r="Z9" s="101" t="s">
        <v>443</v>
      </c>
      <c r="AA9" s="100" t="s">
        <v>444</v>
      </c>
      <c r="AB9" s="100" t="s">
        <v>173</v>
      </c>
      <c r="AC9" s="100" t="s">
        <v>343</v>
      </c>
      <c r="AD9" s="100" t="s">
        <v>445</v>
      </c>
      <c r="AE9" s="100" t="s">
        <v>446</v>
      </c>
      <c r="AF9" s="100" t="s">
        <v>210</v>
      </c>
      <c r="AG9" s="110">
        <v>1.0</v>
      </c>
      <c r="AH9" s="111" t="s">
        <v>460</v>
      </c>
      <c r="AI9" s="137" t="s">
        <v>461</v>
      </c>
      <c r="AJ9" s="113">
        <f t="shared" si="1"/>
        <v>44298</v>
      </c>
      <c r="AK9" s="114">
        <f t="shared" si="2"/>
        <v>-416</v>
      </c>
      <c r="AL9" s="115" t="str">
        <f t="shared" si="3"/>
        <v>Reporte ok</v>
      </c>
      <c r="AM9" s="146" t="s">
        <v>268</v>
      </c>
      <c r="AN9" s="116"/>
    </row>
    <row r="10" ht="67.5" customHeight="1">
      <c r="A10" s="37"/>
      <c r="B10" s="100">
        <v>75.0</v>
      </c>
      <c r="C10" s="100" t="s">
        <v>432</v>
      </c>
      <c r="D10" s="100" t="s">
        <v>433</v>
      </c>
      <c r="E10" s="100" t="s">
        <v>434</v>
      </c>
      <c r="F10" s="100">
        <v>2.019011000277E12</v>
      </c>
      <c r="G10" s="101" t="s">
        <v>435</v>
      </c>
      <c r="H10" s="100" t="s">
        <v>453</v>
      </c>
      <c r="I10" s="100" t="s">
        <v>462</v>
      </c>
      <c r="J10" s="100" t="s">
        <v>463</v>
      </c>
      <c r="K10" s="102" t="s">
        <v>117</v>
      </c>
      <c r="L10" s="102" t="s">
        <v>118</v>
      </c>
      <c r="M10" s="102" t="s">
        <v>119</v>
      </c>
      <c r="N10" s="103" t="s">
        <v>464</v>
      </c>
      <c r="O10" s="104">
        <v>1.0</v>
      </c>
      <c r="P10" s="105">
        <v>1.0</v>
      </c>
      <c r="Q10" s="106" t="s">
        <v>465</v>
      </c>
      <c r="R10" s="107" t="s">
        <v>121</v>
      </c>
      <c r="S10" s="105">
        <v>0.0</v>
      </c>
      <c r="T10" s="108">
        <v>0.0</v>
      </c>
      <c r="U10" s="108">
        <v>0.0</v>
      </c>
      <c r="V10" s="108">
        <v>1.0</v>
      </c>
      <c r="W10" s="109" t="s">
        <v>433</v>
      </c>
      <c r="X10" s="101" t="s">
        <v>441</v>
      </c>
      <c r="Y10" s="100" t="s">
        <v>442</v>
      </c>
      <c r="Z10" s="101" t="s">
        <v>443</v>
      </c>
      <c r="AA10" s="100" t="s">
        <v>444</v>
      </c>
      <c r="AB10" s="100" t="s">
        <v>173</v>
      </c>
      <c r="AC10" s="100" t="s">
        <v>343</v>
      </c>
      <c r="AD10" s="100" t="s">
        <v>445</v>
      </c>
      <c r="AE10" s="100" t="s">
        <v>446</v>
      </c>
      <c r="AF10" s="100" t="s">
        <v>210</v>
      </c>
      <c r="AG10" s="144">
        <v>0.0</v>
      </c>
      <c r="AH10" s="111" t="s">
        <v>447</v>
      </c>
      <c r="AI10" s="112"/>
      <c r="AJ10" s="113">
        <f t="shared" si="1"/>
        <v>44298</v>
      </c>
      <c r="AK10" s="114">
        <f t="shared" si="2"/>
        <v>-416</v>
      </c>
      <c r="AL10" s="115" t="str">
        <f t="shared" si="3"/>
        <v>Pendiente Evidencia</v>
      </c>
      <c r="AM10" s="146" t="s">
        <v>268</v>
      </c>
      <c r="AN10" s="116"/>
    </row>
    <row r="11" ht="67.5" customHeight="1">
      <c r="A11" s="37"/>
      <c r="B11" s="100">
        <v>76.0</v>
      </c>
      <c r="C11" s="100" t="s">
        <v>432</v>
      </c>
      <c r="D11" s="100" t="s">
        <v>433</v>
      </c>
      <c r="E11" s="100" t="s">
        <v>434</v>
      </c>
      <c r="F11" s="100">
        <v>2.019011000277E12</v>
      </c>
      <c r="G11" s="101" t="s">
        <v>435</v>
      </c>
      <c r="H11" s="100" t="s">
        <v>466</v>
      </c>
      <c r="I11" s="100" t="s">
        <v>467</v>
      </c>
      <c r="J11" s="100" t="s">
        <v>468</v>
      </c>
      <c r="K11" s="102" t="s">
        <v>117</v>
      </c>
      <c r="L11" s="102" t="s">
        <v>118</v>
      </c>
      <c r="M11" s="102" t="s">
        <v>119</v>
      </c>
      <c r="N11" s="103" t="s">
        <v>368</v>
      </c>
      <c r="O11" s="104">
        <v>2.0</v>
      </c>
      <c r="P11" s="105">
        <v>2.0</v>
      </c>
      <c r="Q11" s="106" t="s">
        <v>469</v>
      </c>
      <c r="R11" s="107" t="s">
        <v>121</v>
      </c>
      <c r="S11" s="105">
        <v>0.0</v>
      </c>
      <c r="T11" s="108">
        <v>0.0</v>
      </c>
      <c r="U11" s="108">
        <v>0.0</v>
      </c>
      <c r="V11" s="108">
        <v>2.0</v>
      </c>
      <c r="W11" s="109" t="s">
        <v>433</v>
      </c>
      <c r="X11" s="101" t="s">
        <v>441</v>
      </c>
      <c r="Y11" s="100" t="s">
        <v>442</v>
      </c>
      <c r="Z11" s="101" t="s">
        <v>443</v>
      </c>
      <c r="AA11" s="100" t="s">
        <v>444</v>
      </c>
      <c r="AB11" s="100" t="s">
        <v>173</v>
      </c>
      <c r="AC11" s="100" t="s">
        <v>343</v>
      </c>
      <c r="AD11" s="100" t="s">
        <v>445</v>
      </c>
      <c r="AE11" s="100" t="s">
        <v>446</v>
      </c>
      <c r="AF11" s="100" t="s">
        <v>210</v>
      </c>
      <c r="AG11" s="144">
        <v>0.0</v>
      </c>
      <c r="AH11" s="111" t="s">
        <v>447</v>
      </c>
      <c r="AI11" s="112"/>
      <c r="AJ11" s="113">
        <f t="shared" si="1"/>
        <v>44298</v>
      </c>
      <c r="AK11" s="114">
        <f t="shared" si="2"/>
        <v>-416</v>
      </c>
      <c r="AL11" s="115" t="str">
        <f t="shared" si="3"/>
        <v>Pendiente Evidencia</v>
      </c>
      <c r="AM11" s="146" t="s">
        <v>268</v>
      </c>
      <c r="AN11" s="116"/>
    </row>
    <row r="12" ht="67.5" customHeight="1">
      <c r="A12" s="37"/>
      <c r="B12" s="100">
        <v>77.0</v>
      </c>
      <c r="C12" s="100" t="s">
        <v>432</v>
      </c>
      <c r="D12" s="100" t="s">
        <v>433</v>
      </c>
      <c r="E12" s="100" t="s">
        <v>434</v>
      </c>
      <c r="F12" s="100">
        <v>2.019011000277E12</v>
      </c>
      <c r="G12" s="101" t="s">
        <v>435</v>
      </c>
      <c r="H12" s="100" t="s">
        <v>466</v>
      </c>
      <c r="I12" s="100" t="s">
        <v>467</v>
      </c>
      <c r="J12" s="100" t="s">
        <v>470</v>
      </c>
      <c r="K12" s="102" t="s">
        <v>117</v>
      </c>
      <c r="L12" s="102" t="s">
        <v>118</v>
      </c>
      <c r="M12" s="102" t="s">
        <v>119</v>
      </c>
      <c r="N12" s="103" t="s">
        <v>368</v>
      </c>
      <c r="O12" s="104">
        <v>2.0</v>
      </c>
      <c r="P12" s="105">
        <v>2.0</v>
      </c>
      <c r="Q12" s="106" t="s">
        <v>469</v>
      </c>
      <c r="R12" s="107" t="s">
        <v>121</v>
      </c>
      <c r="S12" s="105">
        <v>0.0</v>
      </c>
      <c r="T12" s="108">
        <v>0.0</v>
      </c>
      <c r="U12" s="108">
        <v>0.0</v>
      </c>
      <c r="V12" s="108">
        <v>2.0</v>
      </c>
      <c r="W12" s="109" t="s">
        <v>433</v>
      </c>
      <c r="X12" s="101" t="s">
        <v>441</v>
      </c>
      <c r="Y12" s="100" t="s">
        <v>442</v>
      </c>
      <c r="Z12" s="101" t="s">
        <v>443</v>
      </c>
      <c r="AA12" s="100" t="s">
        <v>444</v>
      </c>
      <c r="AB12" s="100" t="s">
        <v>173</v>
      </c>
      <c r="AC12" s="100" t="s">
        <v>343</v>
      </c>
      <c r="AD12" s="100" t="s">
        <v>445</v>
      </c>
      <c r="AE12" s="100" t="s">
        <v>446</v>
      </c>
      <c r="AF12" s="100" t="s">
        <v>210</v>
      </c>
      <c r="AG12" s="144">
        <v>0.0</v>
      </c>
      <c r="AH12" s="111" t="s">
        <v>447</v>
      </c>
      <c r="AI12" s="112"/>
      <c r="AJ12" s="113">
        <f t="shared" si="1"/>
        <v>44298</v>
      </c>
      <c r="AK12" s="114">
        <f t="shared" si="2"/>
        <v>-416</v>
      </c>
      <c r="AL12" s="115" t="str">
        <f t="shared" si="3"/>
        <v>Pendiente Evidencia</v>
      </c>
      <c r="AM12" s="146" t="s">
        <v>268</v>
      </c>
      <c r="AN12" s="116"/>
    </row>
    <row r="13" ht="67.5" customHeight="1">
      <c r="A13" s="37"/>
      <c r="B13" s="100">
        <v>78.0</v>
      </c>
      <c r="C13" s="100" t="s">
        <v>432</v>
      </c>
      <c r="D13" s="100" t="s">
        <v>433</v>
      </c>
      <c r="E13" s="100" t="s">
        <v>434</v>
      </c>
      <c r="F13" s="100">
        <v>2.019011000277E12</v>
      </c>
      <c r="G13" s="101" t="s">
        <v>435</v>
      </c>
      <c r="H13" s="100" t="s">
        <v>466</v>
      </c>
      <c r="I13" s="100" t="s">
        <v>467</v>
      </c>
      <c r="J13" s="100" t="s">
        <v>471</v>
      </c>
      <c r="K13" s="102" t="s">
        <v>117</v>
      </c>
      <c r="L13" s="102" t="s">
        <v>118</v>
      </c>
      <c r="M13" s="102" t="s">
        <v>119</v>
      </c>
      <c r="N13" s="103" t="s">
        <v>368</v>
      </c>
      <c r="O13" s="104">
        <v>2.0</v>
      </c>
      <c r="P13" s="105">
        <v>2.0</v>
      </c>
      <c r="Q13" s="106" t="s">
        <v>469</v>
      </c>
      <c r="R13" s="107" t="s">
        <v>121</v>
      </c>
      <c r="S13" s="105">
        <v>0.0</v>
      </c>
      <c r="T13" s="108">
        <v>0.0</v>
      </c>
      <c r="U13" s="108">
        <v>0.0</v>
      </c>
      <c r="V13" s="108">
        <v>2.0</v>
      </c>
      <c r="W13" s="109" t="s">
        <v>433</v>
      </c>
      <c r="X13" s="101" t="s">
        <v>441</v>
      </c>
      <c r="Y13" s="100" t="s">
        <v>442</v>
      </c>
      <c r="Z13" s="101" t="s">
        <v>443</v>
      </c>
      <c r="AA13" s="100" t="s">
        <v>444</v>
      </c>
      <c r="AB13" s="100" t="s">
        <v>173</v>
      </c>
      <c r="AC13" s="100" t="s">
        <v>343</v>
      </c>
      <c r="AD13" s="100" t="s">
        <v>445</v>
      </c>
      <c r="AE13" s="100" t="s">
        <v>446</v>
      </c>
      <c r="AF13" s="100" t="s">
        <v>210</v>
      </c>
      <c r="AG13" s="144">
        <v>0.0</v>
      </c>
      <c r="AH13" s="111" t="s">
        <v>447</v>
      </c>
      <c r="AI13" s="112"/>
      <c r="AJ13" s="113">
        <f t="shared" si="1"/>
        <v>44298</v>
      </c>
      <c r="AK13" s="114">
        <f t="shared" si="2"/>
        <v>-416</v>
      </c>
      <c r="AL13" s="115" t="str">
        <f t="shared" si="3"/>
        <v>Pendiente Evidencia</v>
      </c>
      <c r="AM13" s="146" t="s">
        <v>268</v>
      </c>
      <c r="AN13" s="116"/>
    </row>
    <row r="14" ht="67.5" customHeight="1">
      <c r="A14" s="37"/>
      <c r="B14" s="100">
        <v>79.0</v>
      </c>
      <c r="C14" s="100" t="s">
        <v>432</v>
      </c>
      <c r="D14" s="100" t="s">
        <v>433</v>
      </c>
      <c r="E14" s="100" t="s">
        <v>434</v>
      </c>
      <c r="F14" s="100">
        <v>2.019011000277E12</v>
      </c>
      <c r="G14" s="101" t="s">
        <v>435</v>
      </c>
      <c r="H14" s="100" t="s">
        <v>436</v>
      </c>
      <c r="I14" s="100" t="s">
        <v>437</v>
      </c>
      <c r="J14" s="100" t="s">
        <v>448</v>
      </c>
      <c r="K14" s="102" t="s">
        <v>141</v>
      </c>
      <c r="L14" s="102" t="s">
        <v>118</v>
      </c>
      <c r="M14" s="102" t="s">
        <v>202</v>
      </c>
      <c r="N14" s="103" t="s">
        <v>472</v>
      </c>
      <c r="O14" s="104">
        <v>4.0</v>
      </c>
      <c r="P14" s="105">
        <v>4.0</v>
      </c>
      <c r="Q14" s="106" t="s">
        <v>473</v>
      </c>
      <c r="R14" s="107" t="s">
        <v>163</v>
      </c>
      <c r="S14" s="105">
        <v>0.0</v>
      </c>
      <c r="T14" s="108">
        <v>1.0</v>
      </c>
      <c r="U14" s="108">
        <v>2.0</v>
      </c>
      <c r="V14" s="108">
        <v>1.0</v>
      </c>
      <c r="W14" s="109" t="s">
        <v>433</v>
      </c>
      <c r="X14" s="101" t="s">
        <v>441</v>
      </c>
      <c r="Y14" s="100" t="s">
        <v>442</v>
      </c>
      <c r="Z14" s="101" t="s">
        <v>443</v>
      </c>
      <c r="AA14" s="100" t="s">
        <v>444</v>
      </c>
      <c r="AB14" s="100" t="s">
        <v>173</v>
      </c>
      <c r="AC14" s="100" t="s">
        <v>343</v>
      </c>
      <c r="AD14" s="100" t="s">
        <v>445</v>
      </c>
      <c r="AE14" s="100" t="s">
        <v>446</v>
      </c>
      <c r="AF14" s="100" t="s">
        <v>210</v>
      </c>
      <c r="AG14" s="144">
        <v>0.0</v>
      </c>
      <c r="AH14" s="111" t="s">
        <v>474</v>
      </c>
      <c r="AI14" s="112"/>
      <c r="AJ14" s="113">
        <f t="shared" si="1"/>
        <v>44298</v>
      </c>
      <c r="AK14" s="114">
        <f t="shared" si="2"/>
        <v>-416</v>
      </c>
      <c r="AL14" s="115" t="str">
        <f t="shared" si="3"/>
        <v>Pendiente Evidencia</v>
      </c>
      <c r="AM14" s="146" t="s">
        <v>268</v>
      </c>
      <c r="AN14" s="116"/>
    </row>
    <row r="15" ht="67.5" customHeight="1">
      <c r="A15" s="37"/>
      <c r="B15" s="100">
        <v>80.0</v>
      </c>
      <c r="C15" s="100" t="s">
        <v>432</v>
      </c>
      <c r="D15" s="100" t="s">
        <v>433</v>
      </c>
      <c r="E15" s="100" t="s">
        <v>434</v>
      </c>
      <c r="F15" s="100">
        <v>2.019011000277E12</v>
      </c>
      <c r="G15" s="101" t="s">
        <v>435</v>
      </c>
      <c r="H15" s="100" t="s">
        <v>453</v>
      </c>
      <c r="I15" s="100" t="s">
        <v>454</v>
      </c>
      <c r="J15" s="100" t="s">
        <v>455</v>
      </c>
      <c r="K15" s="102" t="s">
        <v>141</v>
      </c>
      <c r="L15" s="102" t="s">
        <v>118</v>
      </c>
      <c r="M15" s="102" t="s">
        <v>202</v>
      </c>
      <c r="N15" s="103" t="s">
        <v>472</v>
      </c>
      <c r="O15" s="104">
        <v>4.0</v>
      </c>
      <c r="P15" s="105">
        <v>4.0</v>
      </c>
      <c r="Q15" s="106" t="s">
        <v>475</v>
      </c>
      <c r="R15" s="107" t="s">
        <v>163</v>
      </c>
      <c r="S15" s="105">
        <v>0.0</v>
      </c>
      <c r="T15" s="108">
        <v>1.0</v>
      </c>
      <c r="U15" s="108">
        <v>2.0</v>
      </c>
      <c r="V15" s="108">
        <v>1.0</v>
      </c>
      <c r="W15" s="109" t="s">
        <v>433</v>
      </c>
      <c r="X15" s="101" t="s">
        <v>441</v>
      </c>
      <c r="Y15" s="100" t="s">
        <v>442</v>
      </c>
      <c r="Z15" s="101" t="s">
        <v>443</v>
      </c>
      <c r="AA15" s="100" t="s">
        <v>444</v>
      </c>
      <c r="AB15" s="100" t="s">
        <v>173</v>
      </c>
      <c r="AC15" s="100" t="s">
        <v>343</v>
      </c>
      <c r="AD15" s="100" t="s">
        <v>445</v>
      </c>
      <c r="AE15" s="100" t="s">
        <v>446</v>
      </c>
      <c r="AF15" s="100" t="s">
        <v>210</v>
      </c>
      <c r="AG15" s="144">
        <v>0.0</v>
      </c>
      <c r="AH15" s="111" t="s">
        <v>474</v>
      </c>
      <c r="AI15" s="112"/>
      <c r="AJ15" s="113">
        <f t="shared" si="1"/>
        <v>44298</v>
      </c>
      <c r="AK15" s="114">
        <f t="shared" si="2"/>
        <v>-416</v>
      </c>
      <c r="AL15" s="115" t="str">
        <f t="shared" si="3"/>
        <v>Pendiente Evidencia</v>
      </c>
      <c r="AM15" s="146" t="s">
        <v>268</v>
      </c>
      <c r="AN15" s="116"/>
    </row>
    <row r="16" ht="67.5" customHeight="1">
      <c r="A16" s="37"/>
      <c r="B16" s="100"/>
      <c r="C16" s="100"/>
      <c r="D16" s="100"/>
      <c r="E16" s="100"/>
      <c r="F16" s="100"/>
      <c r="G16" s="101"/>
      <c r="H16" s="100"/>
      <c r="I16" s="100"/>
      <c r="J16" s="100"/>
      <c r="K16" s="102"/>
      <c r="L16" s="102"/>
      <c r="M16" s="102"/>
      <c r="N16" s="103"/>
      <c r="O16" s="104"/>
      <c r="P16" s="105"/>
      <c r="Q16" s="106"/>
      <c r="R16" s="107"/>
      <c r="S16" s="105"/>
      <c r="T16" s="108"/>
      <c r="U16" s="108"/>
      <c r="V16" s="108"/>
      <c r="W16" s="109"/>
      <c r="X16" s="101"/>
      <c r="Y16" s="100"/>
      <c r="Z16" s="101"/>
      <c r="AA16" s="100"/>
      <c r="AB16" s="100"/>
      <c r="AC16" s="100"/>
      <c r="AD16" s="100"/>
      <c r="AE16" s="100"/>
      <c r="AF16" s="100"/>
      <c r="AG16" s="129"/>
      <c r="AH16" s="129"/>
      <c r="AI16" s="112"/>
      <c r="AJ16" s="113"/>
      <c r="AK16" s="114"/>
      <c r="AL16" s="115"/>
      <c r="AM16" s="115"/>
      <c r="AN16" s="116"/>
    </row>
    <row r="17" ht="67.5" customHeight="1">
      <c r="A17" s="37"/>
      <c r="B17" s="100"/>
      <c r="C17" s="100"/>
      <c r="D17" s="100"/>
      <c r="E17" s="100"/>
      <c r="F17" s="100"/>
      <c r="G17" s="101"/>
      <c r="H17" s="100"/>
      <c r="I17" s="100"/>
      <c r="J17" s="100"/>
      <c r="K17" s="102"/>
      <c r="L17" s="102"/>
      <c r="M17" s="102"/>
      <c r="N17" s="103"/>
      <c r="O17" s="104"/>
      <c r="P17" s="105"/>
      <c r="Q17" s="106"/>
      <c r="R17" s="107"/>
      <c r="S17" s="105"/>
      <c r="T17" s="108"/>
      <c r="U17" s="108"/>
      <c r="V17" s="108"/>
      <c r="W17" s="109"/>
      <c r="X17" s="101"/>
      <c r="Y17" s="100"/>
      <c r="Z17" s="101"/>
      <c r="AA17" s="100"/>
      <c r="AB17" s="100"/>
      <c r="AC17" s="100"/>
      <c r="AD17" s="100"/>
      <c r="AE17" s="100"/>
      <c r="AF17" s="100"/>
      <c r="AG17" s="129"/>
      <c r="AH17" s="129"/>
      <c r="AI17" s="112"/>
      <c r="AJ17" s="113"/>
      <c r="AK17" s="114"/>
      <c r="AL17" s="115"/>
      <c r="AM17" s="115"/>
      <c r="AN17" s="116"/>
    </row>
    <row r="18" ht="15.75" customHeight="1"/>
  </sheetData>
  <autoFilter ref="$A$3:$AN$17"/>
  <mergeCells count="2">
    <mergeCell ref="B1:C1"/>
    <mergeCell ref="AG2:AM2"/>
  </mergeCells>
  <conditionalFormatting sqref="AK4:AK17">
    <cfRule type="cellIs" dxfId="2" priority="1" operator="greaterThan">
      <formula>0</formula>
    </cfRule>
  </conditionalFormatting>
  <conditionalFormatting sqref="AK4:AK17">
    <cfRule type="cellIs" dxfId="3" priority="2" operator="lessThan">
      <formula>0</formula>
    </cfRule>
  </conditionalFormatting>
  <dataValidations>
    <dataValidation type="decimal" allowBlank="1" showDropDown="1" showInputMessage="1" showErrorMessage="1" prompt="Recuerde que debe ingresar un valor numérico o porcentaje" sqref="AG4:AG17">
      <formula1>0.0</formula1>
      <formula2>5000000.0</formula2>
    </dataValidation>
  </dataValidations>
  <hyperlinks>
    <hyperlink display="Home" location="Home!A1" ref="B1"/>
    <hyperlink r:id="rId1" ref="AI6"/>
    <hyperlink r:id="rId2" ref="AI9"/>
  </hyperlinks>
  <printOptions gridLines="1" horizontalCentered="1"/>
  <pageMargins bottom="0.75" footer="0.0" header="0.0" left="0.7" right="0.7" top="0.75"/>
  <pageSetup cellComments="atEnd" orientation="portrait" pageOrder="overThenDown"/>
  <drawing r:id="rId3"/>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hidden="1" min="24" max="24" width="26.5"/>
    <col customWidth="1" hidden="1" min="25" max="25" width="23.63"/>
    <col customWidth="1" hidden="1" min="26" max="26" width="27.88"/>
    <col customWidth="1" hidden="1" min="27" max="27" width="26.63"/>
    <col customWidth="1" hidden="1" min="28" max="28" width="18.75"/>
    <col customWidth="1" hidden="1" min="29" max="29" width="31.88"/>
    <col customWidth="1" hidden="1" min="30" max="30" width="22.63"/>
    <col customWidth="1" hidden="1" min="31" max="31" width="29.13"/>
    <col customWidth="1" hidden="1" min="32" max="32" width="27.13"/>
    <col customWidth="1" min="33" max="33" width="21.0"/>
    <col customWidth="1" min="34" max="34" width="22.88"/>
    <col customWidth="1" min="35" max="35" width="24.5"/>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25.0</v>
      </c>
      <c r="C4" s="100" t="s">
        <v>476</v>
      </c>
      <c r="D4" s="100" t="s">
        <v>14</v>
      </c>
      <c r="E4" s="100" t="s">
        <v>112</v>
      </c>
      <c r="F4" s="100">
        <v>2.018011000241E12</v>
      </c>
      <c r="G4" s="101" t="s">
        <v>113</v>
      </c>
      <c r="H4" s="100" t="s">
        <v>138</v>
      </c>
      <c r="I4" s="100" t="s">
        <v>139</v>
      </c>
      <c r="J4" s="100" t="s">
        <v>147</v>
      </c>
      <c r="K4" s="102" t="s">
        <v>141</v>
      </c>
      <c r="L4" s="102" t="s">
        <v>167</v>
      </c>
      <c r="M4" s="102" t="s">
        <v>119</v>
      </c>
      <c r="N4" s="103" t="s">
        <v>477</v>
      </c>
      <c r="O4" s="123"/>
      <c r="P4" s="105">
        <v>1.0</v>
      </c>
      <c r="Q4" s="106" t="s">
        <v>478</v>
      </c>
      <c r="R4" s="107" t="s">
        <v>121</v>
      </c>
      <c r="S4" s="105">
        <v>1.0</v>
      </c>
      <c r="T4" s="130">
        <v>0.0</v>
      </c>
      <c r="U4" s="130">
        <v>0.0</v>
      </c>
      <c r="V4" s="130">
        <v>0.0</v>
      </c>
      <c r="W4" s="109" t="s">
        <v>14</v>
      </c>
      <c r="X4" s="101" t="s">
        <v>479</v>
      </c>
      <c r="Y4" s="100" t="s">
        <v>480</v>
      </c>
      <c r="Z4" s="101" t="s">
        <v>481</v>
      </c>
      <c r="AA4" s="100" t="s">
        <v>174</v>
      </c>
      <c r="AB4" s="100" t="s">
        <v>173</v>
      </c>
      <c r="AC4" s="100" t="s">
        <v>290</v>
      </c>
      <c r="AD4" s="100" t="s">
        <v>129</v>
      </c>
      <c r="AE4" s="100" t="s">
        <v>216</v>
      </c>
      <c r="AF4" s="100" t="s">
        <v>131</v>
      </c>
      <c r="AG4" s="144">
        <v>1.0</v>
      </c>
      <c r="AH4" s="111" t="s">
        <v>482</v>
      </c>
      <c r="AI4" s="117" t="s">
        <v>483</v>
      </c>
      <c r="AJ4" s="113">
        <f t="shared" ref="AJ4:AJ11" si="1">$AK$1</f>
        <v>44298</v>
      </c>
      <c r="AK4" s="114">
        <f t="shared" ref="AK4:AK11" si="2">AJ4-$AL$1</f>
        <v>-416</v>
      </c>
      <c r="AL4" s="115" t="str">
        <f t="shared" ref="AL4:AL11" si="3">IF(ISBLANK(AG4),"Pendiente Ejecución"&amp;CHAR(10),)&amp;IF(ISBLANK(AH4),"Pendiente Justificación"&amp;CHAR(10),)&amp;IF(ISBLANK(AI4),"Pendiente Evidencia",)&amp;IF(OR(ISBLANK(AG4),ISBLANK(AH4),ISBLANK(AI4)),,"Reporte ok")</f>
        <v>Reporte ok</v>
      </c>
      <c r="AM4" s="115"/>
      <c r="AN4" s="116"/>
    </row>
    <row r="5" ht="67.5" customHeight="1">
      <c r="A5" s="37"/>
      <c r="B5" s="100">
        <v>26.0</v>
      </c>
      <c r="C5" s="100" t="s">
        <v>476</v>
      </c>
      <c r="D5" s="100" t="s">
        <v>14</v>
      </c>
      <c r="E5" s="100" t="s">
        <v>112</v>
      </c>
      <c r="F5" s="100">
        <v>2.018011000241E12</v>
      </c>
      <c r="G5" s="101" t="s">
        <v>113</v>
      </c>
      <c r="H5" s="100" t="s">
        <v>138</v>
      </c>
      <c r="I5" s="100" t="s">
        <v>139</v>
      </c>
      <c r="J5" s="100" t="s">
        <v>147</v>
      </c>
      <c r="K5" s="102" t="s">
        <v>141</v>
      </c>
      <c r="L5" s="102" t="s">
        <v>167</v>
      </c>
      <c r="M5" s="102" t="s">
        <v>119</v>
      </c>
      <c r="N5" s="103" t="s">
        <v>484</v>
      </c>
      <c r="O5" s="123"/>
      <c r="P5" s="105">
        <v>1.0</v>
      </c>
      <c r="Q5" s="106" t="s">
        <v>485</v>
      </c>
      <c r="R5" s="107" t="s">
        <v>121</v>
      </c>
      <c r="S5" s="105">
        <v>1.0</v>
      </c>
      <c r="T5" s="108">
        <v>0.0</v>
      </c>
      <c r="U5" s="108">
        <v>0.0</v>
      </c>
      <c r="V5" s="108">
        <v>0.0</v>
      </c>
      <c r="W5" s="109" t="s">
        <v>14</v>
      </c>
      <c r="X5" s="101" t="s">
        <v>479</v>
      </c>
      <c r="Y5" s="100" t="s">
        <v>480</v>
      </c>
      <c r="Z5" s="101" t="s">
        <v>481</v>
      </c>
      <c r="AA5" s="100" t="s">
        <v>174</v>
      </c>
      <c r="AB5" s="100" t="s">
        <v>153</v>
      </c>
      <c r="AC5" s="100" t="s">
        <v>290</v>
      </c>
      <c r="AD5" s="100" t="s">
        <v>129</v>
      </c>
      <c r="AE5" s="100" t="s">
        <v>216</v>
      </c>
      <c r="AF5" s="100" t="s">
        <v>131</v>
      </c>
      <c r="AG5" s="144">
        <v>1.0</v>
      </c>
      <c r="AH5" s="111" t="s">
        <v>486</v>
      </c>
      <c r="AI5" s="117" t="s">
        <v>483</v>
      </c>
      <c r="AJ5" s="113">
        <f t="shared" si="1"/>
        <v>44298</v>
      </c>
      <c r="AK5" s="114">
        <f t="shared" si="2"/>
        <v>-416</v>
      </c>
      <c r="AL5" s="115" t="str">
        <f t="shared" si="3"/>
        <v>Reporte ok</v>
      </c>
      <c r="AM5" s="115"/>
      <c r="AN5" s="116"/>
    </row>
    <row r="6" ht="67.5" customHeight="1">
      <c r="A6" s="37"/>
      <c r="B6" s="100">
        <v>27.0</v>
      </c>
      <c r="C6" s="100" t="s">
        <v>476</v>
      </c>
      <c r="D6" s="100" t="s">
        <v>14</v>
      </c>
      <c r="E6" s="100" t="s">
        <v>112</v>
      </c>
      <c r="F6" s="100">
        <v>2.018011000241E12</v>
      </c>
      <c r="G6" s="101" t="s">
        <v>113</v>
      </c>
      <c r="H6" s="100" t="s">
        <v>138</v>
      </c>
      <c r="I6" s="100" t="s">
        <v>139</v>
      </c>
      <c r="J6" s="100" t="s">
        <v>147</v>
      </c>
      <c r="K6" s="102" t="s">
        <v>141</v>
      </c>
      <c r="L6" s="102" t="s">
        <v>167</v>
      </c>
      <c r="M6" s="102" t="s">
        <v>119</v>
      </c>
      <c r="N6" s="103" t="s">
        <v>487</v>
      </c>
      <c r="O6" s="123"/>
      <c r="P6" s="105">
        <v>4.0</v>
      </c>
      <c r="Q6" s="106" t="s">
        <v>488</v>
      </c>
      <c r="R6" s="107" t="s">
        <v>163</v>
      </c>
      <c r="S6" s="105">
        <v>1.0</v>
      </c>
      <c r="T6" s="108">
        <v>1.0</v>
      </c>
      <c r="U6" s="108">
        <v>1.0</v>
      </c>
      <c r="V6" s="108">
        <v>1.0</v>
      </c>
      <c r="W6" s="109" t="s">
        <v>14</v>
      </c>
      <c r="X6" s="101" t="s">
        <v>479</v>
      </c>
      <c r="Y6" s="100" t="s">
        <v>480</v>
      </c>
      <c r="Z6" s="101" t="s">
        <v>481</v>
      </c>
      <c r="AA6" s="100" t="s">
        <v>174</v>
      </c>
      <c r="AB6" s="100" t="s">
        <v>173</v>
      </c>
      <c r="AC6" s="100" t="s">
        <v>290</v>
      </c>
      <c r="AD6" s="100" t="s">
        <v>489</v>
      </c>
      <c r="AE6" s="100" t="s">
        <v>490</v>
      </c>
      <c r="AF6" s="100" t="s">
        <v>131</v>
      </c>
      <c r="AG6" s="144">
        <v>1.0</v>
      </c>
      <c r="AH6" s="111" t="s">
        <v>491</v>
      </c>
      <c r="AI6" s="117" t="s">
        <v>492</v>
      </c>
      <c r="AJ6" s="113">
        <f t="shared" si="1"/>
        <v>44298</v>
      </c>
      <c r="AK6" s="114">
        <f t="shared" si="2"/>
        <v>-416</v>
      </c>
      <c r="AL6" s="115" t="str">
        <f t="shared" si="3"/>
        <v>Reporte ok</v>
      </c>
      <c r="AM6" s="115"/>
      <c r="AN6" s="116"/>
    </row>
    <row r="7" ht="67.5" customHeight="1">
      <c r="A7" s="37"/>
      <c r="B7" s="100">
        <v>28.0</v>
      </c>
      <c r="C7" s="100" t="s">
        <v>476</v>
      </c>
      <c r="D7" s="100" t="s">
        <v>14</v>
      </c>
      <c r="E7" s="100" t="s">
        <v>112</v>
      </c>
      <c r="F7" s="100">
        <v>2.018011000241E12</v>
      </c>
      <c r="G7" s="101" t="s">
        <v>113</v>
      </c>
      <c r="H7" s="100" t="s">
        <v>138</v>
      </c>
      <c r="I7" s="100" t="s">
        <v>139</v>
      </c>
      <c r="J7" s="100" t="s">
        <v>147</v>
      </c>
      <c r="K7" s="102" t="s">
        <v>141</v>
      </c>
      <c r="L7" s="102" t="s">
        <v>167</v>
      </c>
      <c r="M7" s="102" t="s">
        <v>142</v>
      </c>
      <c r="N7" s="103" t="s">
        <v>493</v>
      </c>
      <c r="O7" s="123"/>
      <c r="P7" s="118">
        <v>1.0</v>
      </c>
      <c r="Q7" s="106" t="s">
        <v>494</v>
      </c>
      <c r="R7" s="107" t="s">
        <v>121</v>
      </c>
      <c r="S7" s="118">
        <v>0.0</v>
      </c>
      <c r="T7" s="108">
        <v>0.0</v>
      </c>
      <c r="U7" s="108">
        <v>0.0</v>
      </c>
      <c r="V7" s="108">
        <v>1.0</v>
      </c>
      <c r="W7" s="109" t="s">
        <v>14</v>
      </c>
      <c r="X7" s="101" t="s">
        <v>479</v>
      </c>
      <c r="Y7" s="100" t="s">
        <v>480</v>
      </c>
      <c r="Z7" s="101" t="s">
        <v>481</v>
      </c>
      <c r="AA7" s="100" t="s">
        <v>174</v>
      </c>
      <c r="AB7" s="100" t="s">
        <v>173</v>
      </c>
      <c r="AC7" s="100" t="s">
        <v>290</v>
      </c>
      <c r="AD7" s="100" t="s">
        <v>129</v>
      </c>
      <c r="AE7" s="100" t="s">
        <v>216</v>
      </c>
      <c r="AF7" s="100" t="s">
        <v>131</v>
      </c>
      <c r="AG7" s="110">
        <v>0.0</v>
      </c>
      <c r="AH7" s="111" t="s">
        <v>495</v>
      </c>
      <c r="AI7" s="140" t="s">
        <v>496</v>
      </c>
      <c r="AJ7" s="113">
        <f t="shared" si="1"/>
        <v>44298</v>
      </c>
      <c r="AK7" s="114">
        <f t="shared" si="2"/>
        <v>-416</v>
      </c>
      <c r="AL7" s="115" t="str">
        <f t="shared" si="3"/>
        <v>Reporte ok</v>
      </c>
      <c r="AM7" s="115"/>
      <c r="AN7" s="116"/>
    </row>
    <row r="8" ht="67.5" customHeight="1">
      <c r="A8" s="37"/>
      <c r="B8" s="100">
        <v>29.0</v>
      </c>
      <c r="C8" s="100" t="s">
        <v>476</v>
      </c>
      <c r="D8" s="100" t="s">
        <v>14</v>
      </c>
      <c r="E8" s="100" t="s">
        <v>112</v>
      </c>
      <c r="F8" s="100">
        <v>2.018011000241E12</v>
      </c>
      <c r="G8" s="101" t="s">
        <v>113</v>
      </c>
      <c r="H8" s="100" t="s">
        <v>138</v>
      </c>
      <c r="I8" s="100" t="s">
        <v>139</v>
      </c>
      <c r="J8" s="100" t="s">
        <v>147</v>
      </c>
      <c r="K8" s="102" t="s">
        <v>141</v>
      </c>
      <c r="L8" s="102" t="s">
        <v>167</v>
      </c>
      <c r="M8" s="102" t="s">
        <v>119</v>
      </c>
      <c r="N8" s="103" t="s">
        <v>497</v>
      </c>
      <c r="O8" s="123"/>
      <c r="P8" s="105">
        <v>5.0</v>
      </c>
      <c r="Q8" s="106" t="s">
        <v>498</v>
      </c>
      <c r="R8" s="107" t="s">
        <v>163</v>
      </c>
      <c r="S8" s="105">
        <v>1.0</v>
      </c>
      <c r="T8" s="108">
        <v>1.0</v>
      </c>
      <c r="U8" s="108">
        <v>2.0</v>
      </c>
      <c r="V8" s="108">
        <v>1.0</v>
      </c>
      <c r="W8" s="109" t="s">
        <v>14</v>
      </c>
      <c r="X8" s="101" t="s">
        <v>479</v>
      </c>
      <c r="Y8" s="100" t="s">
        <v>480</v>
      </c>
      <c r="Z8" s="101" t="s">
        <v>481</v>
      </c>
      <c r="AA8" s="100" t="s">
        <v>174</v>
      </c>
      <c r="AB8" s="100" t="s">
        <v>173</v>
      </c>
      <c r="AC8" s="100" t="s">
        <v>290</v>
      </c>
      <c r="AD8" s="100" t="s">
        <v>129</v>
      </c>
      <c r="AE8" s="100" t="s">
        <v>216</v>
      </c>
      <c r="AF8" s="100" t="s">
        <v>131</v>
      </c>
      <c r="AG8" s="144">
        <v>0.0</v>
      </c>
      <c r="AH8" s="111" t="s">
        <v>499</v>
      </c>
      <c r="AI8" s="140" t="s">
        <v>496</v>
      </c>
      <c r="AJ8" s="113">
        <f t="shared" si="1"/>
        <v>44298</v>
      </c>
      <c r="AK8" s="114">
        <f t="shared" si="2"/>
        <v>-416</v>
      </c>
      <c r="AL8" s="115" t="str">
        <f t="shared" si="3"/>
        <v>Reporte ok</v>
      </c>
      <c r="AM8" s="115"/>
      <c r="AN8" s="116"/>
    </row>
    <row r="9" ht="67.5" customHeight="1">
      <c r="A9" s="37"/>
      <c r="B9" s="100">
        <v>30.0</v>
      </c>
      <c r="C9" s="100" t="s">
        <v>476</v>
      </c>
      <c r="D9" s="100" t="s">
        <v>14</v>
      </c>
      <c r="E9" s="100" t="s">
        <v>112</v>
      </c>
      <c r="F9" s="100">
        <v>2.018011000241E12</v>
      </c>
      <c r="G9" s="101" t="s">
        <v>113</v>
      </c>
      <c r="H9" s="100" t="s">
        <v>138</v>
      </c>
      <c r="I9" s="100" t="s">
        <v>139</v>
      </c>
      <c r="J9" s="100" t="s">
        <v>147</v>
      </c>
      <c r="K9" s="102" t="s">
        <v>141</v>
      </c>
      <c r="L9" s="102" t="s">
        <v>167</v>
      </c>
      <c r="M9" s="102" t="s">
        <v>119</v>
      </c>
      <c r="N9" s="103" t="s">
        <v>500</v>
      </c>
      <c r="O9" s="123"/>
      <c r="P9" s="105">
        <v>5.0</v>
      </c>
      <c r="Q9" s="106" t="s">
        <v>501</v>
      </c>
      <c r="R9" s="107" t="s">
        <v>163</v>
      </c>
      <c r="S9" s="105">
        <v>0.0</v>
      </c>
      <c r="T9" s="108">
        <v>1.0</v>
      </c>
      <c r="U9" s="108">
        <v>2.0</v>
      </c>
      <c r="V9" s="108">
        <v>2.0</v>
      </c>
      <c r="W9" s="109" t="s">
        <v>14</v>
      </c>
      <c r="X9" s="101" t="s">
        <v>479</v>
      </c>
      <c r="Y9" s="100" t="s">
        <v>480</v>
      </c>
      <c r="Z9" s="101" t="s">
        <v>481</v>
      </c>
      <c r="AA9" s="100" t="s">
        <v>174</v>
      </c>
      <c r="AB9" s="100" t="s">
        <v>173</v>
      </c>
      <c r="AC9" s="100" t="s">
        <v>290</v>
      </c>
      <c r="AD9" s="100" t="s">
        <v>129</v>
      </c>
      <c r="AE9" s="100" t="s">
        <v>216</v>
      </c>
      <c r="AF9" s="100" t="s">
        <v>131</v>
      </c>
      <c r="AG9" s="144">
        <v>0.0</v>
      </c>
      <c r="AH9" s="111" t="s">
        <v>502</v>
      </c>
      <c r="AI9" s="140" t="s">
        <v>496</v>
      </c>
      <c r="AJ9" s="113">
        <f t="shared" si="1"/>
        <v>44298</v>
      </c>
      <c r="AK9" s="114">
        <f t="shared" si="2"/>
        <v>-416</v>
      </c>
      <c r="AL9" s="115" t="str">
        <f t="shared" si="3"/>
        <v>Reporte ok</v>
      </c>
      <c r="AM9" s="115"/>
      <c r="AN9" s="116"/>
    </row>
    <row r="10" ht="67.5" customHeight="1">
      <c r="A10" s="37"/>
      <c r="B10" s="100">
        <v>31.0</v>
      </c>
      <c r="C10" s="100" t="s">
        <v>476</v>
      </c>
      <c r="D10" s="100" t="s">
        <v>14</v>
      </c>
      <c r="E10" s="100" t="s">
        <v>112</v>
      </c>
      <c r="F10" s="100">
        <v>2.018011000241E12</v>
      </c>
      <c r="G10" s="101" t="s">
        <v>113</v>
      </c>
      <c r="H10" s="100" t="s">
        <v>138</v>
      </c>
      <c r="I10" s="100" t="s">
        <v>139</v>
      </c>
      <c r="J10" s="100" t="s">
        <v>503</v>
      </c>
      <c r="K10" s="102" t="s">
        <v>141</v>
      </c>
      <c r="L10" s="102" t="s">
        <v>167</v>
      </c>
      <c r="M10" s="102" t="s">
        <v>119</v>
      </c>
      <c r="N10" s="103" t="s">
        <v>504</v>
      </c>
      <c r="O10" s="123"/>
      <c r="P10" s="131">
        <v>3.0</v>
      </c>
      <c r="Q10" s="106" t="s">
        <v>505</v>
      </c>
      <c r="R10" s="107" t="s">
        <v>163</v>
      </c>
      <c r="S10" s="131">
        <v>0.0</v>
      </c>
      <c r="T10" s="131">
        <v>0.0</v>
      </c>
      <c r="U10" s="131">
        <v>2.0</v>
      </c>
      <c r="V10" s="131">
        <v>1.0</v>
      </c>
      <c r="W10" s="109" t="s">
        <v>14</v>
      </c>
      <c r="X10" s="101" t="s">
        <v>479</v>
      </c>
      <c r="Y10" s="100" t="s">
        <v>480</v>
      </c>
      <c r="Z10" s="101" t="s">
        <v>481</v>
      </c>
      <c r="AA10" s="100" t="s">
        <v>174</v>
      </c>
      <c r="AB10" s="100" t="s">
        <v>173</v>
      </c>
      <c r="AC10" s="100" t="s">
        <v>290</v>
      </c>
      <c r="AD10" s="100" t="s">
        <v>129</v>
      </c>
      <c r="AE10" s="100" t="s">
        <v>216</v>
      </c>
      <c r="AF10" s="100" t="s">
        <v>131</v>
      </c>
      <c r="AG10" s="132">
        <v>0.0</v>
      </c>
      <c r="AH10" s="111" t="s">
        <v>506</v>
      </c>
      <c r="AI10" s="140" t="s">
        <v>496</v>
      </c>
      <c r="AJ10" s="113">
        <f t="shared" si="1"/>
        <v>44298</v>
      </c>
      <c r="AK10" s="114">
        <f t="shared" si="2"/>
        <v>-416</v>
      </c>
      <c r="AL10" s="115" t="str">
        <f t="shared" si="3"/>
        <v>Reporte ok</v>
      </c>
      <c r="AM10" s="115"/>
      <c r="AN10" s="116"/>
    </row>
    <row r="11" ht="67.5" customHeight="1">
      <c r="A11" s="37"/>
      <c r="B11" s="100">
        <v>32.0</v>
      </c>
      <c r="C11" s="100" t="s">
        <v>476</v>
      </c>
      <c r="D11" s="100" t="s">
        <v>14</v>
      </c>
      <c r="E11" s="100" t="s">
        <v>112</v>
      </c>
      <c r="F11" s="100">
        <v>2.018011000241E12</v>
      </c>
      <c r="G11" s="101" t="s">
        <v>113</v>
      </c>
      <c r="H11" s="100" t="s">
        <v>138</v>
      </c>
      <c r="I11" s="100" t="s">
        <v>139</v>
      </c>
      <c r="J11" s="100" t="s">
        <v>147</v>
      </c>
      <c r="K11" s="102" t="s">
        <v>141</v>
      </c>
      <c r="L11" s="102" t="s">
        <v>167</v>
      </c>
      <c r="M11" s="102" t="s">
        <v>119</v>
      </c>
      <c r="N11" s="103" t="s">
        <v>507</v>
      </c>
      <c r="O11" s="123"/>
      <c r="P11" s="105">
        <v>1.0</v>
      </c>
      <c r="Q11" s="106" t="s">
        <v>508</v>
      </c>
      <c r="R11" s="107" t="s">
        <v>121</v>
      </c>
      <c r="S11" s="105">
        <v>0.0</v>
      </c>
      <c r="T11" s="108">
        <v>0.0</v>
      </c>
      <c r="U11" s="108">
        <v>0.0</v>
      </c>
      <c r="V11" s="108">
        <v>1.0</v>
      </c>
      <c r="W11" s="109" t="s">
        <v>14</v>
      </c>
      <c r="X11" s="101" t="s">
        <v>479</v>
      </c>
      <c r="Y11" s="100" t="s">
        <v>480</v>
      </c>
      <c r="Z11" s="101" t="s">
        <v>481</v>
      </c>
      <c r="AA11" s="100" t="s">
        <v>174</v>
      </c>
      <c r="AB11" s="100" t="s">
        <v>173</v>
      </c>
      <c r="AC11" s="100" t="s">
        <v>290</v>
      </c>
      <c r="AD11" s="100" t="s">
        <v>489</v>
      </c>
      <c r="AE11" s="100" t="s">
        <v>490</v>
      </c>
      <c r="AF11" s="100" t="s">
        <v>131</v>
      </c>
      <c r="AG11" s="144">
        <v>0.0</v>
      </c>
      <c r="AH11" s="111" t="s">
        <v>509</v>
      </c>
      <c r="AI11" s="140" t="s">
        <v>496</v>
      </c>
      <c r="AJ11" s="113">
        <f t="shared" si="1"/>
        <v>44298</v>
      </c>
      <c r="AK11" s="114">
        <f t="shared" si="2"/>
        <v>-416</v>
      </c>
      <c r="AL11" s="115" t="str">
        <f t="shared" si="3"/>
        <v>Reporte ok</v>
      </c>
      <c r="AM11" s="115"/>
      <c r="AN11" s="116"/>
    </row>
    <row r="12" ht="67.5" customHeight="1">
      <c r="A12" s="37"/>
      <c r="B12" s="119"/>
      <c r="C12" s="119"/>
      <c r="D12" s="119"/>
      <c r="E12" s="119"/>
      <c r="F12" s="119"/>
      <c r="G12" s="120"/>
      <c r="H12" s="119"/>
      <c r="I12" s="119"/>
      <c r="J12" s="119"/>
      <c r="K12" s="121"/>
      <c r="L12" s="121"/>
      <c r="M12" s="121"/>
      <c r="N12" s="122"/>
      <c r="O12" s="123"/>
      <c r="P12" s="124"/>
      <c r="Q12" s="125"/>
      <c r="R12" s="126"/>
      <c r="S12" s="124"/>
      <c r="T12" s="127"/>
      <c r="U12" s="127"/>
      <c r="V12" s="127"/>
      <c r="W12" s="128"/>
      <c r="X12" s="120"/>
      <c r="Y12" s="119"/>
      <c r="Z12" s="120"/>
      <c r="AA12" s="119"/>
      <c r="AB12" s="119"/>
      <c r="AC12" s="119"/>
      <c r="AD12" s="119"/>
      <c r="AE12" s="119"/>
      <c r="AF12" s="119"/>
      <c r="AG12" s="129"/>
      <c r="AH12" s="129"/>
      <c r="AI12" s="112"/>
      <c r="AJ12" s="113"/>
      <c r="AK12" s="114"/>
      <c r="AL12" s="115"/>
      <c r="AM12" s="115"/>
      <c r="AN12" s="116"/>
    </row>
    <row r="13" ht="67.5" customHeight="1">
      <c r="A13" s="37"/>
      <c r="B13" s="119"/>
      <c r="C13" s="119"/>
      <c r="D13" s="119"/>
      <c r="E13" s="119"/>
      <c r="F13" s="119"/>
      <c r="G13" s="120"/>
      <c r="H13" s="119"/>
      <c r="I13" s="119"/>
      <c r="J13" s="119"/>
      <c r="K13" s="121"/>
      <c r="L13" s="121"/>
      <c r="M13" s="121"/>
      <c r="N13" s="122"/>
      <c r="O13" s="123"/>
      <c r="P13" s="124"/>
      <c r="Q13" s="125"/>
      <c r="R13" s="126"/>
      <c r="S13" s="124"/>
      <c r="T13" s="127"/>
      <c r="U13" s="127"/>
      <c r="V13" s="127"/>
      <c r="W13" s="128"/>
      <c r="X13" s="120"/>
      <c r="Y13" s="119"/>
      <c r="Z13" s="120"/>
      <c r="AA13" s="119"/>
      <c r="AB13" s="119"/>
      <c r="AC13" s="119"/>
      <c r="AD13" s="119"/>
      <c r="AE13" s="119"/>
      <c r="AF13" s="119"/>
      <c r="AG13" s="129"/>
      <c r="AH13" s="129"/>
      <c r="AI13" s="112"/>
      <c r="AJ13" s="113"/>
      <c r="AK13" s="114"/>
      <c r="AL13" s="115"/>
      <c r="AM13" s="115"/>
      <c r="AN13" s="116"/>
    </row>
    <row r="14" ht="15.75" customHeight="1"/>
  </sheetData>
  <autoFilter ref="$A$3:$AN$13"/>
  <mergeCells count="2">
    <mergeCell ref="B1:C1"/>
    <mergeCell ref="AG2:AM2"/>
  </mergeCells>
  <conditionalFormatting sqref="AK4:AK13">
    <cfRule type="cellIs" dxfId="2" priority="1" operator="greaterThan">
      <formula>0</formula>
    </cfRule>
  </conditionalFormatting>
  <conditionalFormatting sqref="AK4:AK13">
    <cfRule type="cellIs" dxfId="3" priority="2" operator="lessThan">
      <formula>0</formula>
    </cfRule>
  </conditionalFormatting>
  <conditionalFormatting sqref="AK11">
    <cfRule type="cellIs" dxfId="2" priority="3" operator="greaterThan">
      <formula>0</formula>
    </cfRule>
  </conditionalFormatting>
  <conditionalFormatting sqref="AK11">
    <cfRule type="cellIs" dxfId="3" priority="4" operator="lessThan">
      <formula>0</formula>
    </cfRule>
  </conditionalFormatting>
  <conditionalFormatting sqref="AK7:AK8">
    <cfRule type="cellIs" dxfId="2" priority="5" operator="greaterThan">
      <formula>0</formula>
    </cfRule>
  </conditionalFormatting>
  <conditionalFormatting sqref="AK7:AK8">
    <cfRule type="cellIs" dxfId="3" priority="6" operator="lessThan">
      <formula>0</formula>
    </cfRule>
  </conditionalFormatting>
  <dataValidations>
    <dataValidation type="decimal" allowBlank="1" showDropDown="1" showInputMessage="1" showErrorMessage="1" prompt="Recuerde que debe ingresar un valor numérico o porcentaje" sqref="AG4:AG13">
      <formula1>0.0</formula1>
      <formula2>5000000.0</formula2>
    </dataValidation>
  </dataValidations>
  <hyperlinks>
    <hyperlink display="Home" location="Home!A1" ref="B1"/>
    <hyperlink r:id="rId1" ref="AI4"/>
    <hyperlink r:id="rId2" ref="AI5"/>
    <hyperlink r:id="rId3" location="gid=1942166271" ref="AI6"/>
  </hyperlinks>
  <printOptions gridLines="1" horizontalCentered="1"/>
  <pageMargins bottom="0.75" footer="0.0" header="0.0" left="0.7" right="0.7" top="0.75"/>
  <pageSetup cellComments="atEnd" orientation="portrait" pageOrder="overThenDown"/>
  <drawing r:id="rId4"/>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3.5"/>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t="s">
        <v>510</v>
      </c>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81.0</v>
      </c>
      <c r="C4" s="100" t="s">
        <v>432</v>
      </c>
      <c r="D4" s="100" t="s">
        <v>17</v>
      </c>
      <c r="E4" s="100" t="s">
        <v>112</v>
      </c>
      <c r="F4" s="100">
        <v>2.018011000241E12</v>
      </c>
      <c r="G4" s="101" t="s">
        <v>113</v>
      </c>
      <c r="H4" s="100" t="s">
        <v>511</v>
      </c>
      <c r="I4" s="100" t="s">
        <v>512</v>
      </c>
      <c r="J4" s="100" t="s">
        <v>513</v>
      </c>
      <c r="K4" s="102" t="s">
        <v>141</v>
      </c>
      <c r="L4" s="102" t="s">
        <v>118</v>
      </c>
      <c r="M4" s="102" t="s">
        <v>202</v>
      </c>
      <c r="N4" s="103" t="s">
        <v>514</v>
      </c>
      <c r="O4" s="104">
        <v>1.0</v>
      </c>
      <c r="P4" s="105">
        <v>1.0</v>
      </c>
      <c r="Q4" s="106" t="s">
        <v>515</v>
      </c>
      <c r="R4" s="107" t="s">
        <v>121</v>
      </c>
      <c r="S4" s="105">
        <v>0.0</v>
      </c>
      <c r="T4" s="108">
        <v>0.0</v>
      </c>
      <c r="U4" s="108">
        <v>0.0</v>
      </c>
      <c r="V4" s="108">
        <v>1.0</v>
      </c>
      <c r="W4" s="109" t="s">
        <v>17</v>
      </c>
      <c r="X4" s="101" t="s">
        <v>441</v>
      </c>
      <c r="Y4" s="100" t="s">
        <v>516</v>
      </c>
      <c r="Z4" s="101" t="s">
        <v>443</v>
      </c>
      <c r="AA4" s="100" t="s">
        <v>444</v>
      </c>
      <c r="AB4" s="100" t="s">
        <v>517</v>
      </c>
      <c r="AC4" s="100" t="s">
        <v>128</v>
      </c>
      <c r="AD4" s="100" t="s">
        <v>445</v>
      </c>
      <c r="AE4" s="100" t="s">
        <v>518</v>
      </c>
      <c r="AF4" s="100" t="s">
        <v>519</v>
      </c>
      <c r="AG4" s="144">
        <v>0.0</v>
      </c>
      <c r="AH4" s="111" t="s">
        <v>520</v>
      </c>
      <c r="AI4" s="112"/>
      <c r="AJ4" s="113">
        <f t="shared" ref="AJ4:AJ8" si="1">$AK$1</f>
        <v>44298</v>
      </c>
      <c r="AK4" s="114">
        <f t="shared" ref="AK4:AK8" si="2">AJ4-$AL$1</f>
        <v>-416</v>
      </c>
      <c r="AL4" s="115" t="str">
        <f t="shared" ref="AL4:AL8" si="3">IF(ISBLANK(AG4),"Pendiente Ejecución"&amp;CHAR(10),)&amp;IF(ISBLANK(AH4),"Pendiente Justificación"&amp;CHAR(10),)&amp;IF(ISBLANK(AI4),"Pendiente Evidencia",)&amp;IF(OR(ISBLANK(AG4),ISBLANK(AH4),ISBLANK(AI4)),,"Reporte ok")</f>
        <v>Pendiente Evidencia</v>
      </c>
      <c r="AM4" s="146" t="s">
        <v>268</v>
      </c>
      <c r="AN4" s="116"/>
    </row>
    <row r="5" ht="67.5" customHeight="1">
      <c r="A5" s="37"/>
      <c r="B5" s="100">
        <v>82.0</v>
      </c>
      <c r="C5" s="100" t="s">
        <v>432</v>
      </c>
      <c r="D5" s="100" t="s">
        <v>17</v>
      </c>
      <c r="E5" s="100" t="s">
        <v>112</v>
      </c>
      <c r="F5" s="100">
        <v>2.018011000241E12</v>
      </c>
      <c r="G5" s="101" t="s">
        <v>113</v>
      </c>
      <c r="H5" s="100" t="s">
        <v>511</v>
      </c>
      <c r="I5" s="100" t="s">
        <v>512</v>
      </c>
      <c r="J5" s="100" t="s">
        <v>521</v>
      </c>
      <c r="K5" s="102" t="s">
        <v>141</v>
      </c>
      <c r="L5" s="102" t="s">
        <v>118</v>
      </c>
      <c r="M5" s="102" t="s">
        <v>202</v>
      </c>
      <c r="N5" s="103" t="s">
        <v>522</v>
      </c>
      <c r="O5" s="104">
        <v>1.0</v>
      </c>
      <c r="P5" s="105">
        <v>1.0</v>
      </c>
      <c r="Q5" s="106" t="s">
        <v>523</v>
      </c>
      <c r="R5" s="107" t="s">
        <v>121</v>
      </c>
      <c r="S5" s="105">
        <v>0.0</v>
      </c>
      <c r="T5" s="108">
        <v>0.0</v>
      </c>
      <c r="U5" s="108">
        <v>0.0</v>
      </c>
      <c r="V5" s="108">
        <v>1.0</v>
      </c>
      <c r="W5" s="109" t="s">
        <v>17</v>
      </c>
      <c r="X5" s="101" t="s">
        <v>441</v>
      </c>
      <c r="Y5" s="100" t="s">
        <v>516</v>
      </c>
      <c r="Z5" s="101" t="s">
        <v>443</v>
      </c>
      <c r="AA5" s="100" t="s">
        <v>444</v>
      </c>
      <c r="AB5" s="100" t="s">
        <v>517</v>
      </c>
      <c r="AC5" s="100" t="s">
        <v>128</v>
      </c>
      <c r="AD5" s="100" t="s">
        <v>445</v>
      </c>
      <c r="AE5" s="100" t="s">
        <v>518</v>
      </c>
      <c r="AF5" s="100" t="s">
        <v>519</v>
      </c>
      <c r="AG5" s="144">
        <v>0.0</v>
      </c>
      <c r="AH5" s="111" t="str">
        <f>AH4</f>
        <v>El reporte de esta actividad es anual, por ende no se debe reportar en este trimestre</v>
      </c>
      <c r="AI5" s="112"/>
      <c r="AJ5" s="113">
        <f t="shared" si="1"/>
        <v>44298</v>
      </c>
      <c r="AK5" s="114">
        <f t="shared" si="2"/>
        <v>-416</v>
      </c>
      <c r="AL5" s="115" t="str">
        <f t="shared" si="3"/>
        <v>Pendiente Evidencia</v>
      </c>
      <c r="AM5" s="146" t="s">
        <v>268</v>
      </c>
      <c r="AN5" s="116"/>
    </row>
    <row r="6" ht="67.5" customHeight="1">
      <c r="A6" s="37"/>
      <c r="B6" s="100">
        <v>83.0</v>
      </c>
      <c r="C6" s="100" t="s">
        <v>432</v>
      </c>
      <c r="D6" s="100" t="s">
        <v>17</v>
      </c>
      <c r="E6" s="100" t="s">
        <v>112</v>
      </c>
      <c r="F6" s="100">
        <v>2.018011000241E12</v>
      </c>
      <c r="G6" s="101" t="s">
        <v>113</v>
      </c>
      <c r="H6" s="100" t="s">
        <v>511</v>
      </c>
      <c r="I6" s="100" t="s">
        <v>512</v>
      </c>
      <c r="J6" s="100" t="s">
        <v>513</v>
      </c>
      <c r="K6" s="102" t="s">
        <v>141</v>
      </c>
      <c r="L6" s="102" t="s">
        <v>118</v>
      </c>
      <c r="M6" s="102" t="s">
        <v>202</v>
      </c>
      <c r="N6" s="103" t="s">
        <v>524</v>
      </c>
      <c r="O6" s="104">
        <v>2.0</v>
      </c>
      <c r="P6" s="105">
        <v>2.0</v>
      </c>
      <c r="Q6" s="106" t="s">
        <v>525</v>
      </c>
      <c r="R6" s="107" t="s">
        <v>163</v>
      </c>
      <c r="S6" s="105">
        <v>0.0</v>
      </c>
      <c r="T6" s="118">
        <v>1.0</v>
      </c>
      <c r="U6" s="118">
        <v>1.0</v>
      </c>
      <c r="V6" s="118">
        <v>0.0</v>
      </c>
      <c r="W6" s="109" t="s">
        <v>17</v>
      </c>
      <c r="X6" s="101" t="s">
        <v>441</v>
      </c>
      <c r="Y6" s="100" t="s">
        <v>516</v>
      </c>
      <c r="Z6" s="101" t="s">
        <v>443</v>
      </c>
      <c r="AA6" s="100" t="s">
        <v>444</v>
      </c>
      <c r="AB6" s="100" t="s">
        <v>517</v>
      </c>
      <c r="AC6" s="100" t="s">
        <v>128</v>
      </c>
      <c r="AD6" s="100" t="s">
        <v>445</v>
      </c>
      <c r="AE6" s="100" t="s">
        <v>518</v>
      </c>
      <c r="AF6" s="100" t="s">
        <v>519</v>
      </c>
      <c r="AG6" s="144">
        <v>0.0</v>
      </c>
      <c r="AH6" s="111" t="s">
        <v>474</v>
      </c>
      <c r="AI6" s="112"/>
      <c r="AJ6" s="113">
        <f t="shared" si="1"/>
        <v>44298</v>
      </c>
      <c r="AK6" s="114">
        <f t="shared" si="2"/>
        <v>-416</v>
      </c>
      <c r="AL6" s="115" t="str">
        <f t="shared" si="3"/>
        <v>Pendiente Evidencia</v>
      </c>
      <c r="AM6" s="146" t="s">
        <v>268</v>
      </c>
      <c r="AN6" s="116"/>
    </row>
    <row r="7" ht="67.5" customHeight="1">
      <c r="A7" s="37"/>
      <c r="B7" s="100">
        <v>84.0</v>
      </c>
      <c r="C7" s="100" t="s">
        <v>432</v>
      </c>
      <c r="D7" s="100" t="s">
        <v>17</v>
      </c>
      <c r="E7" s="100" t="s">
        <v>112</v>
      </c>
      <c r="F7" s="100">
        <v>2.018011000241E12</v>
      </c>
      <c r="G7" s="101" t="s">
        <v>113</v>
      </c>
      <c r="H7" s="100" t="s">
        <v>511</v>
      </c>
      <c r="I7" s="100" t="s">
        <v>512</v>
      </c>
      <c r="J7" s="100" t="s">
        <v>513</v>
      </c>
      <c r="K7" s="102" t="s">
        <v>141</v>
      </c>
      <c r="L7" s="102" t="s">
        <v>118</v>
      </c>
      <c r="M7" s="102" t="s">
        <v>202</v>
      </c>
      <c r="N7" s="103" t="s">
        <v>526</v>
      </c>
      <c r="O7" s="104">
        <v>2.0</v>
      </c>
      <c r="P7" s="105">
        <v>2.0</v>
      </c>
      <c r="Q7" s="106" t="s">
        <v>527</v>
      </c>
      <c r="R7" s="107" t="s">
        <v>163</v>
      </c>
      <c r="S7" s="105">
        <v>0.0</v>
      </c>
      <c r="T7" s="118">
        <v>0.0</v>
      </c>
      <c r="U7" s="118">
        <v>1.0</v>
      </c>
      <c r="V7" s="118">
        <v>1.0</v>
      </c>
      <c r="W7" s="109" t="s">
        <v>17</v>
      </c>
      <c r="X7" s="101" t="s">
        <v>441</v>
      </c>
      <c r="Y7" s="100" t="s">
        <v>516</v>
      </c>
      <c r="Z7" s="101" t="s">
        <v>443</v>
      </c>
      <c r="AA7" s="100" t="s">
        <v>444</v>
      </c>
      <c r="AB7" s="100" t="s">
        <v>517</v>
      </c>
      <c r="AC7" s="100" t="s">
        <v>128</v>
      </c>
      <c r="AD7" s="100" t="s">
        <v>445</v>
      </c>
      <c r="AE7" s="100" t="s">
        <v>518</v>
      </c>
      <c r="AF7" s="100" t="s">
        <v>519</v>
      </c>
      <c r="AG7" s="144">
        <v>0.0</v>
      </c>
      <c r="AH7" s="111" t="str">
        <f>AH6</f>
        <v>Para este trimestre no se reporta ninguna meta</v>
      </c>
      <c r="AI7" s="112"/>
      <c r="AJ7" s="113">
        <f t="shared" si="1"/>
        <v>44298</v>
      </c>
      <c r="AK7" s="114">
        <f t="shared" si="2"/>
        <v>-416</v>
      </c>
      <c r="AL7" s="115" t="str">
        <f t="shared" si="3"/>
        <v>Pendiente Evidencia</v>
      </c>
      <c r="AM7" s="146" t="s">
        <v>268</v>
      </c>
      <c r="AN7" s="116"/>
    </row>
    <row r="8" ht="67.5" customHeight="1">
      <c r="A8" s="37"/>
      <c r="B8" s="100">
        <v>85.0</v>
      </c>
      <c r="C8" s="100" t="s">
        <v>432</v>
      </c>
      <c r="D8" s="100" t="s">
        <v>17</v>
      </c>
      <c r="E8" s="100" t="s">
        <v>112</v>
      </c>
      <c r="F8" s="100">
        <v>2.018011000241E12</v>
      </c>
      <c r="G8" s="101" t="s">
        <v>113</v>
      </c>
      <c r="H8" s="100" t="s">
        <v>511</v>
      </c>
      <c r="I8" s="100" t="s">
        <v>512</v>
      </c>
      <c r="J8" s="100" t="s">
        <v>513</v>
      </c>
      <c r="K8" s="102" t="s">
        <v>141</v>
      </c>
      <c r="L8" s="102" t="s">
        <v>118</v>
      </c>
      <c r="M8" s="102" t="s">
        <v>202</v>
      </c>
      <c r="N8" s="103" t="s">
        <v>528</v>
      </c>
      <c r="O8" s="104">
        <v>2.0</v>
      </c>
      <c r="P8" s="105">
        <v>2.0</v>
      </c>
      <c r="Q8" s="106" t="s">
        <v>529</v>
      </c>
      <c r="R8" s="107" t="s">
        <v>163</v>
      </c>
      <c r="S8" s="105">
        <v>1.0</v>
      </c>
      <c r="T8" s="118">
        <v>0.0</v>
      </c>
      <c r="U8" s="118">
        <v>1.0</v>
      </c>
      <c r="V8" s="118">
        <v>0.0</v>
      </c>
      <c r="W8" s="109" t="s">
        <v>17</v>
      </c>
      <c r="X8" s="101" t="s">
        <v>441</v>
      </c>
      <c r="Y8" s="100" t="s">
        <v>516</v>
      </c>
      <c r="Z8" s="101" t="s">
        <v>443</v>
      </c>
      <c r="AA8" s="100" t="s">
        <v>444</v>
      </c>
      <c r="AB8" s="100" t="s">
        <v>517</v>
      </c>
      <c r="AC8" s="100" t="s">
        <v>128</v>
      </c>
      <c r="AD8" s="100" t="s">
        <v>445</v>
      </c>
      <c r="AE8" s="100" t="s">
        <v>518</v>
      </c>
      <c r="AF8" s="100" t="s">
        <v>519</v>
      </c>
      <c r="AG8" s="144">
        <v>1.0</v>
      </c>
      <c r="AH8" s="147" t="s">
        <v>530</v>
      </c>
      <c r="AI8" s="137" t="s">
        <v>531</v>
      </c>
      <c r="AJ8" s="113">
        <f t="shared" si="1"/>
        <v>44298</v>
      </c>
      <c r="AK8" s="114">
        <f t="shared" si="2"/>
        <v>-416</v>
      </c>
      <c r="AL8" s="115" t="str">
        <f t="shared" si="3"/>
        <v>Reporte ok</v>
      </c>
      <c r="AM8" s="146" t="s">
        <v>268</v>
      </c>
      <c r="AN8" s="116"/>
    </row>
    <row r="9" ht="67.5" customHeight="1">
      <c r="A9" s="37"/>
      <c r="B9" s="119"/>
      <c r="C9" s="119"/>
      <c r="D9" s="119"/>
      <c r="E9" s="119"/>
      <c r="F9" s="119"/>
      <c r="G9" s="120"/>
      <c r="H9" s="119"/>
      <c r="I9" s="119"/>
      <c r="J9" s="119"/>
      <c r="K9" s="121"/>
      <c r="L9" s="121"/>
      <c r="M9" s="121"/>
      <c r="N9" s="122"/>
      <c r="O9" s="123"/>
      <c r="P9" s="124"/>
      <c r="Q9" s="125"/>
      <c r="R9" s="126"/>
      <c r="S9" s="124"/>
      <c r="T9" s="127"/>
      <c r="U9" s="127"/>
      <c r="V9" s="127"/>
      <c r="W9" s="128"/>
      <c r="X9" s="120"/>
      <c r="Y9" s="119"/>
      <c r="Z9" s="120"/>
      <c r="AA9" s="119"/>
      <c r="AB9" s="119"/>
      <c r="AC9" s="119"/>
      <c r="AD9" s="119"/>
      <c r="AE9" s="119"/>
      <c r="AF9" s="119"/>
      <c r="AG9" s="129"/>
      <c r="AH9" s="129"/>
      <c r="AI9" s="112"/>
      <c r="AJ9" s="113"/>
      <c r="AK9" s="114"/>
      <c r="AL9" s="115"/>
      <c r="AM9" s="115"/>
      <c r="AN9" s="116"/>
    </row>
    <row r="10" ht="67.5" customHeight="1">
      <c r="A10" s="37"/>
      <c r="B10" s="119"/>
      <c r="C10" s="119"/>
      <c r="D10" s="119"/>
      <c r="E10" s="119"/>
      <c r="F10" s="119"/>
      <c r="G10" s="120"/>
      <c r="H10" s="119"/>
      <c r="I10" s="119"/>
      <c r="J10" s="119"/>
      <c r="K10" s="121"/>
      <c r="L10" s="121"/>
      <c r="M10" s="121"/>
      <c r="N10" s="122"/>
      <c r="O10" s="123"/>
      <c r="P10" s="124"/>
      <c r="Q10" s="125"/>
      <c r="R10" s="126"/>
      <c r="S10" s="124"/>
      <c r="T10" s="127"/>
      <c r="U10" s="127"/>
      <c r="V10" s="127"/>
      <c r="W10" s="128"/>
      <c r="X10" s="120"/>
      <c r="Y10" s="119"/>
      <c r="Z10" s="120"/>
      <c r="AA10" s="119"/>
      <c r="AB10" s="119"/>
      <c r="AC10" s="119"/>
      <c r="AD10" s="119"/>
      <c r="AE10" s="119"/>
      <c r="AF10" s="119"/>
      <c r="AG10" s="129"/>
      <c r="AH10" s="129"/>
      <c r="AI10" s="112"/>
      <c r="AJ10" s="113"/>
      <c r="AK10" s="114"/>
      <c r="AL10" s="115"/>
      <c r="AM10" s="115"/>
      <c r="AN10" s="116"/>
    </row>
    <row r="11" ht="15.75" customHeight="1"/>
  </sheetData>
  <autoFilter ref="$A$3:$AN$10"/>
  <mergeCells count="2">
    <mergeCell ref="B1:C1"/>
    <mergeCell ref="AG2:AM2"/>
  </mergeCells>
  <conditionalFormatting sqref="AK4:AK10">
    <cfRule type="cellIs" dxfId="2" priority="1" operator="greaterThan">
      <formula>0</formula>
    </cfRule>
  </conditionalFormatting>
  <conditionalFormatting sqref="AK4:AK10">
    <cfRule type="cellIs" dxfId="3" priority="2" operator="lessThan">
      <formula>0</formula>
    </cfRule>
  </conditionalFormatting>
  <dataValidations>
    <dataValidation type="decimal" allowBlank="1" showDropDown="1" showInputMessage="1" showErrorMessage="1" prompt="Recuerde que debe ingresar un valor numérico o porcentaje" sqref="AG4:AG10">
      <formula1>0.0</formula1>
      <formula2>5000000.0</formula2>
    </dataValidation>
  </dataValidations>
  <hyperlinks>
    <hyperlink display="Home" location="Home!A1" ref="B1"/>
    <hyperlink r:id="rId1" ref="AI8"/>
  </hyperlinks>
  <printOptions gridLines="1" horizontalCentered="1"/>
  <pageMargins bottom="0.75" footer="0.0" header="0.0" left="0.7" right="0.7" top="0.75"/>
  <pageSetup cellComments="atEnd" orientation="portrait" pageOrder="overThenDown"/>
  <drawing r:id="rId2"/>
</worksheet>
</file>

<file path=xl/worksheets/sheet1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9.75"/>
    <col customWidth="1" min="35" max="35" width="40.75"/>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t="s">
        <v>510</v>
      </c>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148" t="s">
        <v>67</v>
      </c>
      <c r="AJ3" s="97" t="s">
        <v>68</v>
      </c>
      <c r="AK3" s="97" t="s">
        <v>110</v>
      </c>
      <c r="AL3" s="97" t="s">
        <v>70</v>
      </c>
      <c r="AM3" s="97" t="s">
        <v>71</v>
      </c>
      <c r="AN3" s="95"/>
    </row>
    <row r="4" ht="67.5" customHeight="1">
      <c r="A4" s="37"/>
      <c r="B4" s="100">
        <v>86.0</v>
      </c>
      <c r="C4" s="100" t="s">
        <v>532</v>
      </c>
      <c r="D4" s="100" t="s">
        <v>174</v>
      </c>
      <c r="E4" s="100" t="s">
        <v>112</v>
      </c>
      <c r="F4" s="100">
        <v>2.018011000241E12</v>
      </c>
      <c r="G4" s="101" t="s">
        <v>113</v>
      </c>
      <c r="H4" s="100" t="s">
        <v>138</v>
      </c>
      <c r="I4" s="100" t="s">
        <v>139</v>
      </c>
      <c r="J4" s="100" t="s">
        <v>147</v>
      </c>
      <c r="K4" s="102" t="s">
        <v>141</v>
      </c>
      <c r="L4" s="102" t="s">
        <v>118</v>
      </c>
      <c r="M4" s="102" t="s">
        <v>142</v>
      </c>
      <c r="N4" s="103" t="s">
        <v>533</v>
      </c>
      <c r="O4" s="123"/>
      <c r="P4" s="118">
        <v>1.0</v>
      </c>
      <c r="Q4" s="106" t="s">
        <v>534</v>
      </c>
      <c r="R4" s="107" t="s">
        <v>150</v>
      </c>
      <c r="S4" s="118">
        <v>0.0</v>
      </c>
      <c r="T4" s="118">
        <v>0.5</v>
      </c>
      <c r="U4" s="118">
        <v>0.0</v>
      </c>
      <c r="V4" s="118">
        <v>0.5</v>
      </c>
      <c r="W4" s="109" t="s">
        <v>174</v>
      </c>
      <c r="X4" s="101" t="s">
        <v>535</v>
      </c>
      <c r="Y4" s="100" t="s">
        <v>536</v>
      </c>
      <c r="Z4" s="101" t="s">
        <v>537</v>
      </c>
      <c r="AA4" s="100" t="s">
        <v>289</v>
      </c>
      <c r="AB4" s="100" t="s">
        <v>538</v>
      </c>
      <c r="AC4" s="100" t="s">
        <v>128</v>
      </c>
      <c r="AD4" s="100" t="s">
        <v>174</v>
      </c>
      <c r="AE4" s="100" t="s">
        <v>174</v>
      </c>
      <c r="AF4" s="100" t="s">
        <v>131</v>
      </c>
      <c r="AG4" s="110">
        <v>0.05</v>
      </c>
      <c r="AH4" s="147" t="s">
        <v>539</v>
      </c>
      <c r="AI4" s="149" t="s">
        <v>540</v>
      </c>
      <c r="AJ4" s="113">
        <f t="shared" ref="AJ4:AJ7" si="1">$AK$1</f>
        <v>44298</v>
      </c>
      <c r="AK4" s="114">
        <f t="shared" ref="AK4:AK7" si="2">AJ4-$AL$1</f>
        <v>-416</v>
      </c>
      <c r="AL4" s="115" t="str">
        <f t="shared" ref="AL4:AL7" si="3">IF(ISBLANK(AG4),"Pendiente Ejecución"&amp;CHAR(10),)&amp;IF(ISBLANK(AH4),"Pendiente Justificación"&amp;CHAR(10),)&amp;IF(ISBLANK(AI4),"Pendiente Evidencia",)&amp;IF(OR(ISBLANK(AG4),ISBLANK(AH4),ISBLANK(AI4)),,"Reporte ok")</f>
        <v>Reporte ok</v>
      </c>
      <c r="AM4" s="115"/>
      <c r="AN4" s="116"/>
    </row>
    <row r="5" ht="67.5" customHeight="1">
      <c r="A5" s="37"/>
      <c r="B5" s="100">
        <v>87.0</v>
      </c>
      <c r="C5" s="100" t="s">
        <v>532</v>
      </c>
      <c r="D5" s="100" t="s">
        <v>174</v>
      </c>
      <c r="E5" s="100" t="s">
        <v>112</v>
      </c>
      <c r="F5" s="100">
        <v>2.018011000241E12</v>
      </c>
      <c r="G5" s="101" t="s">
        <v>113</v>
      </c>
      <c r="H5" s="100" t="s">
        <v>138</v>
      </c>
      <c r="I5" s="100" t="s">
        <v>139</v>
      </c>
      <c r="J5" s="100" t="s">
        <v>147</v>
      </c>
      <c r="K5" s="102" t="s">
        <v>141</v>
      </c>
      <c r="L5" s="102" t="s">
        <v>118</v>
      </c>
      <c r="M5" s="102" t="s">
        <v>142</v>
      </c>
      <c r="N5" s="103" t="s">
        <v>541</v>
      </c>
      <c r="O5" s="123"/>
      <c r="P5" s="118">
        <v>1.0</v>
      </c>
      <c r="Q5" s="106" t="s">
        <v>542</v>
      </c>
      <c r="R5" s="107" t="s">
        <v>121</v>
      </c>
      <c r="S5" s="118">
        <v>0.0</v>
      </c>
      <c r="T5" s="118">
        <v>0.0</v>
      </c>
      <c r="U5" s="118">
        <v>0.0</v>
      </c>
      <c r="V5" s="118">
        <v>1.0</v>
      </c>
      <c r="W5" s="109" t="s">
        <v>174</v>
      </c>
      <c r="X5" s="101" t="s">
        <v>535</v>
      </c>
      <c r="Y5" s="100" t="s">
        <v>536</v>
      </c>
      <c r="Z5" s="101" t="s">
        <v>537</v>
      </c>
      <c r="AA5" s="100" t="s">
        <v>289</v>
      </c>
      <c r="AB5" s="100" t="s">
        <v>543</v>
      </c>
      <c r="AC5" s="100" t="s">
        <v>128</v>
      </c>
      <c r="AD5" s="100" t="s">
        <v>174</v>
      </c>
      <c r="AE5" s="100" t="s">
        <v>174</v>
      </c>
      <c r="AF5" s="100" t="s">
        <v>131</v>
      </c>
      <c r="AG5" s="110">
        <v>0.05</v>
      </c>
      <c r="AH5" s="147" t="s">
        <v>539</v>
      </c>
      <c r="AI5" s="149" t="s">
        <v>544</v>
      </c>
      <c r="AJ5" s="113">
        <f t="shared" si="1"/>
        <v>44298</v>
      </c>
      <c r="AK5" s="114">
        <f t="shared" si="2"/>
        <v>-416</v>
      </c>
      <c r="AL5" s="115" t="str">
        <f t="shared" si="3"/>
        <v>Reporte ok</v>
      </c>
      <c r="AM5" s="115"/>
      <c r="AN5" s="116"/>
    </row>
    <row r="6" ht="67.5" customHeight="1">
      <c r="A6" s="37"/>
      <c r="B6" s="100">
        <v>88.0</v>
      </c>
      <c r="C6" s="100" t="s">
        <v>532</v>
      </c>
      <c r="D6" s="100" t="s">
        <v>174</v>
      </c>
      <c r="E6" s="100" t="s">
        <v>112</v>
      </c>
      <c r="F6" s="100">
        <v>2.018011000241E12</v>
      </c>
      <c r="G6" s="101" t="s">
        <v>113</v>
      </c>
      <c r="H6" s="100" t="s">
        <v>138</v>
      </c>
      <c r="I6" s="100" t="s">
        <v>545</v>
      </c>
      <c r="J6" s="100" t="s">
        <v>546</v>
      </c>
      <c r="K6" s="102" t="s">
        <v>141</v>
      </c>
      <c r="L6" s="102" t="s">
        <v>118</v>
      </c>
      <c r="M6" s="102" t="s">
        <v>142</v>
      </c>
      <c r="N6" s="103" t="s">
        <v>547</v>
      </c>
      <c r="O6" s="123"/>
      <c r="P6" s="118">
        <v>1.0</v>
      </c>
      <c r="Q6" s="106" t="s">
        <v>548</v>
      </c>
      <c r="R6" s="107" t="s">
        <v>121</v>
      </c>
      <c r="S6" s="118">
        <v>0.0</v>
      </c>
      <c r="T6" s="130">
        <v>0.0</v>
      </c>
      <c r="U6" s="130">
        <v>0.0</v>
      </c>
      <c r="V6" s="118">
        <v>1.0</v>
      </c>
      <c r="W6" s="109" t="s">
        <v>174</v>
      </c>
      <c r="X6" s="101" t="s">
        <v>535</v>
      </c>
      <c r="Y6" s="100" t="s">
        <v>536</v>
      </c>
      <c r="Z6" s="101" t="s">
        <v>537</v>
      </c>
      <c r="AA6" s="100" t="s">
        <v>289</v>
      </c>
      <c r="AB6" s="100" t="s">
        <v>549</v>
      </c>
      <c r="AC6" s="100" t="s">
        <v>128</v>
      </c>
      <c r="AD6" s="100" t="s">
        <v>174</v>
      </c>
      <c r="AE6" s="100" t="s">
        <v>174</v>
      </c>
      <c r="AF6" s="100" t="s">
        <v>131</v>
      </c>
      <c r="AG6" s="110">
        <v>0.05</v>
      </c>
      <c r="AH6" s="147" t="s">
        <v>539</v>
      </c>
      <c r="AI6" s="149" t="s">
        <v>550</v>
      </c>
      <c r="AJ6" s="113">
        <f t="shared" si="1"/>
        <v>44298</v>
      </c>
      <c r="AK6" s="114">
        <f t="shared" si="2"/>
        <v>-416</v>
      </c>
      <c r="AL6" s="115" t="str">
        <f t="shared" si="3"/>
        <v>Reporte ok</v>
      </c>
      <c r="AM6" s="115"/>
      <c r="AN6" s="116"/>
    </row>
    <row r="7" ht="67.5" customHeight="1">
      <c r="A7" s="37"/>
      <c r="B7" s="100">
        <v>89.0</v>
      </c>
      <c r="C7" s="100" t="s">
        <v>532</v>
      </c>
      <c r="D7" s="100" t="s">
        <v>174</v>
      </c>
      <c r="E7" s="100" t="s">
        <v>112</v>
      </c>
      <c r="F7" s="100">
        <v>2.018011000241E12</v>
      </c>
      <c r="G7" s="101" t="s">
        <v>113</v>
      </c>
      <c r="H7" s="100" t="s">
        <v>138</v>
      </c>
      <c r="I7" s="100" t="s">
        <v>139</v>
      </c>
      <c r="J7" s="100" t="s">
        <v>147</v>
      </c>
      <c r="K7" s="102" t="s">
        <v>141</v>
      </c>
      <c r="L7" s="102" t="s">
        <v>118</v>
      </c>
      <c r="M7" s="102" t="s">
        <v>142</v>
      </c>
      <c r="N7" s="103" t="s">
        <v>551</v>
      </c>
      <c r="O7" s="123"/>
      <c r="P7" s="118">
        <v>1.0</v>
      </c>
      <c r="Q7" s="106" t="s">
        <v>552</v>
      </c>
      <c r="R7" s="107" t="s">
        <v>163</v>
      </c>
      <c r="S7" s="118">
        <v>0.25</v>
      </c>
      <c r="T7" s="118">
        <v>0.25</v>
      </c>
      <c r="U7" s="118">
        <v>0.25</v>
      </c>
      <c r="V7" s="118">
        <v>0.25</v>
      </c>
      <c r="W7" s="109" t="s">
        <v>174</v>
      </c>
      <c r="X7" s="101" t="s">
        <v>535</v>
      </c>
      <c r="Y7" s="100" t="s">
        <v>536</v>
      </c>
      <c r="Z7" s="101" t="s">
        <v>537</v>
      </c>
      <c r="AA7" s="100" t="s">
        <v>289</v>
      </c>
      <c r="AB7" s="100" t="s">
        <v>553</v>
      </c>
      <c r="AC7" s="100" t="s">
        <v>128</v>
      </c>
      <c r="AD7" s="100" t="s">
        <v>174</v>
      </c>
      <c r="AE7" s="100" t="s">
        <v>174</v>
      </c>
      <c r="AF7" s="100" t="s">
        <v>131</v>
      </c>
      <c r="AG7" s="110">
        <v>0.25</v>
      </c>
      <c r="AH7" s="147" t="s">
        <v>554</v>
      </c>
      <c r="AI7" s="149" t="s">
        <v>555</v>
      </c>
      <c r="AJ7" s="113">
        <f t="shared" si="1"/>
        <v>44298</v>
      </c>
      <c r="AK7" s="114">
        <f t="shared" si="2"/>
        <v>-416</v>
      </c>
      <c r="AL7" s="115" t="str">
        <f t="shared" si="3"/>
        <v>Reporte ok</v>
      </c>
      <c r="AM7" s="115"/>
      <c r="AN7" s="116"/>
    </row>
    <row r="8" ht="67.5" customHeight="1">
      <c r="A8" s="37"/>
      <c r="B8" s="119"/>
      <c r="C8" s="119"/>
      <c r="D8" s="119"/>
      <c r="E8" s="119"/>
      <c r="F8" s="119"/>
      <c r="G8" s="120"/>
      <c r="H8" s="119"/>
      <c r="I8" s="119"/>
      <c r="J8" s="119"/>
      <c r="K8" s="121"/>
      <c r="L8" s="121"/>
      <c r="M8" s="121"/>
      <c r="N8" s="122"/>
      <c r="O8" s="123"/>
      <c r="P8" s="124"/>
      <c r="Q8" s="125"/>
      <c r="R8" s="126"/>
      <c r="S8" s="124"/>
      <c r="T8" s="127"/>
      <c r="U8" s="127"/>
      <c r="V8" s="127"/>
      <c r="W8" s="128"/>
      <c r="X8" s="120"/>
      <c r="Y8" s="119"/>
      <c r="Z8" s="120"/>
      <c r="AA8" s="119"/>
      <c r="AB8" s="119"/>
      <c r="AC8" s="119"/>
      <c r="AD8" s="119"/>
      <c r="AE8" s="119"/>
      <c r="AF8" s="119"/>
      <c r="AG8" s="129"/>
      <c r="AH8" s="129"/>
      <c r="AI8" s="112"/>
      <c r="AJ8" s="113"/>
      <c r="AK8" s="114"/>
      <c r="AL8" s="115"/>
      <c r="AM8" s="115"/>
      <c r="AN8" s="116"/>
    </row>
    <row r="9" ht="67.5" customHeight="1">
      <c r="A9" s="37"/>
      <c r="B9" s="119"/>
      <c r="C9" s="119"/>
      <c r="D9" s="119"/>
      <c r="E9" s="119"/>
      <c r="F9" s="119"/>
      <c r="G9" s="120"/>
      <c r="H9" s="119"/>
      <c r="I9" s="119"/>
      <c r="J9" s="119"/>
      <c r="K9" s="121"/>
      <c r="L9" s="121"/>
      <c r="M9" s="121"/>
      <c r="N9" s="122"/>
      <c r="O9" s="123"/>
      <c r="P9" s="124"/>
      <c r="Q9" s="125"/>
      <c r="R9" s="126"/>
      <c r="S9" s="124"/>
      <c r="T9" s="127"/>
      <c r="U9" s="127"/>
      <c r="V9" s="127"/>
      <c r="W9" s="128"/>
      <c r="X9" s="120"/>
      <c r="Y9" s="119"/>
      <c r="Z9" s="120"/>
      <c r="AA9" s="119"/>
      <c r="AB9" s="119"/>
      <c r="AC9" s="119"/>
      <c r="AD9" s="119"/>
      <c r="AE9" s="119"/>
      <c r="AF9" s="119"/>
      <c r="AG9" s="129"/>
      <c r="AH9" s="129"/>
      <c r="AI9" s="112"/>
      <c r="AJ9" s="113"/>
      <c r="AK9" s="114"/>
      <c r="AL9" s="115"/>
      <c r="AM9" s="115"/>
      <c r="AN9" s="116"/>
    </row>
    <row r="10" ht="15.75" customHeight="1"/>
  </sheetData>
  <autoFilter ref="$A$3:$AN$9"/>
  <mergeCells count="2">
    <mergeCell ref="B1:C1"/>
    <mergeCell ref="AG2:AM2"/>
  </mergeCells>
  <conditionalFormatting sqref="AK4:AK9">
    <cfRule type="cellIs" dxfId="2" priority="1" operator="greaterThan">
      <formula>0</formula>
    </cfRule>
  </conditionalFormatting>
  <conditionalFormatting sqref="AK4:AK9">
    <cfRule type="cellIs" dxfId="3" priority="2" operator="lessThan">
      <formula>0</formula>
    </cfRule>
  </conditionalFormatting>
  <dataValidations>
    <dataValidation type="decimal" allowBlank="1" showDropDown="1" showInputMessage="1" showErrorMessage="1" prompt="Recuerde que debe ingresar un valor numérico o porcentaje" sqref="AG4:AG9">
      <formula1>0.0</formula1>
      <formula2>5000000.0</formula2>
    </dataValidation>
  </dataValidations>
  <hyperlinks>
    <hyperlink display="Home" location="Home!A1" ref="B1"/>
    <hyperlink r:id="rId1" ref="AI4"/>
    <hyperlink r:id="rId2" ref="AI5"/>
    <hyperlink r:id="rId3" ref="AI6"/>
    <hyperlink r:id="rId4" ref="AI7"/>
  </hyperlinks>
  <printOptions gridLines="1" horizontalCentered="1"/>
  <pageMargins bottom="0.75" footer="0.0" header="0.0" left="0.7" right="0.7" top="0.75"/>
  <pageSetup cellComments="atEnd" orientation="portrait" pageOrder="overThenDown"/>
  <drawing r:id="rId5"/>
</worksheet>
</file>

<file path=xl/worksheets/sheet2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70.38"/>
    <col customWidth="1" min="35" max="35" width="39.38"/>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90.0</v>
      </c>
      <c r="C4" s="100" t="s">
        <v>331</v>
      </c>
      <c r="D4" s="100" t="s">
        <v>556</v>
      </c>
      <c r="E4" s="100" t="s">
        <v>333</v>
      </c>
      <c r="F4" s="100">
        <v>2.019011000276E12</v>
      </c>
      <c r="G4" s="101" t="s">
        <v>334</v>
      </c>
      <c r="H4" s="100" t="s">
        <v>345</v>
      </c>
      <c r="I4" s="100" t="s">
        <v>346</v>
      </c>
      <c r="J4" s="100" t="s">
        <v>347</v>
      </c>
      <c r="K4" s="102" t="s">
        <v>117</v>
      </c>
      <c r="L4" s="102" t="s">
        <v>118</v>
      </c>
      <c r="M4" s="102" t="s">
        <v>119</v>
      </c>
      <c r="N4" s="103" t="s">
        <v>348</v>
      </c>
      <c r="O4" s="104">
        <v>157.0</v>
      </c>
      <c r="P4" s="105">
        <v>280.0</v>
      </c>
      <c r="Q4" s="106" t="s">
        <v>557</v>
      </c>
      <c r="R4" s="107" t="s">
        <v>163</v>
      </c>
      <c r="S4" s="105">
        <v>36.0</v>
      </c>
      <c r="T4" s="108">
        <v>94.0</v>
      </c>
      <c r="U4" s="108">
        <v>92.0</v>
      </c>
      <c r="V4" s="108">
        <v>58.0</v>
      </c>
      <c r="W4" s="109" t="s">
        <v>556</v>
      </c>
      <c r="X4" s="101" t="s">
        <v>558</v>
      </c>
      <c r="Y4" s="100" t="s">
        <v>559</v>
      </c>
      <c r="Z4" s="101" t="s">
        <v>560</v>
      </c>
      <c r="AA4" s="100" t="s">
        <v>561</v>
      </c>
      <c r="AB4" s="100" t="s">
        <v>173</v>
      </c>
      <c r="AC4" s="100" t="s">
        <v>343</v>
      </c>
      <c r="AD4" s="100" t="s">
        <v>154</v>
      </c>
      <c r="AE4" s="100" t="s">
        <v>291</v>
      </c>
      <c r="AF4" s="100" t="s">
        <v>210</v>
      </c>
      <c r="AG4" s="144">
        <v>62.0</v>
      </c>
      <c r="AH4" s="147" t="s">
        <v>562</v>
      </c>
      <c r="AI4" s="137" t="s">
        <v>563</v>
      </c>
      <c r="AJ4" s="113">
        <f t="shared" ref="AJ4:AJ11" si="1">$AK$1</f>
        <v>44298</v>
      </c>
      <c r="AK4" s="114">
        <f t="shared" ref="AK4:AK11" si="2">AJ4-$AL$1</f>
        <v>-416</v>
      </c>
      <c r="AL4" s="115" t="str">
        <f t="shared" ref="AL4:AL11" si="3">IF(ISBLANK(AG4),"Pendiente Ejecución"&amp;CHAR(10),)&amp;IF(ISBLANK(AH4),"Pendiente Justificación"&amp;CHAR(10),)&amp;IF(ISBLANK(AI4),"Pendiente Evidencia",)&amp;IF(OR(ISBLANK(AG4),ISBLANK(AH4),ISBLANK(AI4)),,"Reporte ok")</f>
        <v>Reporte ok</v>
      </c>
      <c r="AM4" s="115"/>
      <c r="AN4" s="116"/>
    </row>
    <row r="5" ht="67.5" customHeight="1">
      <c r="A5" s="37"/>
      <c r="B5" s="100">
        <v>91.0</v>
      </c>
      <c r="C5" s="100" t="s">
        <v>331</v>
      </c>
      <c r="D5" s="100" t="s">
        <v>556</v>
      </c>
      <c r="E5" s="100" t="s">
        <v>333</v>
      </c>
      <c r="F5" s="100">
        <v>2.019011000276E12</v>
      </c>
      <c r="G5" s="101" t="s">
        <v>334</v>
      </c>
      <c r="H5" s="100" t="s">
        <v>345</v>
      </c>
      <c r="I5" s="100" t="s">
        <v>346</v>
      </c>
      <c r="J5" s="100" t="s">
        <v>347</v>
      </c>
      <c r="K5" s="102" t="s">
        <v>141</v>
      </c>
      <c r="L5" s="102" t="s">
        <v>118</v>
      </c>
      <c r="M5" s="102" t="s">
        <v>119</v>
      </c>
      <c r="N5" s="103" t="s">
        <v>564</v>
      </c>
      <c r="O5" s="123"/>
      <c r="P5" s="105">
        <v>45.0</v>
      </c>
      <c r="Q5" s="106" t="s">
        <v>565</v>
      </c>
      <c r="R5" s="107" t="s">
        <v>163</v>
      </c>
      <c r="S5" s="105">
        <v>8.0</v>
      </c>
      <c r="T5" s="108">
        <v>10.0</v>
      </c>
      <c r="U5" s="108">
        <v>20.0</v>
      </c>
      <c r="V5" s="108">
        <v>7.0</v>
      </c>
      <c r="W5" s="109" t="s">
        <v>556</v>
      </c>
      <c r="X5" s="101" t="s">
        <v>558</v>
      </c>
      <c r="Y5" s="100" t="s">
        <v>559</v>
      </c>
      <c r="Z5" s="101" t="s">
        <v>560</v>
      </c>
      <c r="AA5" s="100" t="s">
        <v>561</v>
      </c>
      <c r="AB5" s="100" t="s">
        <v>173</v>
      </c>
      <c r="AC5" s="100" t="s">
        <v>343</v>
      </c>
      <c r="AD5" s="100" t="s">
        <v>154</v>
      </c>
      <c r="AE5" s="100" t="s">
        <v>291</v>
      </c>
      <c r="AF5" s="100" t="s">
        <v>210</v>
      </c>
      <c r="AG5" s="144">
        <v>9.0</v>
      </c>
      <c r="AH5" s="147" t="s">
        <v>566</v>
      </c>
      <c r="AI5" s="137" t="s">
        <v>567</v>
      </c>
      <c r="AJ5" s="113">
        <f t="shared" si="1"/>
        <v>44298</v>
      </c>
      <c r="AK5" s="114">
        <f t="shared" si="2"/>
        <v>-416</v>
      </c>
      <c r="AL5" s="115" t="str">
        <f t="shared" si="3"/>
        <v>Reporte ok</v>
      </c>
      <c r="AM5" s="115"/>
      <c r="AN5" s="116"/>
    </row>
    <row r="6" ht="67.5" customHeight="1">
      <c r="A6" s="37"/>
      <c r="B6" s="100">
        <v>92.0</v>
      </c>
      <c r="C6" s="100" t="s">
        <v>277</v>
      </c>
      <c r="D6" s="100" t="s">
        <v>556</v>
      </c>
      <c r="E6" s="100" t="s">
        <v>279</v>
      </c>
      <c r="F6" s="100">
        <v>2.01901100028E12</v>
      </c>
      <c r="G6" s="101" t="s">
        <v>280</v>
      </c>
      <c r="H6" s="100" t="s">
        <v>281</v>
      </c>
      <c r="I6" s="100" t="s">
        <v>282</v>
      </c>
      <c r="J6" s="100" t="s">
        <v>283</v>
      </c>
      <c r="K6" s="102" t="s">
        <v>117</v>
      </c>
      <c r="L6" s="102" t="s">
        <v>118</v>
      </c>
      <c r="M6" s="102" t="s">
        <v>119</v>
      </c>
      <c r="N6" s="103" t="s">
        <v>568</v>
      </c>
      <c r="O6" s="104">
        <v>-7140.0</v>
      </c>
      <c r="P6" s="105">
        <v>100.0</v>
      </c>
      <c r="Q6" s="106" t="s">
        <v>569</v>
      </c>
      <c r="R6" s="107" t="s">
        <v>163</v>
      </c>
      <c r="S6" s="105">
        <v>18.0</v>
      </c>
      <c r="T6" s="108">
        <v>26.0</v>
      </c>
      <c r="U6" s="108">
        <v>33.0</v>
      </c>
      <c r="V6" s="108">
        <v>23.0</v>
      </c>
      <c r="W6" s="109" t="s">
        <v>556</v>
      </c>
      <c r="X6" s="101" t="s">
        <v>558</v>
      </c>
      <c r="Y6" s="100" t="s">
        <v>559</v>
      </c>
      <c r="Z6" s="101" t="s">
        <v>560</v>
      </c>
      <c r="AA6" s="100" t="s">
        <v>561</v>
      </c>
      <c r="AB6" s="100" t="s">
        <v>173</v>
      </c>
      <c r="AC6" s="100" t="s">
        <v>290</v>
      </c>
      <c r="AD6" s="100" t="s">
        <v>154</v>
      </c>
      <c r="AE6" s="100" t="s">
        <v>291</v>
      </c>
      <c r="AF6" s="100" t="s">
        <v>210</v>
      </c>
      <c r="AG6" s="144">
        <v>31.0</v>
      </c>
      <c r="AH6" s="147" t="s">
        <v>570</v>
      </c>
      <c r="AI6" s="137" t="s">
        <v>571</v>
      </c>
      <c r="AJ6" s="113">
        <f t="shared" si="1"/>
        <v>44298</v>
      </c>
      <c r="AK6" s="114">
        <f t="shared" si="2"/>
        <v>-416</v>
      </c>
      <c r="AL6" s="115" t="str">
        <f t="shared" si="3"/>
        <v>Reporte ok</v>
      </c>
      <c r="AM6" s="115"/>
      <c r="AN6" s="116"/>
    </row>
    <row r="7" ht="67.5" customHeight="1">
      <c r="A7" s="37"/>
      <c r="B7" s="100">
        <v>93.0</v>
      </c>
      <c r="C7" s="100" t="s">
        <v>277</v>
      </c>
      <c r="D7" s="100" t="s">
        <v>556</v>
      </c>
      <c r="E7" s="100" t="s">
        <v>279</v>
      </c>
      <c r="F7" s="100">
        <v>2.01901100028E12</v>
      </c>
      <c r="G7" s="101" t="s">
        <v>280</v>
      </c>
      <c r="H7" s="100" t="s">
        <v>281</v>
      </c>
      <c r="I7" s="100" t="s">
        <v>282</v>
      </c>
      <c r="J7" s="100" t="s">
        <v>324</v>
      </c>
      <c r="K7" s="102" t="s">
        <v>141</v>
      </c>
      <c r="L7" s="102" t="s">
        <v>118</v>
      </c>
      <c r="M7" s="102" t="s">
        <v>119</v>
      </c>
      <c r="N7" s="103" t="s">
        <v>572</v>
      </c>
      <c r="O7" s="123"/>
      <c r="P7" s="105">
        <v>20.0</v>
      </c>
      <c r="Q7" s="106" t="s">
        <v>573</v>
      </c>
      <c r="R7" s="107" t="s">
        <v>163</v>
      </c>
      <c r="S7" s="105">
        <v>3.0</v>
      </c>
      <c r="T7" s="108">
        <v>3.0</v>
      </c>
      <c r="U7" s="108">
        <v>7.0</v>
      </c>
      <c r="V7" s="108">
        <v>7.0</v>
      </c>
      <c r="W7" s="109" t="s">
        <v>556</v>
      </c>
      <c r="X7" s="101" t="s">
        <v>558</v>
      </c>
      <c r="Y7" s="100" t="s">
        <v>559</v>
      </c>
      <c r="Z7" s="101" t="s">
        <v>560</v>
      </c>
      <c r="AA7" s="100" t="s">
        <v>561</v>
      </c>
      <c r="AB7" s="100" t="s">
        <v>173</v>
      </c>
      <c r="AC7" s="100" t="s">
        <v>290</v>
      </c>
      <c r="AD7" s="100" t="s">
        <v>154</v>
      </c>
      <c r="AE7" s="100" t="s">
        <v>291</v>
      </c>
      <c r="AF7" s="100" t="s">
        <v>210</v>
      </c>
      <c r="AG7" s="144">
        <v>3.0</v>
      </c>
      <c r="AH7" s="147" t="s">
        <v>574</v>
      </c>
      <c r="AI7" s="137" t="s">
        <v>575</v>
      </c>
      <c r="AJ7" s="113">
        <f t="shared" si="1"/>
        <v>44298</v>
      </c>
      <c r="AK7" s="114">
        <f t="shared" si="2"/>
        <v>-416</v>
      </c>
      <c r="AL7" s="115" t="str">
        <f t="shared" si="3"/>
        <v>Reporte ok</v>
      </c>
      <c r="AM7" s="115"/>
      <c r="AN7" s="116"/>
    </row>
    <row r="8" ht="67.5" customHeight="1">
      <c r="A8" s="37"/>
      <c r="B8" s="100">
        <v>94.0</v>
      </c>
      <c r="C8" s="100" t="s">
        <v>277</v>
      </c>
      <c r="D8" s="100" t="s">
        <v>556</v>
      </c>
      <c r="E8" s="100" t="s">
        <v>279</v>
      </c>
      <c r="F8" s="100">
        <v>2.01901100028E12</v>
      </c>
      <c r="G8" s="101" t="s">
        <v>280</v>
      </c>
      <c r="H8" s="100" t="s">
        <v>281</v>
      </c>
      <c r="I8" s="100" t="s">
        <v>282</v>
      </c>
      <c r="J8" s="100" t="s">
        <v>283</v>
      </c>
      <c r="K8" s="102" t="s">
        <v>117</v>
      </c>
      <c r="L8" s="102" t="s">
        <v>118</v>
      </c>
      <c r="M8" s="102" t="s">
        <v>119</v>
      </c>
      <c r="N8" s="103" t="s">
        <v>568</v>
      </c>
      <c r="O8" s="104">
        <v>-7140.0</v>
      </c>
      <c r="P8" s="105">
        <v>1300.0</v>
      </c>
      <c r="Q8" s="106" t="s">
        <v>576</v>
      </c>
      <c r="R8" s="107" t="s">
        <v>163</v>
      </c>
      <c r="S8" s="105">
        <v>110.0</v>
      </c>
      <c r="T8" s="108">
        <v>290.0</v>
      </c>
      <c r="U8" s="108">
        <v>515.0</v>
      </c>
      <c r="V8" s="108">
        <v>385.0</v>
      </c>
      <c r="W8" s="109" t="s">
        <v>556</v>
      </c>
      <c r="X8" s="101" t="s">
        <v>558</v>
      </c>
      <c r="Y8" s="100" t="s">
        <v>559</v>
      </c>
      <c r="Z8" s="101" t="s">
        <v>560</v>
      </c>
      <c r="AA8" s="100" t="s">
        <v>561</v>
      </c>
      <c r="AB8" s="100" t="s">
        <v>173</v>
      </c>
      <c r="AC8" s="100" t="s">
        <v>290</v>
      </c>
      <c r="AD8" s="100" t="s">
        <v>154</v>
      </c>
      <c r="AE8" s="100" t="s">
        <v>291</v>
      </c>
      <c r="AF8" s="100" t="s">
        <v>210</v>
      </c>
      <c r="AG8" s="144">
        <v>331.0</v>
      </c>
      <c r="AH8" s="147" t="s">
        <v>577</v>
      </c>
      <c r="AI8" s="137" t="s">
        <v>578</v>
      </c>
      <c r="AJ8" s="113">
        <f t="shared" si="1"/>
        <v>44298</v>
      </c>
      <c r="AK8" s="114">
        <f t="shared" si="2"/>
        <v>-416</v>
      </c>
      <c r="AL8" s="115" t="str">
        <f t="shared" si="3"/>
        <v>Reporte ok</v>
      </c>
      <c r="AM8" s="115"/>
      <c r="AN8" s="116"/>
    </row>
    <row r="9" ht="67.5" customHeight="1">
      <c r="A9" s="37"/>
      <c r="B9" s="100">
        <v>95.0</v>
      </c>
      <c r="C9" s="100" t="s">
        <v>277</v>
      </c>
      <c r="D9" s="100" t="s">
        <v>556</v>
      </c>
      <c r="E9" s="100" t="s">
        <v>279</v>
      </c>
      <c r="F9" s="100">
        <v>2.01901100028E12</v>
      </c>
      <c r="G9" s="101" t="s">
        <v>280</v>
      </c>
      <c r="H9" s="100" t="s">
        <v>281</v>
      </c>
      <c r="I9" s="100" t="s">
        <v>282</v>
      </c>
      <c r="J9" s="100" t="s">
        <v>324</v>
      </c>
      <c r="K9" s="102" t="s">
        <v>141</v>
      </c>
      <c r="L9" s="102" t="s">
        <v>118</v>
      </c>
      <c r="M9" s="102" t="s">
        <v>119</v>
      </c>
      <c r="N9" s="103" t="s">
        <v>579</v>
      </c>
      <c r="O9" s="123"/>
      <c r="P9" s="105">
        <v>40.0</v>
      </c>
      <c r="Q9" s="106" t="s">
        <v>580</v>
      </c>
      <c r="R9" s="107" t="s">
        <v>163</v>
      </c>
      <c r="S9" s="105">
        <v>4.0</v>
      </c>
      <c r="T9" s="108">
        <v>10.0</v>
      </c>
      <c r="U9" s="108">
        <v>12.0</v>
      </c>
      <c r="V9" s="108">
        <v>14.0</v>
      </c>
      <c r="W9" s="109" t="s">
        <v>556</v>
      </c>
      <c r="X9" s="101" t="s">
        <v>558</v>
      </c>
      <c r="Y9" s="100" t="s">
        <v>559</v>
      </c>
      <c r="Z9" s="101" t="s">
        <v>560</v>
      </c>
      <c r="AA9" s="100" t="s">
        <v>561</v>
      </c>
      <c r="AB9" s="100" t="s">
        <v>173</v>
      </c>
      <c r="AC9" s="100" t="s">
        <v>128</v>
      </c>
      <c r="AD9" s="100" t="s">
        <v>154</v>
      </c>
      <c r="AE9" s="100" t="s">
        <v>291</v>
      </c>
      <c r="AF9" s="100" t="s">
        <v>210</v>
      </c>
      <c r="AG9" s="144">
        <v>13.0</v>
      </c>
      <c r="AH9" s="147" t="s">
        <v>581</v>
      </c>
      <c r="AI9" s="137" t="s">
        <v>582</v>
      </c>
      <c r="AJ9" s="113">
        <f t="shared" si="1"/>
        <v>44298</v>
      </c>
      <c r="AK9" s="114">
        <f t="shared" si="2"/>
        <v>-416</v>
      </c>
      <c r="AL9" s="115" t="str">
        <f t="shared" si="3"/>
        <v>Reporte ok</v>
      </c>
      <c r="AM9" s="115"/>
      <c r="AN9" s="116"/>
    </row>
    <row r="10" ht="67.5" customHeight="1">
      <c r="A10" s="37"/>
      <c r="B10" s="100">
        <v>96.0</v>
      </c>
      <c r="C10" s="100" t="s">
        <v>277</v>
      </c>
      <c r="D10" s="100" t="s">
        <v>556</v>
      </c>
      <c r="E10" s="100" t="s">
        <v>279</v>
      </c>
      <c r="F10" s="100">
        <v>2.01901100028E12</v>
      </c>
      <c r="G10" s="101" t="s">
        <v>280</v>
      </c>
      <c r="H10" s="100" t="s">
        <v>281</v>
      </c>
      <c r="I10" s="100" t="s">
        <v>293</v>
      </c>
      <c r="J10" s="100" t="s">
        <v>310</v>
      </c>
      <c r="K10" s="102" t="s">
        <v>117</v>
      </c>
      <c r="L10" s="102" t="s">
        <v>118</v>
      </c>
      <c r="M10" s="102" t="s">
        <v>119</v>
      </c>
      <c r="N10" s="103" t="s">
        <v>295</v>
      </c>
      <c r="O10" s="104">
        <v>-3.0</v>
      </c>
      <c r="P10" s="105">
        <v>2.0</v>
      </c>
      <c r="Q10" s="106" t="s">
        <v>312</v>
      </c>
      <c r="R10" s="107" t="s">
        <v>163</v>
      </c>
      <c r="S10" s="105">
        <v>0.0</v>
      </c>
      <c r="T10" s="108">
        <v>1.0</v>
      </c>
      <c r="U10" s="108">
        <v>1.0</v>
      </c>
      <c r="V10" s="108">
        <v>0.0</v>
      </c>
      <c r="W10" s="109" t="s">
        <v>556</v>
      </c>
      <c r="X10" s="101" t="s">
        <v>558</v>
      </c>
      <c r="Y10" s="100" t="s">
        <v>559</v>
      </c>
      <c r="Z10" s="101" t="s">
        <v>560</v>
      </c>
      <c r="AA10" s="100" t="s">
        <v>561</v>
      </c>
      <c r="AB10" s="100" t="s">
        <v>173</v>
      </c>
      <c r="AC10" s="100" t="s">
        <v>343</v>
      </c>
      <c r="AD10" s="100" t="s">
        <v>154</v>
      </c>
      <c r="AE10" s="100" t="s">
        <v>291</v>
      </c>
      <c r="AF10" s="100" t="s">
        <v>210</v>
      </c>
      <c r="AG10" s="144">
        <v>0.0</v>
      </c>
      <c r="AH10" s="147" t="s">
        <v>583</v>
      </c>
      <c r="AI10" s="140" t="s">
        <v>584</v>
      </c>
      <c r="AJ10" s="113">
        <f t="shared" si="1"/>
        <v>44298</v>
      </c>
      <c r="AK10" s="114">
        <f t="shared" si="2"/>
        <v>-416</v>
      </c>
      <c r="AL10" s="115" t="str">
        <f t="shared" si="3"/>
        <v>Reporte ok</v>
      </c>
      <c r="AM10" s="115"/>
      <c r="AN10" s="116"/>
    </row>
    <row r="11" ht="67.5" customHeight="1">
      <c r="A11" s="37"/>
      <c r="B11" s="100">
        <v>97.0</v>
      </c>
      <c r="C11" s="100" t="s">
        <v>277</v>
      </c>
      <c r="D11" s="100" t="s">
        <v>556</v>
      </c>
      <c r="E11" s="100" t="s">
        <v>279</v>
      </c>
      <c r="F11" s="100">
        <v>2.01901100028E12</v>
      </c>
      <c r="G11" s="101" t="s">
        <v>280</v>
      </c>
      <c r="H11" s="100" t="s">
        <v>281</v>
      </c>
      <c r="I11" s="100" t="s">
        <v>293</v>
      </c>
      <c r="J11" s="100" t="s">
        <v>294</v>
      </c>
      <c r="K11" s="102" t="s">
        <v>117</v>
      </c>
      <c r="L11" s="102" t="s">
        <v>118</v>
      </c>
      <c r="M11" s="102" t="s">
        <v>119</v>
      </c>
      <c r="N11" s="103" t="s">
        <v>295</v>
      </c>
      <c r="O11" s="104">
        <v>-3.0</v>
      </c>
      <c r="P11" s="105">
        <v>1.0</v>
      </c>
      <c r="Q11" s="106" t="s">
        <v>585</v>
      </c>
      <c r="R11" s="107" t="s">
        <v>163</v>
      </c>
      <c r="S11" s="105">
        <v>0.0</v>
      </c>
      <c r="T11" s="108">
        <v>0.0</v>
      </c>
      <c r="U11" s="108">
        <v>0.0</v>
      </c>
      <c r="V11" s="108">
        <v>1.0</v>
      </c>
      <c r="W11" s="109" t="s">
        <v>556</v>
      </c>
      <c r="X11" s="101" t="s">
        <v>558</v>
      </c>
      <c r="Y11" s="100" t="s">
        <v>559</v>
      </c>
      <c r="Z11" s="101" t="s">
        <v>560</v>
      </c>
      <c r="AA11" s="100" t="s">
        <v>561</v>
      </c>
      <c r="AB11" s="100" t="s">
        <v>173</v>
      </c>
      <c r="AC11" s="100" t="s">
        <v>343</v>
      </c>
      <c r="AD11" s="100" t="s">
        <v>154</v>
      </c>
      <c r="AE11" s="100" t="s">
        <v>291</v>
      </c>
      <c r="AF11" s="100" t="s">
        <v>210</v>
      </c>
      <c r="AG11" s="144">
        <v>0.0</v>
      </c>
      <c r="AH11" s="147" t="s">
        <v>586</v>
      </c>
      <c r="AI11" s="140" t="s">
        <v>584</v>
      </c>
      <c r="AJ11" s="113">
        <f t="shared" si="1"/>
        <v>44298</v>
      </c>
      <c r="AK11" s="114">
        <f t="shared" si="2"/>
        <v>-416</v>
      </c>
      <c r="AL11" s="115" t="str">
        <f t="shared" si="3"/>
        <v>Reporte ok</v>
      </c>
      <c r="AM11" s="115"/>
      <c r="AN11" s="116"/>
    </row>
    <row r="12" ht="67.5" customHeight="1">
      <c r="A12" s="37"/>
      <c r="B12" s="119"/>
      <c r="C12" s="119"/>
      <c r="D12" s="119"/>
      <c r="E12" s="119"/>
      <c r="F12" s="119"/>
      <c r="G12" s="120"/>
      <c r="H12" s="119"/>
      <c r="I12" s="119"/>
      <c r="J12" s="119"/>
      <c r="K12" s="121"/>
      <c r="L12" s="121"/>
      <c r="M12" s="121"/>
      <c r="N12" s="122"/>
      <c r="O12" s="123"/>
      <c r="P12" s="124"/>
      <c r="Q12" s="125"/>
      <c r="R12" s="126"/>
      <c r="S12" s="124"/>
      <c r="T12" s="127"/>
      <c r="U12" s="127"/>
      <c r="V12" s="127"/>
      <c r="W12" s="128"/>
      <c r="X12" s="120"/>
      <c r="Y12" s="119"/>
      <c r="Z12" s="120"/>
      <c r="AA12" s="119"/>
      <c r="AB12" s="119"/>
      <c r="AC12" s="119"/>
      <c r="AD12" s="119"/>
      <c r="AE12" s="119"/>
      <c r="AF12" s="119"/>
      <c r="AG12" s="129"/>
      <c r="AH12" s="129"/>
      <c r="AI12" s="112"/>
      <c r="AJ12" s="113"/>
      <c r="AK12" s="114"/>
      <c r="AL12" s="115"/>
      <c r="AM12" s="115"/>
      <c r="AN12" s="116"/>
    </row>
    <row r="13" ht="67.5" customHeight="1">
      <c r="A13" s="37"/>
      <c r="B13" s="119"/>
      <c r="C13" s="119"/>
      <c r="D13" s="119"/>
      <c r="E13" s="119"/>
      <c r="F13" s="119"/>
      <c r="G13" s="120"/>
      <c r="H13" s="119"/>
      <c r="I13" s="119"/>
      <c r="J13" s="119"/>
      <c r="K13" s="121"/>
      <c r="L13" s="121"/>
      <c r="M13" s="121"/>
      <c r="N13" s="122"/>
      <c r="O13" s="123"/>
      <c r="P13" s="124"/>
      <c r="Q13" s="125"/>
      <c r="R13" s="126"/>
      <c r="S13" s="124"/>
      <c r="T13" s="127"/>
      <c r="U13" s="127"/>
      <c r="V13" s="127"/>
      <c r="W13" s="128"/>
      <c r="X13" s="120"/>
      <c r="Y13" s="119"/>
      <c r="Z13" s="120"/>
      <c r="AA13" s="119"/>
      <c r="AB13" s="119"/>
      <c r="AC13" s="119"/>
      <c r="AD13" s="119"/>
      <c r="AE13" s="119"/>
      <c r="AF13" s="119"/>
      <c r="AG13" s="129"/>
      <c r="AH13" s="129"/>
      <c r="AI13" s="112"/>
      <c r="AJ13" s="113"/>
      <c r="AK13" s="114"/>
      <c r="AL13" s="115"/>
      <c r="AM13" s="115"/>
      <c r="AN13" s="116"/>
    </row>
    <row r="14" ht="15.75" customHeight="1"/>
  </sheetData>
  <autoFilter ref="$A$3:$AN$13"/>
  <mergeCells count="2">
    <mergeCell ref="B1:C1"/>
    <mergeCell ref="AG2:AM2"/>
  </mergeCells>
  <conditionalFormatting sqref="AK4:AK13">
    <cfRule type="cellIs" dxfId="2" priority="1" operator="greaterThan">
      <formula>0</formula>
    </cfRule>
  </conditionalFormatting>
  <conditionalFormatting sqref="AK4:AK13">
    <cfRule type="cellIs" dxfId="3" priority="2" operator="lessThan">
      <formula>0</formula>
    </cfRule>
  </conditionalFormatting>
  <dataValidations>
    <dataValidation type="decimal" allowBlank="1" showDropDown="1" showInputMessage="1" showErrorMessage="1" prompt="Recuerde que debe ingresar un valor numérico o porcentaje" sqref="AG4:AG13">
      <formula1>0.0</formula1>
      <formula2>5000000.0</formula2>
    </dataValidation>
  </dataValidations>
  <hyperlinks>
    <hyperlink display="Home" location="Home!A1" ref="B1"/>
    <hyperlink r:id="rId1" ref="AI4"/>
    <hyperlink r:id="rId2" ref="AI5"/>
    <hyperlink r:id="rId3" ref="AI6"/>
    <hyperlink r:id="rId4" ref="AI7"/>
    <hyperlink r:id="rId5" ref="AI8"/>
    <hyperlink r:id="rId6" ref="AI9"/>
  </hyperlinks>
  <printOptions gridLines="1" horizontalCentered="1"/>
  <pageMargins bottom="0.75" footer="0.0" header="0.0" left="0.7" right="0.7" top="0.75"/>
  <pageSetup cellComments="atEnd" orientation="portrait" pageOrder="overThenDown"/>
  <drawing r:id="rId7"/>
</worksheet>
</file>

<file path=xl/worksheets/sheet2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t="str">
        <f>AN1/AM1</f>
        <v>#VALUE!</v>
      </c>
      <c r="AI1" s="87" t="s">
        <v>108</v>
      </c>
      <c r="AJ1" s="88">
        <v>43466.0</v>
      </c>
      <c r="AK1" s="89">
        <f>Alertas!B6</f>
        <v>44298</v>
      </c>
      <c r="AL1" s="88">
        <f>TODAY()-1</f>
        <v>44714</v>
      </c>
      <c r="AM1" s="87">
        <v>12.0</v>
      </c>
      <c r="AN1" s="150" t="s">
        <v>587</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115.0</v>
      </c>
      <c r="C4" s="100" t="s">
        <v>331</v>
      </c>
      <c r="D4" s="100" t="s">
        <v>588</v>
      </c>
      <c r="E4" s="100" t="s">
        <v>279</v>
      </c>
      <c r="F4" s="100">
        <v>2.01901100028E12</v>
      </c>
      <c r="G4" s="101" t="s">
        <v>280</v>
      </c>
      <c r="H4" s="100" t="s">
        <v>281</v>
      </c>
      <c r="I4" s="100" t="s">
        <v>282</v>
      </c>
      <c r="J4" s="100" t="s">
        <v>283</v>
      </c>
      <c r="K4" s="102" t="s">
        <v>117</v>
      </c>
      <c r="L4" s="102" t="s">
        <v>118</v>
      </c>
      <c r="M4" s="102" t="s">
        <v>119</v>
      </c>
      <c r="N4" s="103" t="s">
        <v>568</v>
      </c>
      <c r="O4" s="123"/>
      <c r="P4" s="105">
        <v>750.0</v>
      </c>
      <c r="Q4" s="106" t="s">
        <v>589</v>
      </c>
      <c r="R4" s="107" t="s">
        <v>163</v>
      </c>
      <c r="S4" s="105">
        <v>120.0</v>
      </c>
      <c r="T4" s="108">
        <v>110.0</v>
      </c>
      <c r="U4" s="108">
        <v>260.0</v>
      </c>
      <c r="V4" s="108">
        <v>260.0</v>
      </c>
      <c r="W4" s="109" t="s">
        <v>590</v>
      </c>
      <c r="X4" s="101" t="s">
        <v>591</v>
      </c>
      <c r="Y4" s="100" t="s">
        <v>592</v>
      </c>
      <c r="Z4" s="101" t="s">
        <v>593</v>
      </c>
      <c r="AA4" s="100" t="s">
        <v>152</v>
      </c>
      <c r="AB4" s="100" t="s">
        <v>173</v>
      </c>
      <c r="AC4" s="100" t="s">
        <v>128</v>
      </c>
      <c r="AD4" s="100" t="s">
        <v>154</v>
      </c>
      <c r="AE4" s="100" t="s">
        <v>291</v>
      </c>
      <c r="AF4" s="100" t="s">
        <v>210</v>
      </c>
      <c r="AG4" s="144">
        <v>57.0</v>
      </c>
      <c r="AH4" s="111" t="s">
        <v>594</v>
      </c>
      <c r="AI4" s="117" t="s">
        <v>595</v>
      </c>
      <c r="AJ4" s="113">
        <f t="shared" ref="AJ4:AJ13" si="1">$AK$1</f>
        <v>44298</v>
      </c>
      <c r="AK4" s="114">
        <f t="shared" ref="AK4:AK13" si="2">AJ4-$AL$1</f>
        <v>-416</v>
      </c>
      <c r="AL4" s="115" t="str">
        <f>IF(ISBLANK(AG4),"Pendiente Ejecución"&amp;CHAR(10),)&amp;IF(ISBLANK(#REF!),"Pendiente Justificación"&amp;CHAR(10),)&amp;IF(ISBLANK(AI4),"Pendiente Evidencia",)&amp;IF(OR(ISBLANK(AG4),ISBLANK(#REF!),ISBLANK(AI4)),,"Reporte ok")</f>
        <v>Reporte ok</v>
      </c>
      <c r="AM4" s="146" t="s">
        <v>268</v>
      </c>
      <c r="AN4" s="116"/>
    </row>
    <row r="5" ht="67.5" customHeight="1">
      <c r="A5" s="37"/>
      <c r="B5" s="100">
        <v>116.0</v>
      </c>
      <c r="C5" s="100" t="s">
        <v>331</v>
      </c>
      <c r="D5" s="100" t="s">
        <v>588</v>
      </c>
      <c r="E5" s="100" t="s">
        <v>279</v>
      </c>
      <c r="F5" s="100">
        <v>2.01901100028E12</v>
      </c>
      <c r="G5" s="101" t="s">
        <v>280</v>
      </c>
      <c r="H5" s="100" t="s">
        <v>281</v>
      </c>
      <c r="I5" s="100" t="s">
        <v>596</v>
      </c>
      <c r="J5" s="100" t="s">
        <v>302</v>
      </c>
      <c r="K5" s="102" t="s">
        <v>117</v>
      </c>
      <c r="L5" s="102" t="s">
        <v>118</v>
      </c>
      <c r="M5" s="102" t="s">
        <v>119</v>
      </c>
      <c r="N5" s="103" t="s">
        <v>597</v>
      </c>
      <c r="O5" s="123"/>
      <c r="P5" s="105">
        <v>6100000.0</v>
      </c>
      <c r="Q5" s="106" t="s">
        <v>598</v>
      </c>
      <c r="R5" s="107" t="s">
        <v>163</v>
      </c>
      <c r="S5" s="105">
        <v>600000.0</v>
      </c>
      <c r="T5" s="108">
        <v>1500000.0</v>
      </c>
      <c r="U5" s="108">
        <v>2000000.0</v>
      </c>
      <c r="V5" s="108">
        <v>2000000.0</v>
      </c>
      <c r="W5" s="109" t="s">
        <v>590</v>
      </c>
      <c r="X5" s="101" t="s">
        <v>591</v>
      </c>
      <c r="Y5" s="100" t="s">
        <v>592</v>
      </c>
      <c r="Z5" s="101" t="s">
        <v>593</v>
      </c>
      <c r="AA5" s="100" t="s">
        <v>152</v>
      </c>
      <c r="AB5" s="100" t="s">
        <v>173</v>
      </c>
      <c r="AC5" s="100" t="s">
        <v>290</v>
      </c>
      <c r="AD5" s="100" t="s">
        <v>154</v>
      </c>
      <c r="AE5" s="100" t="s">
        <v>291</v>
      </c>
      <c r="AF5" s="100" t="s">
        <v>210</v>
      </c>
      <c r="AG5" s="144">
        <v>0.0</v>
      </c>
      <c r="AH5" s="111" t="s">
        <v>599</v>
      </c>
      <c r="AI5" s="117" t="s">
        <v>595</v>
      </c>
      <c r="AJ5" s="113">
        <f t="shared" si="1"/>
        <v>44298</v>
      </c>
      <c r="AK5" s="114">
        <f t="shared" si="2"/>
        <v>-416</v>
      </c>
      <c r="AL5" s="115" t="str">
        <f>IF(ISBLANK(AG5),"Pendiente Ejecución"&amp;CHAR(10),)&amp;IF(ISBLANK(AH4),"Pendiente Justificación"&amp;CHAR(10),)&amp;IF(ISBLANK(AI5),"Pendiente Evidencia",)&amp;IF(OR(ISBLANK(AG5),ISBLANK(AH4),ISBLANK(AI5)),,"Reporte ok")</f>
        <v>Reporte ok</v>
      </c>
      <c r="AM5" s="146" t="s">
        <v>268</v>
      </c>
      <c r="AN5" s="116"/>
    </row>
    <row r="6" ht="67.5" customHeight="1">
      <c r="A6" s="37"/>
      <c r="B6" s="100">
        <v>117.0</v>
      </c>
      <c r="C6" s="100" t="s">
        <v>331</v>
      </c>
      <c r="D6" s="100" t="s">
        <v>588</v>
      </c>
      <c r="E6" s="100" t="s">
        <v>279</v>
      </c>
      <c r="F6" s="100">
        <v>2.01901100028E12</v>
      </c>
      <c r="G6" s="101" t="s">
        <v>280</v>
      </c>
      <c r="H6" s="100" t="s">
        <v>281</v>
      </c>
      <c r="I6" s="100" t="s">
        <v>600</v>
      </c>
      <c r="J6" s="100" t="s">
        <v>305</v>
      </c>
      <c r="K6" s="102" t="s">
        <v>117</v>
      </c>
      <c r="L6" s="102" t="s">
        <v>118</v>
      </c>
      <c r="M6" s="102" t="s">
        <v>119</v>
      </c>
      <c r="N6" s="103" t="s">
        <v>338</v>
      </c>
      <c r="O6" s="123"/>
      <c r="P6" s="105">
        <v>7.0</v>
      </c>
      <c r="Q6" s="106" t="s">
        <v>601</v>
      </c>
      <c r="R6" s="107" t="s">
        <v>163</v>
      </c>
      <c r="S6" s="105">
        <v>1.0</v>
      </c>
      <c r="T6" s="108">
        <v>1.0</v>
      </c>
      <c r="U6" s="108">
        <v>2.0</v>
      </c>
      <c r="V6" s="108">
        <v>3.0</v>
      </c>
      <c r="W6" s="109" t="s">
        <v>590</v>
      </c>
      <c r="X6" s="101" t="s">
        <v>591</v>
      </c>
      <c r="Y6" s="100" t="s">
        <v>592</v>
      </c>
      <c r="Z6" s="101" t="s">
        <v>593</v>
      </c>
      <c r="AA6" s="100" t="s">
        <v>152</v>
      </c>
      <c r="AB6" s="100" t="s">
        <v>173</v>
      </c>
      <c r="AC6" s="100" t="s">
        <v>128</v>
      </c>
      <c r="AD6" s="100" t="s">
        <v>154</v>
      </c>
      <c r="AE6" s="100" t="s">
        <v>291</v>
      </c>
      <c r="AF6" s="100" t="s">
        <v>210</v>
      </c>
      <c r="AG6" s="144">
        <v>0.0</v>
      </c>
      <c r="AH6" s="111" t="s">
        <v>594</v>
      </c>
      <c r="AI6" s="117" t="s">
        <v>595</v>
      </c>
      <c r="AJ6" s="113">
        <f t="shared" si="1"/>
        <v>44298</v>
      </c>
      <c r="AK6" s="114">
        <f t="shared" si="2"/>
        <v>-416</v>
      </c>
      <c r="AL6" s="115" t="str">
        <f t="shared" ref="AL6:AL13" si="3">IF(ISBLANK(AG6),"Pendiente Ejecución"&amp;CHAR(10),)&amp;IF(ISBLANK(AH6),"Pendiente Justificación"&amp;CHAR(10),)&amp;IF(ISBLANK(AI6),"Pendiente Evidencia",)&amp;IF(OR(ISBLANK(AG6),ISBLANK(AH6),ISBLANK(AI6)),,"Reporte ok")</f>
        <v>Reporte ok</v>
      </c>
      <c r="AM6" s="146" t="s">
        <v>268</v>
      </c>
      <c r="AN6" s="116"/>
    </row>
    <row r="7" ht="67.5" customHeight="1">
      <c r="A7" s="37"/>
      <c r="B7" s="100">
        <v>118.0</v>
      </c>
      <c r="C7" s="100" t="s">
        <v>331</v>
      </c>
      <c r="D7" s="100" t="s">
        <v>588</v>
      </c>
      <c r="E7" s="100" t="s">
        <v>279</v>
      </c>
      <c r="F7" s="100">
        <v>2.01901100028E12</v>
      </c>
      <c r="G7" s="101" t="s">
        <v>280</v>
      </c>
      <c r="H7" s="100" t="s">
        <v>281</v>
      </c>
      <c r="I7" s="100" t="s">
        <v>282</v>
      </c>
      <c r="J7" s="100" t="s">
        <v>324</v>
      </c>
      <c r="K7" s="102" t="s">
        <v>141</v>
      </c>
      <c r="L7" s="102" t="s">
        <v>118</v>
      </c>
      <c r="M7" s="102" t="s">
        <v>119</v>
      </c>
      <c r="N7" s="103" t="s">
        <v>579</v>
      </c>
      <c r="O7" s="123"/>
      <c r="P7" s="105">
        <v>90.0</v>
      </c>
      <c r="Q7" s="106" t="s">
        <v>602</v>
      </c>
      <c r="R7" s="107" t="s">
        <v>163</v>
      </c>
      <c r="S7" s="105">
        <v>15.0</v>
      </c>
      <c r="T7" s="108">
        <v>20.0</v>
      </c>
      <c r="U7" s="108">
        <v>30.0</v>
      </c>
      <c r="V7" s="108">
        <v>25.0</v>
      </c>
      <c r="W7" s="109" t="s">
        <v>590</v>
      </c>
      <c r="X7" s="101" t="s">
        <v>591</v>
      </c>
      <c r="Y7" s="100" t="s">
        <v>592</v>
      </c>
      <c r="Z7" s="101" t="s">
        <v>593</v>
      </c>
      <c r="AA7" s="100" t="s">
        <v>152</v>
      </c>
      <c r="AB7" s="100" t="s">
        <v>173</v>
      </c>
      <c r="AC7" s="100" t="s">
        <v>128</v>
      </c>
      <c r="AD7" s="100" t="s">
        <v>154</v>
      </c>
      <c r="AE7" s="100" t="s">
        <v>291</v>
      </c>
      <c r="AF7" s="100" t="s">
        <v>210</v>
      </c>
      <c r="AG7" s="144">
        <v>4.0</v>
      </c>
      <c r="AH7" s="111" t="s">
        <v>603</v>
      </c>
      <c r="AI7" s="137" t="s">
        <v>595</v>
      </c>
      <c r="AJ7" s="113">
        <f t="shared" si="1"/>
        <v>44298</v>
      </c>
      <c r="AK7" s="114">
        <f t="shared" si="2"/>
        <v>-416</v>
      </c>
      <c r="AL7" s="115" t="str">
        <f t="shared" si="3"/>
        <v>Reporte ok</v>
      </c>
      <c r="AM7" s="146" t="s">
        <v>268</v>
      </c>
      <c r="AN7" s="116"/>
    </row>
    <row r="8" ht="67.5" customHeight="1">
      <c r="A8" s="37"/>
      <c r="B8" s="100">
        <v>119.0</v>
      </c>
      <c r="C8" s="100" t="s">
        <v>331</v>
      </c>
      <c r="D8" s="100" t="s">
        <v>588</v>
      </c>
      <c r="E8" s="100" t="s">
        <v>279</v>
      </c>
      <c r="F8" s="100">
        <v>2.01901100028E12</v>
      </c>
      <c r="G8" s="101" t="s">
        <v>280</v>
      </c>
      <c r="H8" s="100" t="s">
        <v>281</v>
      </c>
      <c r="I8" s="100" t="s">
        <v>282</v>
      </c>
      <c r="J8" s="100" t="s">
        <v>324</v>
      </c>
      <c r="K8" s="102" t="s">
        <v>141</v>
      </c>
      <c r="L8" s="102" t="s">
        <v>118</v>
      </c>
      <c r="M8" s="102" t="s">
        <v>119</v>
      </c>
      <c r="N8" s="103" t="s">
        <v>604</v>
      </c>
      <c r="O8" s="123"/>
      <c r="P8" s="105">
        <v>35.0</v>
      </c>
      <c r="Q8" s="106" t="s">
        <v>605</v>
      </c>
      <c r="R8" s="107" t="s">
        <v>163</v>
      </c>
      <c r="S8" s="105">
        <v>6.0</v>
      </c>
      <c r="T8" s="108">
        <v>8.0</v>
      </c>
      <c r="U8" s="108">
        <v>10.0</v>
      </c>
      <c r="V8" s="108">
        <v>11.0</v>
      </c>
      <c r="W8" s="109" t="s">
        <v>590</v>
      </c>
      <c r="X8" s="101" t="s">
        <v>591</v>
      </c>
      <c r="Y8" s="100" t="s">
        <v>592</v>
      </c>
      <c r="Z8" s="101" t="s">
        <v>593</v>
      </c>
      <c r="AA8" s="100" t="s">
        <v>152</v>
      </c>
      <c r="AB8" s="100" t="s">
        <v>173</v>
      </c>
      <c r="AC8" s="100" t="s">
        <v>128</v>
      </c>
      <c r="AD8" s="100" t="s">
        <v>154</v>
      </c>
      <c r="AE8" s="100" t="s">
        <v>291</v>
      </c>
      <c r="AF8" s="100" t="s">
        <v>210</v>
      </c>
      <c r="AG8" s="144">
        <v>1.0</v>
      </c>
      <c r="AH8" s="111" t="s">
        <v>603</v>
      </c>
      <c r="AI8" s="137" t="s">
        <v>606</v>
      </c>
      <c r="AJ8" s="113">
        <f t="shared" si="1"/>
        <v>44298</v>
      </c>
      <c r="AK8" s="114">
        <f t="shared" si="2"/>
        <v>-416</v>
      </c>
      <c r="AL8" s="115" t="str">
        <f t="shared" si="3"/>
        <v>Reporte ok</v>
      </c>
      <c r="AM8" s="146" t="s">
        <v>268</v>
      </c>
      <c r="AN8" s="116"/>
    </row>
    <row r="9" ht="67.5" customHeight="1">
      <c r="A9" s="37"/>
      <c r="B9" s="100">
        <v>120.0</v>
      </c>
      <c r="C9" s="100" t="s">
        <v>331</v>
      </c>
      <c r="D9" s="100" t="s">
        <v>588</v>
      </c>
      <c r="E9" s="100" t="s">
        <v>279</v>
      </c>
      <c r="F9" s="100">
        <v>2.01901100028E12</v>
      </c>
      <c r="G9" s="101" t="s">
        <v>280</v>
      </c>
      <c r="H9" s="100" t="s">
        <v>281</v>
      </c>
      <c r="I9" s="100" t="s">
        <v>282</v>
      </c>
      <c r="J9" s="100" t="s">
        <v>283</v>
      </c>
      <c r="K9" s="102" t="s">
        <v>141</v>
      </c>
      <c r="L9" s="102" t="s">
        <v>118</v>
      </c>
      <c r="M9" s="102" t="s">
        <v>119</v>
      </c>
      <c r="N9" s="103" t="s">
        <v>607</v>
      </c>
      <c r="O9" s="123"/>
      <c r="P9" s="105">
        <v>800.0</v>
      </c>
      <c r="Q9" s="106" t="s">
        <v>608</v>
      </c>
      <c r="R9" s="107" t="s">
        <v>163</v>
      </c>
      <c r="S9" s="105">
        <v>200.0</v>
      </c>
      <c r="T9" s="108">
        <v>200.0</v>
      </c>
      <c r="U9" s="108">
        <v>250.0</v>
      </c>
      <c r="V9" s="108">
        <v>150.0</v>
      </c>
      <c r="W9" s="109" t="s">
        <v>590</v>
      </c>
      <c r="X9" s="101" t="s">
        <v>591</v>
      </c>
      <c r="Y9" s="100" t="s">
        <v>592</v>
      </c>
      <c r="Z9" s="101" t="s">
        <v>593</v>
      </c>
      <c r="AA9" s="100" t="s">
        <v>152</v>
      </c>
      <c r="AB9" s="100" t="s">
        <v>173</v>
      </c>
      <c r="AC9" s="100" t="s">
        <v>128</v>
      </c>
      <c r="AD9" s="100" t="s">
        <v>154</v>
      </c>
      <c r="AE9" s="100" t="s">
        <v>609</v>
      </c>
      <c r="AF9" s="100" t="s">
        <v>210</v>
      </c>
      <c r="AG9" s="144">
        <v>100.0</v>
      </c>
      <c r="AH9" s="111" t="s">
        <v>610</v>
      </c>
      <c r="AI9" s="117" t="s">
        <v>595</v>
      </c>
      <c r="AJ9" s="113">
        <f t="shared" si="1"/>
        <v>44298</v>
      </c>
      <c r="AK9" s="114">
        <f t="shared" si="2"/>
        <v>-416</v>
      </c>
      <c r="AL9" s="115" t="str">
        <f t="shared" si="3"/>
        <v>Reporte ok</v>
      </c>
      <c r="AM9" s="146" t="s">
        <v>268</v>
      </c>
      <c r="AN9" s="116"/>
    </row>
    <row r="10" ht="67.5" customHeight="1">
      <c r="A10" s="37"/>
      <c r="B10" s="100">
        <v>121.0</v>
      </c>
      <c r="C10" s="100" t="s">
        <v>331</v>
      </c>
      <c r="D10" s="100" t="s">
        <v>588</v>
      </c>
      <c r="E10" s="100" t="s">
        <v>333</v>
      </c>
      <c r="F10" s="100">
        <v>2.019011000276E12</v>
      </c>
      <c r="G10" s="101" t="s">
        <v>334</v>
      </c>
      <c r="H10" s="100" t="s">
        <v>345</v>
      </c>
      <c r="I10" s="100" t="s">
        <v>346</v>
      </c>
      <c r="J10" s="100" t="s">
        <v>347</v>
      </c>
      <c r="K10" s="102" t="s">
        <v>117</v>
      </c>
      <c r="L10" s="102" t="s">
        <v>118</v>
      </c>
      <c r="M10" s="102" t="s">
        <v>119</v>
      </c>
      <c r="N10" s="103" t="s">
        <v>348</v>
      </c>
      <c r="O10" s="123"/>
      <c r="P10" s="105">
        <v>510.0</v>
      </c>
      <c r="Q10" s="106" t="s">
        <v>611</v>
      </c>
      <c r="R10" s="107" t="s">
        <v>163</v>
      </c>
      <c r="S10" s="105">
        <v>106.0</v>
      </c>
      <c r="T10" s="108">
        <v>165.0</v>
      </c>
      <c r="U10" s="108">
        <v>110.0</v>
      </c>
      <c r="V10" s="108">
        <v>129.0</v>
      </c>
      <c r="W10" s="109" t="s">
        <v>590</v>
      </c>
      <c r="X10" s="101" t="s">
        <v>591</v>
      </c>
      <c r="Y10" s="100" t="s">
        <v>592</v>
      </c>
      <c r="Z10" s="101" t="s">
        <v>593</v>
      </c>
      <c r="AA10" s="100" t="s">
        <v>152</v>
      </c>
      <c r="AB10" s="100" t="s">
        <v>173</v>
      </c>
      <c r="AC10" s="100" t="s">
        <v>128</v>
      </c>
      <c r="AD10" s="100" t="s">
        <v>154</v>
      </c>
      <c r="AE10" s="100" t="s">
        <v>291</v>
      </c>
      <c r="AF10" s="100" t="s">
        <v>210</v>
      </c>
      <c r="AG10" s="144">
        <v>78.0</v>
      </c>
      <c r="AH10" s="111" t="s">
        <v>612</v>
      </c>
      <c r="AI10" s="117" t="s">
        <v>595</v>
      </c>
      <c r="AJ10" s="113">
        <f t="shared" si="1"/>
        <v>44298</v>
      </c>
      <c r="AK10" s="114">
        <f t="shared" si="2"/>
        <v>-416</v>
      </c>
      <c r="AL10" s="115" t="str">
        <f t="shared" si="3"/>
        <v>Reporte ok</v>
      </c>
      <c r="AM10" s="146" t="s">
        <v>268</v>
      </c>
      <c r="AN10" s="116"/>
    </row>
    <row r="11" ht="67.5" customHeight="1">
      <c r="A11" s="37"/>
      <c r="B11" s="100">
        <v>122.0</v>
      </c>
      <c r="C11" s="100" t="s">
        <v>331</v>
      </c>
      <c r="D11" s="100" t="s">
        <v>588</v>
      </c>
      <c r="E11" s="100" t="s">
        <v>279</v>
      </c>
      <c r="F11" s="100">
        <v>2.01901100028E12</v>
      </c>
      <c r="G11" s="101" t="s">
        <v>280</v>
      </c>
      <c r="H11" s="100" t="s">
        <v>281</v>
      </c>
      <c r="I11" s="100" t="s">
        <v>293</v>
      </c>
      <c r="J11" s="100" t="s">
        <v>298</v>
      </c>
      <c r="K11" s="102" t="s">
        <v>141</v>
      </c>
      <c r="L11" s="102" t="s">
        <v>118</v>
      </c>
      <c r="M11" s="102" t="s">
        <v>119</v>
      </c>
      <c r="N11" s="103" t="s">
        <v>613</v>
      </c>
      <c r="O11" s="123"/>
      <c r="P11" s="105">
        <v>1450000.0</v>
      </c>
      <c r="Q11" s="106" t="s">
        <v>614</v>
      </c>
      <c r="R11" s="107" t="s">
        <v>163</v>
      </c>
      <c r="S11" s="105">
        <v>150000.0</v>
      </c>
      <c r="T11" s="108">
        <v>300000.0</v>
      </c>
      <c r="U11" s="108">
        <v>500000.0</v>
      </c>
      <c r="V11" s="108">
        <v>500000.0</v>
      </c>
      <c r="W11" s="109" t="s">
        <v>590</v>
      </c>
      <c r="X11" s="101" t="s">
        <v>591</v>
      </c>
      <c r="Y11" s="100" t="s">
        <v>592</v>
      </c>
      <c r="Z11" s="101" t="s">
        <v>593</v>
      </c>
      <c r="AA11" s="100" t="s">
        <v>152</v>
      </c>
      <c r="AB11" s="100" t="s">
        <v>173</v>
      </c>
      <c r="AC11" s="100" t="s">
        <v>128</v>
      </c>
      <c r="AD11" s="100" t="s">
        <v>154</v>
      </c>
      <c r="AE11" s="100" t="s">
        <v>291</v>
      </c>
      <c r="AF11" s="100" t="s">
        <v>210</v>
      </c>
      <c r="AG11" s="144">
        <v>0.0</v>
      </c>
      <c r="AH11" s="111" t="s">
        <v>615</v>
      </c>
      <c r="AI11" s="117" t="s">
        <v>595</v>
      </c>
      <c r="AJ11" s="113">
        <f t="shared" si="1"/>
        <v>44298</v>
      </c>
      <c r="AK11" s="114">
        <f t="shared" si="2"/>
        <v>-416</v>
      </c>
      <c r="AL11" s="115" t="str">
        <f t="shared" si="3"/>
        <v>Reporte ok</v>
      </c>
      <c r="AM11" s="146" t="s">
        <v>268</v>
      </c>
      <c r="AN11" s="116"/>
    </row>
    <row r="12" ht="67.5" customHeight="1">
      <c r="A12" s="37"/>
      <c r="B12" s="100">
        <v>123.0</v>
      </c>
      <c r="C12" s="100" t="s">
        <v>331</v>
      </c>
      <c r="D12" s="100" t="s">
        <v>588</v>
      </c>
      <c r="E12" s="100" t="s">
        <v>279</v>
      </c>
      <c r="F12" s="100">
        <v>2.01901100028E12</v>
      </c>
      <c r="G12" s="101" t="s">
        <v>280</v>
      </c>
      <c r="H12" s="100" t="s">
        <v>281</v>
      </c>
      <c r="I12" s="100" t="s">
        <v>297</v>
      </c>
      <c r="J12" s="100" t="s">
        <v>298</v>
      </c>
      <c r="K12" s="102" t="s">
        <v>141</v>
      </c>
      <c r="L12" s="102" t="s">
        <v>118</v>
      </c>
      <c r="M12" s="102" t="s">
        <v>119</v>
      </c>
      <c r="N12" s="103" t="s">
        <v>616</v>
      </c>
      <c r="O12" s="123"/>
      <c r="P12" s="105">
        <v>110000.0</v>
      </c>
      <c r="Q12" s="106" t="s">
        <v>617</v>
      </c>
      <c r="R12" s="107" t="s">
        <v>163</v>
      </c>
      <c r="S12" s="105">
        <v>0.0</v>
      </c>
      <c r="T12" s="108">
        <v>50000.0</v>
      </c>
      <c r="U12" s="108">
        <v>30000.0</v>
      </c>
      <c r="V12" s="108">
        <v>30000.0</v>
      </c>
      <c r="W12" s="109" t="s">
        <v>590</v>
      </c>
      <c r="X12" s="101" t="s">
        <v>591</v>
      </c>
      <c r="Y12" s="100" t="s">
        <v>592</v>
      </c>
      <c r="Z12" s="101" t="s">
        <v>593</v>
      </c>
      <c r="AA12" s="100" t="s">
        <v>152</v>
      </c>
      <c r="AB12" s="100" t="s">
        <v>173</v>
      </c>
      <c r="AC12" s="100" t="s">
        <v>128</v>
      </c>
      <c r="AD12" s="100" t="s">
        <v>154</v>
      </c>
      <c r="AE12" s="100" t="s">
        <v>291</v>
      </c>
      <c r="AF12" s="100" t="s">
        <v>210</v>
      </c>
      <c r="AG12" s="144">
        <v>0.0</v>
      </c>
      <c r="AH12" s="111" t="s">
        <v>615</v>
      </c>
      <c r="AI12" s="117" t="s">
        <v>595</v>
      </c>
      <c r="AJ12" s="113">
        <f t="shared" si="1"/>
        <v>44298</v>
      </c>
      <c r="AK12" s="114">
        <f t="shared" si="2"/>
        <v>-416</v>
      </c>
      <c r="AL12" s="115" t="str">
        <f t="shared" si="3"/>
        <v>Reporte ok</v>
      </c>
      <c r="AM12" s="146" t="s">
        <v>268</v>
      </c>
      <c r="AN12" s="116"/>
    </row>
    <row r="13" ht="67.5" customHeight="1">
      <c r="A13" s="37"/>
      <c r="B13" s="100">
        <v>124.0</v>
      </c>
      <c r="C13" s="100" t="s">
        <v>618</v>
      </c>
      <c r="D13" s="100" t="s">
        <v>588</v>
      </c>
      <c r="E13" s="100" t="s">
        <v>279</v>
      </c>
      <c r="F13" s="100">
        <v>2.01901100028E12</v>
      </c>
      <c r="G13" s="101" t="s">
        <v>280</v>
      </c>
      <c r="H13" s="100" t="s">
        <v>281</v>
      </c>
      <c r="I13" s="100" t="s">
        <v>301</v>
      </c>
      <c r="J13" s="100" t="s">
        <v>305</v>
      </c>
      <c r="K13" s="102" t="s">
        <v>117</v>
      </c>
      <c r="L13" s="102" t="s">
        <v>118</v>
      </c>
      <c r="M13" s="102" t="s">
        <v>119</v>
      </c>
      <c r="N13" s="103" t="s">
        <v>303</v>
      </c>
      <c r="O13" s="123"/>
      <c r="P13" s="105">
        <v>1.0</v>
      </c>
      <c r="Q13" s="106" t="s">
        <v>619</v>
      </c>
      <c r="R13" s="107" t="s">
        <v>121</v>
      </c>
      <c r="S13" s="105">
        <v>0.0</v>
      </c>
      <c r="T13" s="108">
        <v>0.0</v>
      </c>
      <c r="U13" s="108">
        <v>0.0</v>
      </c>
      <c r="V13" s="108">
        <v>1.0</v>
      </c>
      <c r="W13" s="109" t="s">
        <v>590</v>
      </c>
      <c r="X13" s="101" t="s">
        <v>591</v>
      </c>
      <c r="Y13" s="100" t="s">
        <v>592</v>
      </c>
      <c r="Z13" s="101" t="s">
        <v>593</v>
      </c>
      <c r="AA13" s="100" t="s">
        <v>152</v>
      </c>
      <c r="AB13" s="100" t="s">
        <v>173</v>
      </c>
      <c r="AC13" s="100" t="s">
        <v>128</v>
      </c>
      <c r="AD13" s="100" t="s">
        <v>154</v>
      </c>
      <c r="AE13" s="100" t="s">
        <v>291</v>
      </c>
      <c r="AF13" s="100" t="s">
        <v>210</v>
      </c>
      <c r="AG13" s="144">
        <v>0.0</v>
      </c>
      <c r="AH13" s="111" t="s">
        <v>599</v>
      </c>
      <c r="AI13" s="117" t="s">
        <v>595</v>
      </c>
      <c r="AJ13" s="113">
        <f t="shared" si="1"/>
        <v>44298</v>
      </c>
      <c r="AK13" s="114">
        <f t="shared" si="2"/>
        <v>-416</v>
      </c>
      <c r="AL13" s="115" t="str">
        <f t="shared" si="3"/>
        <v>Reporte ok</v>
      </c>
      <c r="AM13" s="146" t="s">
        <v>268</v>
      </c>
      <c r="AN13" s="116"/>
    </row>
    <row r="14" ht="67.5" customHeight="1">
      <c r="A14" s="37"/>
      <c r="B14" s="119"/>
      <c r="C14" s="119"/>
      <c r="D14" s="119"/>
      <c r="E14" s="119"/>
      <c r="F14" s="119"/>
      <c r="G14" s="120"/>
      <c r="H14" s="119"/>
      <c r="I14" s="119"/>
      <c r="J14" s="119"/>
      <c r="K14" s="121"/>
      <c r="L14" s="121"/>
      <c r="M14" s="121"/>
      <c r="N14" s="122"/>
      <c r="O14" s="123"/>
      <c r="P14" s="124"/>
      <c r="Q14" s="125"/>
      <c r="R14" s="126"/>
      <c r="S14" s="124"/>
      <c r="T14" s="127"/>
      <c r="U14" s="127"/>
      <c r="V14" s="127"/>
      <c r="W14" s="128"/>
      <c r="X14" s="120"/>
      <c r="Y14" s="119"/>
      <c r="Z14" s="120"/>
      <c r="AA14" s="119"/>
      <c r="AB14" s="119"/>
      <c r="AC14" s="119"/>
      <c r="AD14" s="119"/>
      <c r="AE14" s="119"/>
      <c r="AF14" s="119"/>
      <c r="AG14" s="129"/>
      <c r="AH14" s="111" t="s">
        <v>620</v>
      </c>
      <c r="AI14" s="112"/>
      <c r="AJ14" s="113"/>
      <c r="AK14" s="114"/>
      <c r="AL14" s="115"/>
      <c r="AM14" s="115"/>
      <c r="AN14" s="116"/>
    </row>
    <row r="15" ht="67.5" customHeight="1">
      <c r="A15" s="37"/>
      <c r="B15" s="119"/>
      <c r="C15" s="119"/>
      <c r="D15" s="119"/>
      <c r="E15" s="119"/>
      <c r="F15" s="119"/>
      <c r="G15" s="120"/>
      <c r="H15" s="119"/>
      <c r="I15" s="119"/>
      <c r="J15" s="119"/>
      <c r="K15" s="121"/>
      <c r="L15" s="121"/>
      <c r="M15" s="121"/>
      <c r="N15" s="122"/>
      <c r="O15" s="123"/>
      <c r="P15" s="124"/>
      <c r="Q15" s="125"/>
      <c r="R15" s="126"/>
      <c r="S15" s="124"/>
      <c r="T15" s="127"/>
      <c r="U15" s="127"/>
      <c r="V15" s="127"/>
      <c r="W15" s="128"/>
      <c r="X15" s="120"/>
      <c r="Y15" s="119"/>
      <c r="Z15" s="120"/>
      <c r="AA15" s="119"/>
      <c r="AB15" s="119"/>
      <c r="AC15" s="119"/>
      <c r="AD15" s="119"/>
      <c r="AE15" s="119"/>
      <c r="AF15" s="119"/>
      <c r="AG15" s="129"/>
      <c r="AH15" s="111" t="s">
        <v>620</v>
      </c>
      <c r="AI15" s="112"/>
      <c r="AJ15" s="113"/>
      <c r="AK15" s="114"/>
      <c r="AL15" s="115"/>
      <c r="AM15" s="115"/>
      <c r="AN15" s="116"/>
    </row>
    <row r="16" ht="15.75" customHeight="1"/>
  </sheetData>
  <autoFilter ref="$A$3:$AN$15"/>
  <mergeCells count="2">
    <mergeCell ref="B1:C1"/>
    <mergeCell ref="AG2:AM2"/>
  </mergeCells>
  <conditionalFormatting sqref="AK4:AK15">
    <cfRule type="cellIs" dxfId="2" priority="1" operator="greaterThan">
      <formula>0</formula>
    </cfRule>
  </conditionalFormatting>
  <conditionalFormatting sqref="AK4:AK15">
    <cfRule type="cellIs" dxfId="3" priority="2" operator="lessThan">
      <formula>0</formula>
    </cfRule>
  </conditionalFormatting>
  <dataValidations>
    <dataValidation type="decimal" allowBlank="1" showDropDown="1" showInputMessage="1" showErrorMessage="1" prompt="Recuerde que debe ingresar un valor numérico o porcentaje" sqref="AG4:AG15">
      <formula1>0.0</formula1>
      <formula2>5000000.0</formula2>
    </dataValidation>
  </dataValidations>
  <hyperlinks>
    <hyperlink display="Home" location="Home!A1" ref="B1"/>
    <hyperlink r:id="rId1" ref="AI4"/>
    <hyperlink r:id="rId2" ref="AI5"/>
    <hyperlink r:id="rId3" ref="AI6"/>
    <hyperlink r:id="rId4" ref="AI7"/>
    <hyperlink r:id="rId5" ref="AI8"/>
    <hyperlink r:id="rId6" ref="AI9"/>
    <hyperlink r:id="rId7" ref="AI10"/>
    <hyperlink r:id="rId8" ref="AI11"/>
    <hyperlink r:id="rId9" ref="AI12"/>
    <hyperlink r:id="rId10" ref="AI13"/>
  </hyperlinks>
  <printOptions gridLines="1" horizontalCentered="1"/>
  <pageMargins bottom="0.75" footer="0.0" header="0.0" left="0.7" right="0.7" top="0.75"/>
  <pageSetup cellComments="atEnd" orientation="portrait" pageOrder="overThenDown"/>
  <drawing r:id="rId11"/>
</worksheet>
</file>

<file path=xl/worksheets/sheet2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98.0</v>
      </c>
      <c r="C4" s="100" t="s">
        <v>277</v>
      </c>
      <c r="D4" s="100" t="s">
        <v>621</v>
      </c>
      <c r="E4" s="100" t="s">
        <v>279</v>
      </c>
      <c r="F4" s="100">
        <v>2.01901100028E12</v>
      </c>
      <c r="G4" s="101" t="s">
        <v>280</v>
      </c>
      <c r="H4" s="100" t="s">
        <v>281</v>
      </c>
      <c r="I4" s="100" t="s">
        <v>282</v>
      </c>
      <c r="J4" s="100" t="s">
        <v>283</v>
      </c>
      <c r="K4" s="102" t="s">
        <v>117</v>
      </c>
      <c r="L4" s="102" t="s">
        <v>118</v>
      </c>
      <c r="M4" s="102" t="s">
        <v>119</v>
      </c>
      <c r="N4" s="103" t="s">
        <v>568</v>
      </c>
      <c r="O4" s="123"/>
      <c r="P4" s="105">
        <v>1000.0</v>
      </c>
      <c r="Q4" s="106" t="s">
        <v>622</v>
      </c>
      <c r="R4" s="107" t="s">
        <v>163</v>
      </c>
      <c r="S4" s="105">
        <v>178.0</v>
      </c>
      <c r="T4" s="108">
        <v>260.0</v>
      </c>
      <c r="U4" s="108">
        <v>247.0</v>
      </c>
      <c r="V4" s="108">
        <v>315.0</v>
      </c>
      <c r="W4" s="109" t="s">
        <v>621</v>
      </c>
      <c r="X4" s="101" t="s">
        <v>623</v>
      </c>
      <c r="Y4" s="100" t="s">
        <v>624</v>
      </c>
      <c r="Z4" s="101" t="s">
        <v>625</v>
      </c>
      <c r="AA4" s="100" t="s">
        <v>152</v>
      </c>
      <c r="AB4" s="100" t="s">
        <v>173</v>
      </c>
      <c r="AC4" s="100" t="s">
        <v>290</v>
      </c>
      <c r="AD4" s="100" t="s">
        <v>154</v>
      </c>
      <c r="AE4" s="100" t="s">
        <v>291</v>
      </c>
      <c r="AF4" s="100" t="s">
        <v>210</v>
      </c>
      <c r="AG4" s="144">
        <v>131.0</v>
      </c>
      <c r="AH4" s="111" t="s">
        <v>626</v>
      </c>
      <c r="AI4" s="117" t="s">
        <v>627</v>
      </c>
      <c r="AJ4" s="113">
        <f t="shared" ref="AJ4:AJ20" si="1">$AK$1</f>
        <v>44298</v>
      </c>
      <c r="AK4" s="114">
        <f t="shared" ref="AK4:AK20" si="2">AJ4-$AL$1</f>
        <v>-416</v>
      </c>
      <c r="AL4" s="115" t="str">
        <f t="shared" ref="AL4:AL20" si="3">IF(ISBLANK(AG4),"Pendiente Ejecución"&amp;CHAR(10),)&amp;IF(ISBLANK(AH4),"Pendiente Justificación"&amp;CHAR(10),)&amp;IF(ISBLANK(AI4),"Pendiente Evidencia",)&amp;IF(OR(ISBLANK(AG4),ISBLANK(AH4),ISBLANK(AI4)),,"Reporte ok")</f>
        <v>Reporte ok</v>
      </c>
      <c r="AM4" s="115"/>
      <c r="AN4" s="116"/>
    </row>
    <row r="5" ht="67.5" customHeight="1">
      <c r="A5" s="37"/>
      <c r="B5" s="100">
        <v>99.0</v>
      </c>
      <c r="C5" s="100" t="s">
        <v>277</v>
      </c>
      <c r="D5" s="100" t="s">
        <v>621</v>
      </c>
      <c r="E5" s="100" t="s">
        <v>279</v>
      </c>
      <c r="F5" s="100">
        <v>2.01901100028E12</v>
      </c>
      <c r="G5" s="101" t="s">
        <v>280</v>
      </c>
      <c r="H5" s="100" t="s">
        <v>281</v>
      </c>
      <c r="I5" s="100" t="s">
        <v>596</v>
      </c>
      <c r="J5" s="100" t="s">
        <v>302</v>
      </c>
      <c r="K5" s="102" t="s">
        <v>117</v>
      </c>
      <c r="L5" s="102" t="s">
        <v>118</v>
      </c>
      <c r="M5" s="102" t="s">
        <v>119</v>
      </c>
      <c r="N5" s="103" t="s">
        <v>597</v>
      </c>
      <c r="O5" s="123"/>
      <c r="P5" s="105">
        <v>1.2E7</v>
      </c>
      <c r="Q5" s="106" t="s">
        <v>628</v>
      </c>
      <c r="R5" s="107" t="s">
        <v>163</v>
      </c>
      <c r="S5" s="105">
        <v>100000.0</v>
      </c>
      <c r="T5" s="108">
        <v>3200000.0</v>
      </c>
      <c r="U5" s="108">
        <v>4300000.0</v>
      </c>
      <c r="V5" s="108">
        <v>4400000.0</v>
      </c>
      <c r="W5" s="109" t="s">
        <v>621</v>
      </c>
      <c r="X5" s="101" t="s">
        <v>623</v>
      </c>
      <c r="Y5" s="100" t="s">
        <v>624</v>
      </c>
      <c r="Z5" s="101" t="s">
        <v>625</v>
      </c>
      <c r="AA5" s="100" t="s">
        <v>152</v>
      </c>
      <c r="AB5" s="100" t="s">
        <v>173</v>
      </c>
      <c r="AC5" s="100" t="s">
        <v>128</v>
      </c>
      <c r="AD5" s="100" t="s">
        <v>154</v>
      </c>
      <c r="AE5" s="100" t="s">
        <v>291</v>
      </c>
      <c r="AF5" s="100" t="s">
        <v>210</v>
      </c>
      <c r="AG5" s="144">
        <v>106000.0</v>
      </c>
      <c r="AH5" s="111" t="s">
        <v>629</v>
      </c>
      <c r="AI5" s="117" t="s">
        <v>630</v>
      </c>
      <c r="AJ5" s="113">
        <f t="shared" si="1"/>
        <v>44298</v>
      </c>
      <c r="AK5" s="114">
        <f t="shared" si="2"/>
        <v>-416</v>
      </c>
      <c r="AL5" s="115" t="str">
        <f t="shared" si="3"/>
        <v>Reporte ok</v>
      </c>
      <c r="AM5" s="115"/>
      <c r="AN5" s="116"/>
    </row>
    <row r="6" ht="67.5" customHeight="1">
      <c r="A6" s="37"/>
      <c r="B6" s="100">
        <v>100.0</v>
      </c>
      <c r="C6" s="100" t="s">
        <v>277</v>
      </c>
      <c r="D6" s="100" t="s">
        <v>621</v>
      </c>
      <c r="E6" s="100" t="s">
        <v>279</v>
      </c>
      <c r="F6" s="100">
        <v>2.01901100028E12</v>
      </c>
      <c r="G6" s="101" t="s">
        <v>280</v>
      </c>
      <c r="H6" s="100" t="s">
        <v>281</v>
      </c>
      <c r="I6" s="100" t="s">
        <v>282</v>
      </c>
      <c r="J6" s="100" t="s">
        <v>302</v>
      </c>
      <c r="K6" s="102" t="s">
        <v>306</v>
      </c>
      <c r="L6" s="102" t="s">
        <v>118</v>
      </c>
      <c r="M6" s="102" t="s">
        <v>119</v>
      </c>
      <c r="N6" s="103" t="s">
        <v>631</v>
      </c>
      <c r="O6" s="123"/>
      <c r="P6" s="105">
        <v>5600000.0</v>
      </c>
      <c r="Q6" s="106" t="s">
        <v>632</v>
      </c>
      <c r="R6" s="107" t="s">
        <v>163</v>
      </c>
      <c r="S6" s="105">
        <v>3000000.0</v>
      </c>
      <c r="T6" s="108">
        <v>2000000.0</v>
      </c>
      <c r="U6" s="108">
        <v>600000.0</v>
      </c>
      <c r="V6" s="108">
        <v>0.0</v>
      </c>
      <c r="W6" s="109" t="s">
        <v>621</v>
      </c>
      <c r="X6" s="101" t="s">
        <v>623</v>
      </c>
      <c r="Y6" s="100" t="s">
        <v>624</v>
      </c>
      <c r="Z6" s="101" t="s">
        <v>625</v>
      </c>
      <c r="AA6" s="100" t="s">
        <v>152</v>
      </c>
      <c r="AB6" s="100" t="s">
        <v>173</v>
      </c>
      <c r="AC6" s="100" t="s">
        <v>128</v>
      </c>
      <c r="AD6" s="100" t="s">
        <v>154</v>
      </c>
      <c r="AE6" s="100" t="s">
        <v>291</v>
      </c>
      <c r="AF6" s="100" t="s">
        <v>210</v>
      </c>
      <c r="AG6" s="144">
        <v>9884400.0</v>
      </c>
      <c r="AH6" s="111" t="s">
        <v>633</v>
      </c>
      <c r="AI6" s="117" t="s">
        <v>634</v>
      </c>
      <c r="AJ6" s="113">
        <f t="shared" si="1"/>
        <v>44298</v>
      </c>
      <c r="AK6" s="114">
        <f t="shared" si="2"/>
        <v>-416</v>
      </c>
      <c r="AL6" s="115" t="str">
        <f t="shared" si="3"/>
        <v>Reporte ok</v>
      </c>
      <c r="AM6" s="115"/>
      <c r="AN6" s="116"/>
    </row>
    <row r="7" ht="67.5" customHeight="1">
      <c r="A7" s="37"/>
      <c r="B7" s="100">
        <v>101.0</v>
      </c>
      <c r="C7" s="100" t="s">
        <v>277</v>
      </c>
      <c r="D7" s="100" t="s">
        <v>621</v>
      </c>
      <c r="E7" s="100" t="s">
        <v>279</v>
      </c>
      <c r="F7" s="100">
        <v>2.01901100028E12</v>
      </c>
      <c r="G7" s="101" t="s">
        <v>280</v>
      </c>
      <c r="H7" s="100" t="s">
        <v>296</v>
      </c>
      <c r="I7" s="100" t="s">
        <v>600</v>
      </c>
      <c r="J7" s="100" t="s">
        <v>305</v>
      </c>
      <c r="K7" s="102" t="s">
        <v>117</v>
      </c>
      <c r="L7" s="102" t="s">
        <v>118</v>
      </c>
      <c r="M7" s="102" t="s">
        <v>119</v>
      </c>
      <c r="N7" s="103" t="s">
        <v>635</v>
      </c>
      <c r="O7" s="123"/>
      <c r="P7" s="105">
        <v>6.0</v>
      </c>
      <c r="Q7" s="106" t="s">
        <v>636</v>
      </c>
      <c r="R7" s="107" t="s">
        <v>163</v>
      </c>
      <c r="S7" s="105">
        <v>0.0</v>
      </c>
      <c r="T7" s="108">
        <v>2.0</v>
      </c>
      <c r="U7" s="108">
        <v>2.0</v>
      </c>
      <c r="V7" s="108">
        <v>2.0</v>
      </c>
      <c r="W7" s="109" t="s">
        <v>621</v>
      </c>
      <c r="X7" s="101" t="s">
        <v>623</v>
      </c>
      <c r="Y7" s="100" t="s">
        <v>624</v>
      </c>
      <c r="Z7" s="101" t="s">
        <v>625</v>
      </c>
      <c r="AA7" s="100" t="s">
        <v>152</v>
      </c>
      <c r="AB7" s="100" t="s">
        <v>173</v>
      </c>
      <c r="AC7" s="100" t="s">
        <v>128</v>
      </c>
      <c r="AD7" s="100" t="s">
        <v>154</v>
      </c>
      <c r="AE7" s="100" t="s">
        <v>291</v>
      </c>
      <c r="AF7" s="100" t="s">
        <v>210</v>
      </c>
      <c r="AG7" s="144">
        <v>0.0</v>
      </c>
      <c r="AH7" s="129"/>
      <c r="AI7" s="112"/>
      <c r="AJ7" s="113">
        <f t="shared" si="1"/>
        <v>44298</v>
      </c>
      <c r="AK7" s="114">
        <f t="shared" si="2"/>
        <v>-416</v>
      </c>
      <c r="AL7" s="115" t="str">
        <f t="shared" si="3"/>
        <v>Pendiente Justificación
Pendiente Evidencia</v>
      </c>
      <c r="AM7" s="115"/>
      <c r="AN7" s="116"/>
    </row>
    <row r="8" ht="67.5" customHeight="1">
      <c r="A8" s="37"/>
      <c r="B8" s="100">
        <v>102.0</v>
      </c>
      <c r="C8" s="100" t="s">
        <v>277</v>
      </c>
      <c r="D8" s="100" t="s">
        <v>621</v>
      </c>
      <c r="E8" s="100" t="s">
        <v>279</v>
      </c>
      <c r="F8" s="100">
        <v>2.01901100028E12</v>
      </c>
      <c r="G8" s="101" t="s">
        <v>280</v>
      </c>
      <c r="H8" s="100" t="s">
        <v>296</v>
      </c>
      <c r="I8" s="100" t="s">
        <v>282</v>
      </c>
      <c r="J8" s="100" t="s">
        <v>324</v>
      </c>
      <c r="K8" s="102" t="s">
        <v>141</v>
      </c>
      <c r="L8" s="102" t="s">
        <v>118</v>
      </c>
      <c r="M8" s="102" t="s">
        <v>119</v>
      </c>
      <c r="N8" s="103" t="s">
        <v>637</v>
      </c>
      <c r="O8" s="123"/>
      <c r="P8" s="105">
        <v>40.0</v>
      </c>
      <c r="Q8" s="106" t="s">
        <v>638</v>
      </c>
      <c r="R8" s="107" t="s">
        <v>163</v>
      </c>
      <c r="S8" s="105">
        <v>5.0</v>
      </c>
      <c r="T8" s="108">
        <v>15.0</v>
      </c>
      <c r="U8" s="108">
        <v>10.0</v>
      </c>
      <c r="V8" s="108">
        <v>10.0</v>
      </c>
      <c r="W8" s="109" t="s">
        <v>621</v>
      </c>
      <c r="X8" s="101" t="s">
        <v>623</v>
      </c>
      <c r="Y8" s="100" t="s">
        <v>624</v>
      </c>
      <c r="Z8" s="101" t="s">
        <v>625</v>
      </c>
      <c r="AA8" s="100" t="s">
        <v>152</v>
      </c>
      <c r="AB8" s="100" t="s">
        <v>173</v>
      </c>
      <c r="AC8" s="100" t="s">
        <v>128</v>
      </c>
      <c r="AD8" s="100" t="s">
        <v>154</v>
      </c>
      <c r="AE8" s="100" t="s">
        <v>291</v>
      </c>
      <c r="AF8" s="100" t="s">
        <v>210</v>
      </c>
      <c r="AG8" s="144">
        <v>7.0</v>
      </c>
      <c r="AH8" s="111" t="s">
        <v>639</v>
      </c>
      <c r="AI8" s="117" t="s">
        <v>640</v>
      </c>
      <c r="AJ8" s="113">
        <f t="shared" si="1"/>
        <v>44298</v>
      </c>
      <c r="AK8" s="114">
        <f t="shared" si="2"/>
        <v>-416</v>
      </c>
      <c r="AL8" s="115" t="str">
        <f t="shared" si="3"/>
        <v>Reporte ok</v>
      </c>
      <c r="AM8" s="115"/>
      <c r="AN8" s="116"/>
    </row>
    <row r="9" ht="67.5" customHeight="1">
      <c r="A9" s="37"/>
      <c r="B9" s="100">
        <v>103.0</v>
      </c>
      <c r="C9" s="100" t="s">
        <v>277</v>
      </c>
      <c r="D9" s="100" t="s">
        <v>621</v>
      </c>
      <c r="E9" s="100" t="s">
        <v>279</v>
      </c>
      <c r="F9" s="100">
        <v>2.01901100028E12</v>
      </c>
      <c r="G9" s="101" t="s">
        <v>280</v>
      </c>
      <c r="H9" s="100" t="s">
        <v>296</v>
      </c>
      <c r="I9" s="100" t="s">
        <v>282</v>
      </c>
      <c r="J9" s="100" t="s">
        <v>324</v>
      </c>
      <c r="K9" s="102" t="s">
        <v>141</v>
      </c>
      <c r="L9" s="102" t="s">
        <v>118</v>
      </c>
      <c r="M9" s="102" t="s">
        <v>119</v>
      </c>
      <c r="N9" s="103" t="s">
        <v>641</v>
      </c>
      <c r="O9" s="123"/>
      <c r="P9" s="105">
        <v>20.0</v>
      </c>
      <c r="Q9" s="106" t="s">
        <v>642</v>
      </c>
      <c r="R9" s="107" t="s">
        <v>163</v>
      </c>
      <c r="S9" s="105">
        <v>0.0</v>
      </c>
      <c r="T9" s="108">
        <v>5.0</v>
      </c>
      <c r="U9" s="108">
        <v>10.0</v>
      </c>
      <c r="V9" s="108">
        <v>5.0</v>
      </c>
      <c r="W9" s="109" t="s">
        <v>621</v>
      </c>
      <c r="X9" s="101" t="s">
        <v>623</v>
      </c>
      <c r="Y9" s="100" t="s">
        <v>624</v>
      </c>
      <c r="Z9" s="101" t="s">
        <v>625</v>
      </c>
      <c r="AA9" s="100" t="s">
        <v>152</v>
      </c>
      <c r="AB9" s="100" t="s">
        <v>173</v>
      </c>
      <c r="AC9" s="100" t="s">
        <v>128</v>
      </c>
      <c r="AD9" s="100" t="s">
        <v>154</v>
      </c>
      <c r="AE9" s="100" t="s">
        <v>291</v>
      </c>
      <c r="AF9" s="100" t="s">
        <v>210</v>
      </c>
      <c r="AG9" s="144">
        <v>0.0</v>
      </c>
      <c r="AH9" s="129"/>
      <c r="AI9" s="112"/>
      <c r="AJ9" s="113">
        <f t="shared" si="1"/>
        <v>44298</v>
      </c>
      <c r="AK9" s="114">
        <f t="shared" si="2"/>
        <v>-416</v>
      </c>
      <c r="AL9" s="115" t="str">
        <f t="shared" si="3"/>
        <v>Pendiente Justificación
Pendiente Evidencia</v>
      </c>
      <c r="AM9" s="115"/>
      <c r="AN9" s="116"/>
    </row>
    <row r="10" ht="67.5" customHeight="1">
      <c r="A10" s="37"/>
      <c r="B10" s="100">
        <v>104.0</v>
      </c>
      <c r="C10" s="100" t="s">
        <v>277</v>
      </c>
      <c r="D10" s="100" t="s">
        <v>621</v>
      </c>
      <c r="E10" s="100" t="s">
        <v>279</v>
      </c>
      <c r="F10" s="100">
        <v>2.01901100028E12</v>
      </c>
      <c r="G10" s="101" t="s">
        <v>280</v>
      </c>
      <c r="H10" s="100" t="s">
        <v>281</v>
      </c>
      <c r="I10" s="100" t="s">
        <v>282</v>
      </c>
      <c r="J10" s="100" t="s">
        <v>324</v>
      </c>
      <c r="K10" s="102" t="s">
        <v>141</v>
      </c>
      <c r="L10" s="102" t="s">
        <v>118</v>
      </c>
      <c r="M10" s="102" t="s">
        <v>119</v>
      </c>
      <c r="N10" s="103" t="s">
        <v>643</v>
      </c>
      <c r="O10" s="123"/>
      <c r="P10" s="105">
        <v>30.0</v>
      </c>
      <c r="Q10" s="106" t="s">
        <v>644</v>
      </c>
      <c r="R10" s="107" t="s">
        <v>121</v>
      </c>
      <c r="S10" s="105">
        <v>0.0</v>
      </c>
      <c r="T10" s="108">
        <v>0.0</v>
      </c>
      <c r="U10" s="108">
        <v>0.0</v>
      </c>
      <c r="V10" s="108">
        <v>30.0</v>
      </c>
      <c r="W10" s="109" t="s">
        <v>621</v>
      </c>
      <c r="X10" s="101" t="s">
        <v>623</v>
      </c>
      <c r="Y10" s="100" t="s">
        <v>624</v>
      </c>
      <c r="Z10" s="101" t="s">
        <v>625</v>
      </c>
      <c r="AA10" s="100" t="s">
        <v>152</v>
      </c>
      <c r="AB10" s="100" t="s">
        <v>173</v>
      </c>
      <c r="AC10" s="100" t="s">
        <v>343</v>
      </c>
      <c r="AD10" s="100" t="s">
        <v>154</v>
      </c>
      <c r="AE10" s="100" t="s">
        <v>291</v>
      </c>
      <c r="AF10" s="100" t="s">
        <v>210</v>
      </c>
      <c r="AG10" s="144">
        <v>0.0</v>
      </c>
      <c r="AH10" s="129"/>
      <c r="AI10" s="112"/>
      <c r="AJ10" s="113">
        <f t="shared" si="1"/>
        <v>44298</v>
      </c>
      <c r="AK10" s="114">
        <f t="shared" si="2"/>
        <v>-416</v>
      </c>
      <c r="AL10" s="115" t="str">
        <f t="shared" si="3"/>
        <v>Pendiente Justificación
Pendiente Evidencia</v>
      </c>
      <c r="AM10" s="115"/>
      <c r="AN10" s="116"/>
    </row>
    <row r="11" ht="67.5" customHeight="1">
      <c r="A11" s="37"/>
      <c r="B11" s="100">
        <v>105.0</v>
      </c>
      <c r="C11" s="100" t="s">
        <v>277</v>
      </c>
      <c r="D11" s="100" t="s">
        <v>621</v>
      </c>
      <c r="E11" s="100" t="s">
        <v>279</v>
      </c>
      <c r="F11" s="100">
        <v>2.01901100028E12</v>
      </c>
      <c r="G11" s="101" t="s">
        <v>280</v>
      </c>
      <c r="H11" s="100" t="s">
        <v>281</v>
      </c>
      <c r="I11" s="100" t="s">
        <v>282</v>
      </c>
      <c r="J11" s="100" t="s">
        <v>324</v>
      </c>
      <c r="K11" s="102" t="s">
        <v>306</v>
      </c>
      <c r="L11" s="102" t="s">
        <v>118</v>
      </c>
      <c r="M11" s="102" t="s">
        <v>119</v>
      </c>
      <c r="N11" s="103" t="s">
        <v>643</v>
      </c>
      <c r="O11" s="123"/>
      <c r="P11" s="105">
        <v>15.0</v>
      </c>
      <c r="Q11" s="106" t="s">
        <v>645</v>
      </c>
      <c r="R11" s="107" t="s">
        <v>121</v>
      </c>
      <c r="S11" s="105">
        <v>0.0</v>
      </c>
      <c r="T11" s="108">
        <v>0.0</v>
      </c>
      <c r="U11" s="108">
        <v>0.0</v>
      </c>
      <c r="V11" s="108">
        <v>15.0</v>
      </c>
      <c r="W11" s="109" t="s">
        <v>621</v>
      </c>
      <c r="X11" s="101" t="s">
        <v>623</v>
      </c>
      <c r="Y11" s="100" t="s">
        <v>624</v>
      </c>
      <c r="Z11" s="101" t="s">
        <v>625</v>
      </c>
      <c r="AA11" s="100" t="s">
        <v>152</v>
      </c>
      <c r="AB11" s="100" t="s">
        <v>173</v>
      </c>
      <c r="AC11" s="100" t="s">
        <v>343</v>
      </c>
      <c r="AD11" s="100" t="s">
        <v>154</v>
      </c>
      <c r="AE11" s="100" t="s">
        <v>291</v>
      </c>
      <c r="AF11" s="100" t="s">
        <v>210</v>
      </c>
      <c r="AG11" s="144">
        <v>0.0</v>
      </c>
      <c r="AH11" s="129"/>
      <c r="AI11" s="112"/>
      <c r="AJ11" s="113">
        <f t="shared" si="1"/>
        <v>44298</v>
      </c>
      <c r="AK11" s="114">
        <f t="shared" si="2"/>
        <v>-416</v>
      </c>
      <c r="AL11" s="115" t="str">
        <f t="shared" si="3"/>
        <v>Pendiente Justificación
Pendiente Evidencia</v>
      </c>
      <c r="AM11" s="115"/>
      <c r="AN11" s="116"/>
    </row>
    <row r="12" ht="67.5" customHeight="1">
      <c r="A12" s="37"/>
      <c r="B12" s="100">
        <v>106.0</v>
      </c>
      <c r="C12" s="100" t="s">
        <v>277</v>
      </c>
      <c r="D12" s="100" t="s">
        <v>621</v>
      </c>
      <c r="E12" s="100" t="s">
        <v>279</v>
      </c>
      <c r="F12" s="100">
        <v>2.01901100028E12</v>
      </c>
      <c r="G12" s="101" t="s">
        <v>280</v>
      </c>
      <c r="H12" s="100" t="s">
        <v>296</v>
      </c>
      <c r="I12" s="100" t="s">
        <v>297</v>
      </c>
      <c r="J12" s="100" t="s">
        <v>298</v>
      </c>
      <c r="K12" s="102" t="s">
        <v>141</v>
      </c>
      <c r="L12" s="102" t="s">
        <v>118</v>
      </c>
      <c r="M12" s="102" t="s">
        <v>119</v>
      </c>
      <c r="N12" s="103" t="s">
        <v>646</v>
      </c>
      <c r="O12" s="123"/>
      <c r="P12" s="105">
        <v>3.0</v>
      </c>
      <c r="Q12" s="106" t="s">
        <v>647</v>
      </c>
      <c r="R12" s="107" t="s">
        <v>121</v>
      </c>
      <c r="S12" s="105">
        <v>0.0</v>
      </c>
      <c r="T12" s="108">
        <v>0.0</v>
      </c>
      <c r="U12" s="108">
        <v>0.0</v>
      </c>
      <c r="V12" s="108">
        <v>3.0</v>
      </c>
      <c r="W12" s="109" t="s">
        <v>621</v>
      </c>
      <c r="X12" s="101" t="s">
        <v>623</v>
      </c>
      <c r="Y12" s="100" t="s">
        <v>624</v>
      </c>
      <c r="Z12" s="101" t="s">
        <v>625</v>
      </c>
      <c r="AA12" s="100" t="s">
        <v>152</v>
      </c>
      <c r="AB12" s="100" t="s">
        <v>173</v>
      </c>
      <c r="AC12" s="100" t="s">
        <v>343</v>
      </c>
      <c r="AD12" s="100" t="s">
        <v>154</v>
      </c>
      <c r="AE12" s="100" t="s">
        <v>291</v>
      </c>
      <c r="AF12" s="100" t="s">
        <v>210</v>
      </c>
      <c r="AG12" s="144">
        <v>0.0</v>
      </c>
      <c r="AH12" s="129"/>
      <c r="AI12" s="112"/>
      <c r="AJ12" s="113">
        <f t="shared" si="1"/>
        <v>44298</v>
      </c>
      <c r="AK12" s="114">
        <f t="shared" si="2"/>
        <v>-416</v>
      </c>
      <c r="AL12" s="115" t="str">
        <f t="shared" si="3"/>
        <v>Pendiente Justificación
Pendiente Evidencia</v>
      </c>
      <c r="AM12" s="115"/>
      <c r="AN12" s="116"/>
    </row>
    <row r="13" ht="67.5" customHeight="1">
      <c r="A13" s="37"/>
      <c r="B13" s="100">
        <v>107.0</v>
      </c>
      <c r="C13" s="100" t="s">
        <v>277</v>
      </c>
      <c r="D13" s="100" t="s">
        <v>621</v>
      </c>
      <c r="E13" s="100" t="s">
        <v>279</v>
      </c>
      <c r="F13" s="100">
        <v>2.01901100028E12</v>
      </c>
      <c r="G13" s="101" t="s">
        <v>280</v>
      </c>
      <c r="H13" s="100" t="s">
        <v>296</v>
      </c>
      <c r="I13" s="100" t="s">
        <v>297</v>
      </c>
      <c r="J13" s="100" t="s">
        <v>298</v>
      </c>
      <c r="K13" s="102" t="s">
        <v>117</v>
      </c>
      <c r="L13" s="102" t="s">
        <v>118</v>
      </c>
      <c r="M13" s="102" t="s">
        <v>119</v>
      </c>
      <c r="N13" s="103" t="s">
        <v>648</v>
      </c>
      <c r="O13" s="123"/>
      <c r="P13" s="105">
        <v>1.0</v>
      </c>
      <c r="Q13" s="106" t="s">
        <v>649</v>
      </c>
      <c r="R13" s="107" t="s">
        <v>163</v>
      </c>
      <c r="S13" s="105">
        <v>1.0</v>
      </c>
      <c r="T13" s="108">
        <v>0.0</v>
      </c>
      <c r="U13" s="108">
        <v>0.0</v>
      </c>
      <c r="V13" s="108">
        <v>0.0</v>
      </c>
      <c r="W13" s="109" t="s">
        <v>621</v>
      </c>
      <c r="X13" s="101" t="s">
        <v>623</v>
      </c>
      <c r="Y13" s="100" t="s">
        <v>624</v>
      </c>
      <c r="Z13" s="101" t="s">
        <v>625</v>
      </c>
      <c r="AA13" s="100" t="s">
        <v>152</v>
      </c>
      <c r="AB13" s="100" t="s">
        <v>173</v>
      </c>
      <c r="AC13" s="100" t="s">
        <v>343</v>
      </c>
      <c r="AD13" s="100" t="s">
        <v>154</v>
      </c>
      <c r="AE13" s="100" t="s">
        <v>291</v>
      </c>
      <c r="AF13" s="100" t="s">
        <v>210</v>
      </c>
      <c r="AG13" s="144">
        <v>1.0</v>
      </c>
      <c r="AH13" s="111" t="s">
        <v>650</v>
      </c>
      <c r="AI13" s="117" t="s">
        <v>651</v>
      </c>
      <c r="AJ13" s="113">
        <f t="shared" si="1"/>
        <v>44298</v>
      </c>
      <c r="AK13" s="114">
        <f t="shared" si="2"/>
        <v>-416</v>
      </c>
      <c r="AL13" s="115" t="str">
        <f t="shared" si="3"/>
        <v>Reporte ok</v>
      </c>
      <c r="AM13" s="115"/>
      <c r="AN13" s="116"/>
    </row>
    <row r="14" ht="67.5" customHeight="1">
      <c r="A14" s="37"/>
      <c r="B14" s="100">
        <v>108.0</v>
      </c>
      <c r="C14" s="100" t="s">
        <v>277</v>
      </c>
      <c r="D14" s="100" t="s">
        <v>621</v>
      </c>
      <c r="E14" s="100" t="s">
        <v>279</v>
      </c>
      <c r="F14" s="100">
        <v>2.01901100028E12</v>
      </c>
      <c r="G14" s="101" t="s">
        <v>280</v>
      </c>
      <c r="H14" s="100" t="s">
        <v>281</v>
      </c>
      <c r="I14" s="100" t="s">
        <v>282</v>
      </c>
      <c r="J14" s="100" t="s">
        <v>324</v>
      </c>
      <c r="K14" s="102" t="s">
        <v>306</v>
      </c>
      <c r="L14" s="102" t="s">
        <v>118</v>
      </c>
      <c r="M14" s="102" t="s">
        <v>119</v>
      </c>
      <c r="N14" s="103" t="s">
        <v>652</v>
      </c>
      <c r="O14" s="123"/>
      <c r="P14" s="105">
        <v>1.0</v>
      </c>
      <c r="Q14" s="106" t="s">
        <v>653</v>
      </c>
      <c r="R14" s="107" t="s">
        <v>163</v>
      </c>
      <c r="S14" s="105">
        <v>1.0</v>
      </c>
      <c r="T14" s="108">
        <v>1.0</v>
      </c>
      <c r="U14" s="108">
        <v>1.0</v>
      </c>
      <c r="V14" s="108">
        <v>1.0</v>
      </c>
      <c r="W14" s="109" t="s">
        <v>621</v>
      </c>
      <c r="X14" s="101" t="s">
        <v>623</v>
      </c>
      <c r="Y14" s="100" t="s">
        <v>624</v>
      </c>
      <c r="Z14" s="101" t="s">
        <v>625</v>
      </c>
      <c r="AA14" s="100" t="s">
        <v>152</v>
      </c>
      <c r="AB14" s="100" t="s">
        <v>173</v>
      </c>
      <c r="AC14" s="100" t="s">
        <v>343</v>
      </c>
      <c r="AD14" s="100" t="s">
        <v>154</v>
      </c>
      <c r="AE14" s="100" t="s">
        <v>291</v>
      </c>
      <c r="AF14" s="100" t="s">
        <v>210</v>
      </c>
      <c r="AG14" s="144">
        <v>0.0</v>
      </c>
      <c r="AH14" s="129"/>
      <c r="AI14" s="112"/>
      <c r="AJ14" s="113">
        <f t="shared" si="1"/>
        <v>44298</v>
      </c>
      <c r="AK14" s="114">
        <f t="shared" si="2"/>
        <v>-416</v>
      </c>
      <c r="AL14" s="115" t="str">
        <f t="shared" si="3"/>
        <v>Pendiente Justificación
Pendiente Evidencia</v>
      </c>
      <c r="AM14" s="115"/>
      <c r="AN14" s="116"/>
    </row>
    <row r="15" ht="67.5" customHeight="1">
      <c r="A15" s="37"/>
      <c r="B15" s="100">
        <v>109.0</v>
      </c>
      <c r="C15" s="100" t="s">
        <v>277</v>
      </c>
      <c r="D15" s="100" t="s">
        <v>621</v>
      </c>
      <c r="E15" s="100" t="s">
        <v>279</v>
      </c>
      <c r="F15" s="100">
        <v>2.01901100028E12</v>
      </c>
      <c r="G15" s="101" t="s">
        <v>280</v>
      </c>
      <c r="H15" s="100" t="s">
        <v>296</v>
      </c>
      <c r="I15" s="100" t="s">
        <v>297</v>
      </c>
      <c r="J15" s="100" t="s">
        <v>298</v>
      </c>
      <c r="K15" s="102" t="s">
        <v>141</v>
      </c>
      <c r="L15" s="102" t="s">
        <v>118</v>
      </c>
      <c r="M15" s="102" t="s">
        <v>119</v>
      </c>
      <c r="N15" s="103" t="s">
        <v>654</v>
      </c>
      <c r="O15" s="123"/>
      <c r="P15" s="105">
        <v>50.0</v>
      </c>
      <c r="Q15" s="106" t="s">
        <v>655</v>
      </c>
      <c r="R15" s="107" t="s">
        <v>121</v>
      </c>
      <c r="S15" s="105">
        <v>0.0</v>
      </c>
      <c r="T15" s="108">
        <v>0.0</v>
      </c>
      <c r="U15" s="108">
        <v>0.0</v>
      </c>
      <c r="V15" s="108">
        <v>50.0</v>
      </c>
      <c r="W15" s="109" t="s">
        <v>621</v>
      </c>
      <c r="X15" s="101" t="s">
        <v>623</v>
      </c>
      <c r="Y15" s="100" t="s">
        <v>624</v>
      </c>
      <c r="Z15" s="101" t="s">
        <v>625</v>
      </c>
      <c r="AA15" s="100" t="s">
        <v>152</v>
      </c>
      <c r="AB15" s="100" t="s">
        <v>173</v>
      </c>
      <c r="AC15" s="100" t="s">
        <v>128</v>
      </c>
      <c r="AD15" s="100" t="s">
        <v>154</v>
      </c>
      <c r="AE15" s="100" t="s">
        <v>291</v>
      </c>
      <c r="AF15" s="100" t="s">
        <v>210</v>
      </c>
      <c r="AG15" s="144">
        <v>0.0</v>
      </c>
      <c r="AH15" s="129"/>
      <c r="AI15" s="112"/>
      <c r="AJ15" s="113">
        <f t="shared" si="1"/>
        <v>44298</v>
      </c>
      <c r="AK15" s="114">
        <f t="shared" si="2"/>
        <v>-416</v>
      </c>
      <c r="AL15" s="115" t="str">
        <f t="shared" si="3"/>
        <v>Pendiente Justificación
Pendiente Evidencia</v>
      </c>
      <c r="AM15" s="115"/>
      <c r="AN15" s="116"/>
    </row>
    <row r="16" ht="67.5" customHeight="1">
      <c r="A16" s="37"/>
      <c r="B16" s="100">
        <v>110.0</v>
      </c>
      <c r="C16" s="100" t="s">
        <v>277</v>
      </c>
      <c r="D16" s="100" t="s">
        <v>621</v>
      </c>
      <c r="E16" s="100" t="s">
        <v>279</v>
      </c>
      <c r="F16" s="100">
        <v>2.01901100028E12</v>
      </c>
      <c r="G16" s="101" t="s">
        <v>280</v>
      </c>
      <c r="H16" s="100" t="s">
        <v>281</v>
      </c>
      <c r="I16" s="100" t="s">
        <v>282</v>
      </c>
      <c r="J16" s="100" t="s">
        <v>283</v>
      </c>
      <c r="K16" s="102" t="s">
        <v>141</v>
      </c>
      <c r="L16" s="102" t="s">
        <v>118</v>
      </c>
      <c r="M16" s="102" t="s">
        <v>119</v>
      </c>
      <c r="N16" s="103" t="s">
        <v>656</v>
      </c>
      <c r="O16" s="123"/>
      <c r="P16" s="105">
        <v>5000.0</v>
      </c>
      <c r="Q16" s="106" t="s">
        <v>657</v>
      </c>
      <c r="R16" s="107" t="s">
        <v>163</v>
      </c>
      <c r="S16" s="105">
        <v>700.0</v>
      </c>
      <c r="T16" s="108">
        <v>1000.0</v>
      </c>
      <c r="U16" s="108">
        <v>1800.0</v>
      </c>
      <c r="V16" s="108">
        <v>1500.0</v>
      </c>
      <c r="W16" s="109" t="s">
        <v>621</v>
      </c>
      <c r="X16" s="101" t="s">
        <v>623</v>
      </c>
      <c r="Y16" s="100" t="s">
        <v>624</v>
      </c>
      <c r="Z16" s="101" t="s">
        <v>625</v>
      </c>
      <c r="AA16" s="100" t="s">
        <v>152</v>
      </c>
      <c r="AB16" s="100" t="s">
        <v>173</v>
      </c>
      <c r="AC16" s="100" t="s">
        <v>290</v>
      </c>
      <c r="AD16" s="100" t="s">
        <v>154</v>
      </c>
      <c r="AE16" s="100" t="s">
        <v>291</v>
      </c>
      <c r="AF16" s="100" t="s">
        <v>210</v>
      </c>
      <c r="AG16" s="144">
        <v>2802.0</v>
      </c>
      <c r="AH16" s="111" t="s">
        <v>658</v>
      </c>
      <c r="AI16" s="117" t="s">
        <v>659</v>
      </c>
      <c r="AJ16" s="113">
        <f t="shared" si="1"/>
        <v>44298</v>
      </c>
      <c r="AK16" s="114">
        <f t="shared" si="2"/>
        <v>-416</v>
      </c>
      <c r="AL16" s="115" t="str">
        <f t="shared" si="3"/>
        <v>Reporte ok</v>
      </c>
      <c r="AM16" s="115"/>
      <c r="AN16" s="116"/>
    </row>
    <row r="17" ht="67.5" customHeight="1">
      <c r="A17" s="37"/>
      <c r="B17" s="100">
        <v>111.0</v>
      </c>
      <c r="C17" s="100" t="s">
        <v>331</v>
      </c>
      <c r="D17" s="100" t="s">
        <v>621</v>
      </c>
      <c r="E17" s="100" t="s">
        <v>333</v>
      </c>
      <c r="F17" s="100">
        <v>2.019011000276E12</v>
      </c>
      <c r="G17" s="101" t="s">
        <v>334</v>
      </c>
      <c r="H17" s="100" t="s">
        <v>345</v>
      </c>
      <c r="I17" s="100" t="s">
        <v>346</v>
      </c>
      <c r="J17" s="100" t="s">
        <v>347</v>
      </c>
      <c r="K17" s="102" t="s">
        <v>141</v>
      </c>
      <c r="L17" s="102" t="s">
        <v>118</v>
      </c>
      <c r="M17" s="102" t="s">
        <v>119</v>
      </c>
      <c r="N17" s="103" t="s">
        <v>660</v>
      </c>
      <c r="O17" s="123"/>
      <c r="P17" s="105">
        <v>1000.0</v>
      </c>
      <c r="Q17" s="106" t="s">
        <v>661</v>
      </c>
      <c r="R17" s="107" t="s">
        <v>163</v>
      </c>
      <c r="S17" s="105">
        <v>130.0</v>
      </c>
      <c r="T17" s="108">
        <v>300.0</v>
      </c>
      <c r="U17" s="108">
        <v>300.0</v>
      </c>
      <c r="V17" s="108">
        <v>270.0</v>
      </c>
      <c r="W17" s="109" t="s">
        <v>621</v>
      </c>
      <c r="X17" s="101" t="s">
        <v>623</v>
      </c>
      <c r="Y17" s="100" t="s">
        <v>624</v>
      </c>
      <c r="Z17" s="101" t="s">
        <v>625</v>
      </c>
      <c r="AA17" s="100" t="s">
        <v>152</v>
      </c>
      <c r="AB17" s="100" t="s">
        <v>173</v>
      </c>
      <c r="AC17" s="100" t="s">
        <v>343</v>
      </c>
      <c r="AD17" s="100" t="s">
        <v>154</v>
      </c>
      <c r="AE17" s="100" t="s">
        <v>291</v>
      </c>
      <c r="AF17" s="100" t="s">
        <v>210</v>
      </c>
      <c r="AG17" s="144">
        <v>292.0</v>
      </c>
      <c r="AH17" s="111" t="s">
        <v>662</v>
      </c>
      <c r="AI17" s="117" t="s">
        <v>663</v>
      </c>
      <c r="AJ17" s="113">
        <f t="shared" si="1"/>
        <v>44298</v>
      </c>
      <c r="AK17" s="114">
        <f t="shared" si="2"/>
        <v>-416</v>
      </c>
      <c r="AL17" s="115" t="str">
        <f t="shared" si="3"/>
        <v>Reporte ok</v>
      </c>
      <c r="AM17" s="115"/>
      <c r="AN17" s="116"/>
    </row>
    <row r="18" ht="67.5" customHeight="1">
      <c r="A18" s="37"/>
      <c r="B18" s="100">
        <v>112.0</v>
      </c>
      <c r="C18" s="100" t="s">
        <v>331</v>
      </c>
      <c r="D18" s="100" t="s">
        <v>621</v>
      </c>
      <c r="E18" s="100" t="s">
        <v>333</v>
      </c>
      <c r="F18" s="100">
        <v>2.019011000276E12</v>
      </c>
      <c r="G18" s="101" t="s">
        <v>334</v>
      </c>
      <c r="H18" s="100" t="s">
        <v>345</v>
      </c>
      <c r="I18" s="100" t="s">
        <v>346</v>
      </c>
      <c r="J18" s="100" t="s">
        <v>347</v>
      </c>
      <c r="K18" s="102" t="s">
        <v>306</v>
      </c>
      <c r="L18" s="102" t="s">
        <v>118</v>
      </c>
      <c r="M18" s="102" t="s">
        <v>119</v>
      </c>
      <c r="N18" s="103" t="s">
        <v>664</v>
      </c>
      <c r="O18" s="123"/>
      <c r="P18" s="105">
        <v>25.0</v>
      </c>
      <c r="Q18" s="106" t="s">
        <v>665</v>
      </c>
      <c r="R18" s="107" t="s">
        <v>163</v>
      </c>
      <c r="S18" s="105">
        <v>5.0</v>
      </c>
      <c r="T18" s="108">
        <v>7.0</v>
      </c>
      <c r="U18" s="108">
        <v>7.0</v>
      </c>
      <c r="V18" s="108">
        <v>6.0</v>
      </c>
      <c r="W18" s="109" t="s">
        <v>621</v>
      </c>
      <c r="X18" s="101" t="s">
        <v>623</v>
      </c>
      <c r="Y18" s="100" t="s">
        <v>624</v>
      </c>
      <c r="Z18" s="101" t="s">
        <v>625</v>
      </c>
      <c r="AA18" s="100" t="s">
        <v>152</v>
      </c>
      <c r="AB18" s="100" t="s">
        <v>173</v>
      </c>
      <c r="AC18" s="100" t="s">
        <v>343</v>
      </c>
      <c r="AD18" s="100" t="s">
        <v>154</v>
      </c>
      <c r="AE18" s="100" t="s">
        <v>291</v>
      </c>
      <c r="AF18" s="100" t="s">
        <v>210</v>
      </c>
      <c r="AG18" s="144">
        <v>5.0</v>
      </c>
      <c r="AH18" s="111" t="s">
        <v>666</v>
      </c>
      <c r="AI18" s="117" t="s">
        <v>667</v>
      </c>
      <c r="AJ18" s="113">
        <f t="shared" si="1"/>
        <v>44298</v>
      </c>
      <c r="AK18" s="114">
        <f t="shared" si="2"/>
        <v>-416</v>
      </c>
      <c r="AL18" s="115" t="str">
        <f t="shared" si="3"/>
        <v>Reporte ok</v>
      </c>
      <c r="AM18" s="115"/>
      <c r="AN18" s="116"/>
    </row>
    <row r="19" ht="67.5" customHeight="1">
      <c r="A19" s="37"/>
      <c r="B19" s="100">
        <v>113.0</v>
      </c>
      <c r="C19" s="100" t="s">
        <v>331</v>
      </c>
      <c r="D19" s="100" t="s">
        <v>621</v>
      </c>
      <c r="E19" s="100" t="s">
        <v>333</v>
      </c>
      <c r="F19" s="100">
        <v>2.019011000276E12</v>
      </c>
      <c r="G19" s="101" t="s">
        <v>334</v>
      </c>
      <c r="H19" s="100" t="s">
        <v>335</v>
      </c>
      <c r="I19" s="100" t="s">
        <v>336</v>
      </c>
      <c r="J19" s="100" t="s">
        <v>337</v>
      </c>
      <c r="K19" s="102" t="s">
        <v>141</v>
      </c>
      <c r="L19" s="102" t="s">
        <v>118</v>
      </c>
      <c r="M19" s="102" t="s">
        <v>119</v>
      </c>
      <c r="N19" s="103" t="s">
        <v>668</v>
      </c>
      <c r="O19" s="123"/>
      <c r="P19" s="105">
        <v>30.0</v>
      </c>
      <c r="Q19" s="106" t="s">
        <v>669</v>
      </c>
      <c r="R19" s="107" t="s">
        <v>163</v>
      </c>
      <c r="S19" s="105">
        <v>5.0</v>
      </c>
      <c r="T19" s="108">
        <v>10.0</v>
      </c>
      <c r="U19" s="108">
        <v>10.0</v>
      </c>
      <c r="V19" s="108">
        <v>5.0</v>
      </c>
      <c r="W19" s="109" t="s">
        <v>621</v>
      </c>
      <c r="X19" s="101" t="s">
        <v>623</v>
      </c>
      <c r="Y19" s="100" t="s">
        <v>624</v>
      </c>
      <c r="Z19" s="101" t="s">
        <v>625</v>
      </c>
      <c r="AA19" s="100" t="s">
        <v>152</v>
      </c>
      <c r="AB19" s="100" t="s">
        <v>173</v>
      </c>
      <c r="AC19" s="100" t="s">
        <v>290</v>
      </c>
      <c r="AD19" s="100" t="s">
        <v>154</v>
      </c>
      <c r="AE19" s="100" t="s">
        <v>291</v>
      </c>
      <c r="AF19" s="100" t="s">
        <v>210</v>
      </c>
      <c r="AG19" s="144">
        <v>7.0</v>
      </c>
      <c r="AH19" s="111" t="s">
        <v>670</v>
      </c>
      <c r="AI19" s="117" t="s">
        <v>671</v>
      </c>
      <c r="AJ19" s="113">
        <f t="shared" si="1"/>
        <v>44298</v>
      </c>
      <c r="AK19" s="114">
        <f t="shared" si="2"/>
        <v>-416</v>
      </c>
      <c r="AL19" s="115" t="str">
        <f t="shared" si="3"/>
        <v>Reporte ok</v>
      </c>
      <c r="AM19" s="115"/>
      <c r="AN19" s="116"/>
    </row>
    <row r="20" ht="67.5" customHeight="1">
      <c r="A20" s="37"/>
      <c r="B20" s="100">
        <v>114.0</v>
      </c>
      <c r="C20" s="100" t="s">
        <v>331</v>
      </c>
      <c r="D20" s="100" t="s">
        <v>621</v>
      </c>
      <c r="E20" s="100" t="s">
        <v>333</v>
      </c>
      <c r="F20" s="100">
        <v>2.019011000276E12</v>
      </c>
      <c r="G20" s="101" t="s">
        <v>334</v>
      </c>
      <c r="H20" s="100" t="s">
        <v>335</v>
      </c>
      <c r="I20" s="100" t="s">
        <v>336</v>
      </c>
      <c r="J20" s="100" t="s">
        <v>337</v>
      </c>
      <c r="K20" s="102" t="s">
        <v>141</v>
      </c>
      <c r="L20" s="102" t="s">
        <v>118</v>
      </c>
      <c r="M20" s="102" t="s">
        <v>119</v>
      </c>
      <c r="N20" s="103" t="s">
        <v>672</v>
      </c>
      <c r="O20" s="123"/>
      <c r="P20" s="105">
        <v>30.0</v>
      </c>
      <c r="Q20" s="106" t="s">
        <v>673</v>
      </c>
      <c r="R20" s="107" t="s">
        <v>163</v>
      </c>
      <c r="S20" s="105">
        <v>5.0</v>
      </c>
      <c r="T20" s="108">
        <v>10.0</v>
      </c>
      <c r="U20" s="108">
        <v>10.0</v>
      </c>
      <c r="V20" s="108">
        <v>5.0</v>
      </c>
      <c r="W20" s="109" t="s">
        <v>621</v>
      </c>
      <c r="X20" s="101" t="s">
        <v>623</v>
      </c>
      <c r="Y20" s="100" t="s">
        <v>624</v>
      </c>
      <c r="Z20" s="101" t="s">
        <v>625</v>
      </c>
      <c r="AA20" s="100" t="s">
        <v>152</v>
      </c>
      <c r="AB20" s="100" t="s">
        <v>173</v>
      </c>
      <c r="AC20" s="100" t="s">
        <v>290</v>
      </c>
      <c r="AD20" s="100" t="s">
        <v>154</v>
      </c>
      <c r="AE20" s="100" t="s">
        <v>291</v>
      </c>
      <c r="AF20" s="100" t="s">
        <v>210</v>
      </c>
      <c r="AG20" s="144">
        <v>1.0</v>
      </c>
      <c r="AH20" s="111" t="s">
        <v>674</v>
      </c>
      <c r="AI20" s="117" t="s">
        <v>675</v>
      </c>
      <c r="AJ20" s="113">
        <f t="shared" si="1"/>
        <v>44298</v>
      </c>
      <c r="AK20" s="114">
        <f t="shared" si="2"/>
        <v>-416</v>
      </c>
      <c r="AL20" s="115" t="str">
        <f t="shared" si="3"/>
        <v>Reporte ok</v>
      </c>
      <c r="AM20" s="115"/>
      <c r="AN20" s="116"/>
    </row>
    <row r="21" ht="67.5" customHeight="1">
      <c r="A21" s="37"/>
      <c r="B21" s="119"/>
      <c r="C21" s="119"/>
      <c r="D21" s="119"/>
      <c r="E21" s="119"/>
      <c r="F21" s="119"/>
      <c r="G21" s="120"/>
      <c r="H21" s="119"/>
      <c r="I21" s="119"/>
      <c r="J21" s="119"/>
      <c r="K21" s="121"/>
      <c r="L21" s="121"/>
      <c r="M21" s="121"/>
      <c r="N21" s="122"/>
      <c r="O21" s="123"/>
      <c r="P21" s="124"/>
      <c r="Q21" s="125"/>
      <c r="R21" s="126"/>
      <c r="S21" s="124"/>
      <c r="T21" s="127"/>
      <c r="U21" s="127"/>
      <c r="V21" s="127"/>
      <c r="W21" s="128"/>
      <c r="X21" s="120"/>
      <c r="Y21" s="119"/>
      <c r="Z21" s="120"/>
      <c r="AA21" s="119"/>
      <c r="AB21" s="119"/>
      <c r="AC21" s="119"/>
      <c r="AD21" s="119"/>
      <c r="AE21" s="119"/>
      <c r="AF21" s="119"/>
      <c r="AG21" s="144"/>
      <c r="AH21" s="129"/>
      <c r="AI21" s="112"/>
      <c r="AJ21" s="113"/>
      <c r="AK21" s="114"/>
      <c r="AL21" s="115"/>
      <c r="AM21" s="115"/>
      <c r="AN21" s="116"/>
    </row>
    <row r="22" ht="67.5" customHeight="1">
      <c r="A22" s="37"/>
      <c r="B22" s="119"/>
      <c r="C22" s="119"/>
      <c r="D22" s="119"/>
      <c r="E22" s="119"/>
      <c r="F22" s="119"/>
      <c r="G22" s="120"/>
      <c r="H22" s="119"/>
      <c r="I22" s="119"/>
      <c r="J22" s="119"/>
      <c r="K22" s="121"/>
      <c r="L22" s="121"/>
      <c r="M22" s="121"/>
      <c r="N22" s="122"/>
      <c r="O22" s="123"/>
      <c r="P22" s="124"/>
      <c r="Q22" s="125"/>
      <c r="R22" s="126"/>
      <c r="S22" s="124"/>
      <c r="T22" s="127"/>
      <c r="U22" s="127"/>
      <c r="V22" s="127"/>
      <c r="W22" s="128"/>
      <c r="X22" s="120"/>
      <c r="Y22" s="119"/>
      <c r="Z22" s="120"/>
      <c r="AA22" s="119"/>
      <c r="AB22" s="119"/>
      <c r="AC22" s="119"/>
      <c r="AD22" s="119"/>
      <c r="AE22" s="119"/>
      <c r="AF22" s="119"/>
      <c r="AG22" s="144"/>
      <c r="AH22" s="129"/>
      <c r="AI22" s="112"/>
      <c r="AJ22" s="113"/>
      <c r="AK22" s="114"/>
      <c r="AL22" s="115"/>
      <c r="AM22" s="115"/>
      <c r="AN22" s="116"/>
    </row>
    <row r="23" ht="15.75" customHeight="1">
      <c r="AG23" s="144"/>
    </row>
  </sheetData>
  <autoFilter ref="$A$3:$AN$23"/>
  <mergeCells count="2">
    <mergeCell ref="B1:C1"/>
    <mergeCell ref="AG2:AM2"/>
  </mergeCells>
  <conditionalFormatting sqref="AK4:AK22">
    <cfRule type="cellIs" dxfId="2" priority="1" operator="greaterThan">
      <formula>0</formula>
    </cfRule>
  </conditionalFormatting>
  <conditionalFormatting sqref="AK4:AK22">
    <cfRule type="cellIs" dxfId="3" priority="2" operator="lessThan">
      <formula>0</formula>
    </cfRule>
  </conditionalFormatting>
  <dataValidations>
    <dataValidation type="decimal" allowBlank="1" showDropDown="1" showInputMessage="1" showErrorMessage="1" prompt="Recuerde que debe ingresar un valor numérico o porcentaje" sqref="AG4:AG5 AG7:AG22">
      <formula1>0.0</formula1>
      <formula2>5000000.0</formula2>
    </dataValidation>
    <dataValidation type="decimal" allowBlank="1" showDropDown="1" showInputMessage="1" showErrorMessage="1" prompt="Recuerde que debe ingresar un valor numérico o porcentaje" sqref="AG6">
      <formula1>0.0</formula1>
      <formula2>1.0E7</formula2>
    </dataValidation>
  </dataValidations>
  <hyperlinks>
    <hyperlink display="Home" location="Home!A1" ref="B1"/>
    <hyperlink r:id="rId1" ref="AI4"/>
    <hyperlink r:id="rId2" ref="AI5"/>
    <hyperlink r:id="rId3" ref="AI6"/>
    <hyperlink r:id="rId4" ref="AI8"/>
    <hyperlink r:id="rId5" ref="AI13"/>
    <hyperlink r:id="rId6" ref="AI16"/>
    <hyperlink r:id="rId7" ref="AI17"/>
    <hyperlink r:id="rId8" ref="AI18"/>
    <hyperlink r:id="rId9" ref="AI19"/>
    <hyperlink r:id="rId10" ref="AI20"/>
  </hyperlinks>
  <printOptions gridLines="1" horizontalCentered="1"/>
  <pageMargins bottom="0.75" footer="0.0" header="0.0" left="0.7" right="0.7" top="0.75"/>
  <pageSetup cellComments="atEnd" orientation="portrait" pageOrder="overThenDown"/>
  <drawing r:id="rId11"/>
</worksheet>
</file>

<file path=xl/worksheets/sheet2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9.63"/>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125.0</v>
      </c>
      <c r="C4" s="100" t="s">
        <v>277</v>
      </c>
      <c r="D4" s="100" t="s">
        <v>676</v>
      </c>
      <c r="E4" s="100" t="s">
        <v>279</v>
      </c>
      <c r="F4" s="100">
        <v>2.01901100028E12</v>
      </c>
      <c r="G4" s="101" t="s">
        <v>280</v>
      </c>
      <c r="H4" s="100" t="s">
        <v>281</v>
      </c>
      <c r="I4" s="100" t="s">
        <v>282</v>
      </c>
      <c r="J4" s="100" t="s">
        <v>283</v>
      </c>
      <c r="K4" s="102" t="s">
        <v>117</v>
      </c>
      <c r="L4" s="102" t="s">
        <v>118</v>
      </c>
      <c r="M4" s="102" t="s">
        <v>119</v>
      </c>
      <c r="N4" s="103" t="s">
        <v>568</v>
      </c>
      <c r="O4" s="104">
        <v>-7140.0</v>
      </c>
      <c r="P4" s="105">
        <v>410.0</v>
      </c>
      <c r="Q4" s="106" t="s">
        <v>677</v>
      </c>
      <c r="R4" s="107" t="s">
        <v>163</v>
      </c>
      <c r="S4" s="105">
        <v>105.0</v>
      </c>
      <c r="T4" s="108">
        <v>85.0</v>
      </c>
      <c r="U4" s="108">
        <v>120.0</v>
      </c>
      <c r="V4" s="108">
        <v>100.0</v>
      </c>
      <c r="W4" s="109" t="s">
        <v>676</v>
      </c>
      <c r="X4" s="101" t="s">
        <v>678</v>
      </c>
      <c r="Y4" s="100" t="s">
        <v>624</v>
      </c>
      <c r="Z4" s="101" t="s">
        <v>679</v>
      </c>
      <c r="AA4" s="100" t="s">
        <v>444</v>
      </c>
      <c r="AB4" s="100" t="s">
        <v>173</v>
      </c>
      <c r="AC4" s="100" t="s">
        <v>290</v>
      </c>
      <c r="AD4" s="100" t="s">
        <v>154</v>
      </c>
      <c r="AE4" s="100" t="s">
        <v>291</v>
      </c>
      <c r="AF4" s="100" t="s">
        <v>210</v>
      </c>
      <c r="AG4" s="144">
        <v>172.0</v>
      </c>
      <c r="AH4" s="111" t="s">
        <v>680</v>
      </c>
      <c r="AI4" s="151" t="s">
        <v>681</v>
      </c>
      <c r="AJ4" s="113">
        <f t="shared" ref="AJ4:AJ15" si="1">$AK$1</f>
        <v>44298</v>
      </c>
      <c r="AK4" s="114">
        <f t="shared" ref="AK4:AK15" si="2">AJ4-$AL$1</f>
        <v>-416</v>
      </c>
      <c r="AL4" s="115" t="str">
        <f t="shared" ref="AL4:AL15" si="3">IF(ISBLANK(AG4),"Pendiente Ejecución"&amp;CHAR(10),)&amp;IF(ISBLANK(AH4),"Pendiente Justificación"&amp;CHAR(10),)&amp;IF(ISBLANK(AI4),"Pendiente Evidencia",)&amp;IF(OR(ISBLANK(AG4),ISBLANK(AH4),ISBLANK(AI4)),,"Reporte ok")</f>
        <v>Reporte ok</v>
      </c>
      <c r="AM4" s="115"/>
      <c r="AN4" s="116"/>
    </row>
    <row r="5" ht="67.5" customHeight="1">
      <c r="A5" s="37"/>
      <c r="B5" s="100">
        <v>126.0</v>
      </c>
      <c r="C5" s="100" t="s">
        <v>277</v>
      </c>
      <c r="D5" s="100" t="s">
        <v>676</v>
      </c>
      <c r="E5" s="100" t="s">
        <v>279</v>
      </c>
      <c r="F5" s="100">
        <v>2.01901100028E12</v>
      </c>
      <c r="G5" s="101" t="s">
        <v>280</v>
      </c>
      <c r="H5" s="100" t="s">
        <v>281</v>
      </c>
      <c r="I5" s="100" t="s">
        <v>596</v>
      </c>
      <c r="J5" s="100" t="s">
        <v>302</v>
      </c>
      <c r="K5" s="102" t="s">
        <v>117</v>
      </c>
      <c r="L5" s="102" t="s">
        <v>118</v>
      </c>
      <c r="M5" s="102" t="s">
        <v>119</v>
      </c>
      <c r="N5" s="103" t="s">
        <v>597</v>
      </c>
      <c r="O5" s="104">
        <v>-1.0</v>
      </c>
      <c r="P5" s="105">
        <v>20000.0</v>
      </c>
      <c r="Q5" s="106" t="s">
        <v>682</v>
      </c>
      <c r="R5" s="107" t="s">
        <v>163</v>
      </c>
      <c r="S5" s="105">
        <v>0.0</v>
      </c>
      <c r="T5" s="108">
        <v>5000.0</v>
      </c>
      <c r="U5" s="108">
        <v>5000.0</v>
      </c>
      <c r="V5" s="108">
        <v>10000.0</v>
      </c>
      <c r="W5" s="109" t="s">
        <v>676</v>
      </c>
      <c r="X5" s="101" t="s">
        <v>678</v>
      </c>
      <c r="Y5" s="100" t="s">
        <v>624</v>
      </c>
      <c r="Z5" s="101" t="s">
        <v>679</v>
      </c>
      <c r="AA5" s="100" t="s">
        <v>444</v>
      </c>
      <c r="AB5" s="100" t="s">
        <v>173</v>
      </c>
      <c r="AC5" s="100" t="s">
        <v>128</v>
      </c>
      <c r="AD5" s="100" t="s">
        <v>154</v>
      </c>
      <c r="AE5" s="100" t="s">
        <v>291</v>
      </c>
      <c r="AF5" s="100" t="s">
        <v>210</v>
      </c>
      <c r="AG5" s="144">
        <v>0.0</v>
      </c>
      <c r="AH5" s="111" t="s">
        <v>683</v>
      </c>
      <c r="AI5" s="111" t="s">
        <v>683</v>
      </c>
      <c r="AJ5" s="113">
        <f t="shared" si="1"/>
        <v>44298</v>
      </c>
      <c r="AK5" s="114">
        <f t="shared" si="2"/>
        <v>-416</v>
      </c>
      <c r="AL5" s="115" t="str">
        <f t="shared" si="3"/>
        <v>Reporte ok</v>
      </c>
      <c r="AM5" s="115"/>
      <c r="AN5" s="116"/>
    </row>
    <row r="6" ht="67.5" customHeight="1">
      <c r="A6" s="37"/>
      <c r="B6" s="100">
        <v>127.0</v>
      </c>
      <c r="C6" s="100" t="s">
        <v>277</v>
      </c>
      <c r="D6" s="100" t="s">
        <v>676</v>
      </c>
      <c r="E6" s="100" t="s">
        <v>279</v>
      </c>
      <c r="F6" s="100">
        <v>2.01901100028E12</v>
      </c>
      <c r="G6" s="101" t="s">
        <v>280</v>
      </c>
      <c r="H6" s="100" t="s">
        <v>281</v>
      </c>
      <c r="I6" s="100" t="s">
        <v>600</v>
      </c>
      <c r="J6" s="100" t="s">
        <v>305</v>
      </c>
      <c r="K6" s="102" t="s">
        <v>117</v>
      </c>
      <c r="L6" s="102" t="s">
        <v>118</v>
      </c>
      <c r="M6" s="102" t="s">
        <v>119</v>
      </c>
      <c r="N6" s="103" t="s">
        <v>338</v>
      </c>
      <c r="O6" s="104">
        <v>-7140.0</v>
      </c>
      <c r="P6" s="105">
        <v>3.0</v>
      </c>
      <c r="Q6" s="106" t="s">
        <v>684</v>
      </c>
      <c r="R6" s="107" t="s">
        <v>163</v>
      </c>
      <c r="S6" s="105">
        <v>0.0</v>
      </c>
      <c r="T6" s="108">
        <v>1.0</v>
      </c>
      <c r="U6" s="108">
        <v>1.0</v>
      </c>
      <c r="V6" s="108">
        <v>1.0</v>
      </c>
      <c r="W6" s="109" t="s">
        <v>676</v>
      </c>
      <c r="X6" s="101" t="s">
        <v>678</v>
      </c>
      <c r="Y6" s="100" t="s">
        <v>624</v>
      </c>
      <c r="Z6" s="101" t="s">
        <v>679</v>
      </c>
      <c r="AA6" s="100" t="s">
        <v>444</v>
      </c>
      <c r="AB6" s="100" t="s">
        <v>173</v>
      </c>
      <c r="AC6" s="100" t="s">
        <v>128</v>
      </c>
      <c r="AD6" s="100" t="s">
        <v>154</v>
      </c>
      <c r="AE6" s="100" t="s">
        <v>291</v>
      </c>
      <c r="AF6" s="100" t="s">
        <v>210</v>
      </c>
      <c r="AG6" s="144">
        <v>0.0</v>
      </c>
      <c r="AH6" s="111" t="s">
        <v>683</v>
      </c>
      <c r="AI6" s="111" t="s">
        <v>683</v>
      </c>
      <c r="AJ6" s="113">
        <f t="shared" si="1"/>
        <v>44298</v>
      </c>
      <c r="AK6" s="114">
        <f t="shared" si="2"/>
        <v>-416</v>
      </c>
      <c r="AL6" s="115" t="str">
        <f t="shared" si="3"/>
        <v>Reporte ok</v>
      </c>
      <c r="AM6" s="115"/>
      <c r="AN6" s="116"/>
    </row>
    <row r="7" ht="67.5" customHeight="1">
      <c r="A7" s="37"/>
      <c r="B7" s="100">
        <v>128.0</v>
      </c>
      <c r="C7" s="100" t="s">
        <v>277</v>
      </c>
      <c r="D7" s="100" t="s">
        <v>676</v>
      </c>
      <c r="E7" s="100" t="s">
        <v>279</v>
      </c>
      <c r="F7" s="100">
        <v>2.01901100028E12</v>
      </c>
      <c r="G7" s="101" t="s">
        <v>280</v>
      </c>
      <c r="H7" s="100" t="s">
        <v>281</v>
      </c>
      <c r="I7" s="100" t="s">
        <v>282</v>
      </c>
      <c r="J7" s="100" t="s">
        <v>324</v>
      </c>
      <c r="K7" s="102" t="s">
        <v>117</v>
      </c>
      <c r="L7" s="102" t="s">
        <v>118</v>
      </c>
      <c r="M7" s="102" t="s">
        <v>119</v>
      </c>
      <c r="N7" s="103" t="s">
        <v>685</v>
      </c>
      <c r="O7" s="104">
        <v>-7140.0</v>
      </c>
      <c r="P7" s="105">
        <v>35.0</v>
      </c>
      <c r="Q7" s="106" t="s">
        <v>686</v>
      </c>
      <c r="R7" s="107" t="s">
        <v>163</v>
      </c>
      <c r="S7" s="105">
        <v>0.0</v>
      </c>
      <c r="T7" s="108">
        <v>10.0</v>
      </c>
      <c r="U7" s="108">
        <v>15.0</v>
      </c>
      <c r="V7" s="108">
        <v>10.0</v>
      </c>
      <c r="W7" s="109" t="s">
        <v>676</v>
      </c>
      <c r="X7" s="101" t="s">
        <v>678</v>
      </c>
      <c r="Y7" s="100" t="s">
        <v>624</v>
      </c>
      <c r="Z7" s="101" t="s">
        <v>679</v>
      </c>
      <c r="AA7" s="100" t="s">
        <v>444</v>
      </c>
      <c r="AB7" s="100" t="s">
        <v>173</v>
      </c>
      <c r="AC7" s="100" t="s">
        <v>128</v>
      </c>
      <c r="AD7" s="100" t="s">
        <v>154</v>
      </c>
      <c r="AE7" s="100" t="s">
        <v>291</v>
      </c>
      <c r="AF7" s="100" t="s">
        <v>210</v>
      </c>
      <c r="AG7" s="144">
        <v>0.0</v>
      </c>
      <c r="AH7" s="111" t="s">
        <v>683</v>
      </c>
      <c r="AI7" s="111" t="s">
        <v>683</v>
      </c>
      <c r="AJ7" s="113">
        <f t="shared" si="1"/>
        <v>44298</v>
      </c>
      <c r="AK7" s="114">
        <f t="shared" si="2"/>
        <v>-416</v>
      </c>
      <c r="AL7" s="115" t="str">
        <f t="shared" si="3"/>
        <v>Reporte ok</v>
      </c>
      <c r="AM7" s="115"/>
      <c r="AN7" s="116"/>
    </row>
    <row r="8" ht="67.5" customHeight="1">
      <c r="A8" s="37"/>
      <c r="B8" s="100">
        <v>129.0</v>
      </c>
      <c r="C8" s="100" t="s">
        <v>277</v>
      </c>
      <c r="D8" s="100" t="s">
        <v>676</v>
      </c>
      <c r="E8" s="100" t="s">
        <v>279</v>
      </c>
      <c r="F8" s="100">
        <v>2.01901100028E12</v>
      </c>
      <c r="G8" s="101" t="s">
        <v>280</v>
      </c>
      <c r="H8" s="100" t="s">
        <v>281</v>
      </c>
      <c r="I8" s="100" t="s">
        <v>282</v>
      </c>
      <c r="J8" s="100" t="s">
        <v>324</v>
      </c>
      <c r="K8" s="102" t="s">
        <v>141</v>
      </c>
      <c r="L8" s="102" t="s">
        <v>118</v>
      </c>
      <c r="M8" s="102" t="s">
        <v>119</v>
      </c>
      <c r="N8" s="103" t="s">
        <v>687</v>
      </c>
      <c r="O8" s="123"/>
      <c r="P8" s="105">
        <v>30.0</v>
      </c>
      <c r="Q8" s="106" t="s">
        <v>688</v>
      </c>
      <c r="R8" s="107" t="s">
        <v>163</v>
      </c>
      <c r="S8" s="105">
        <v>0.0</v>
      </c>
      <c r="T8" s="108">
        <v>10.0</v>
      </c>
      <c r="U8" s="108">
        <v>10.0</v>
      </c>
      <c r="V8" s="108">
        <v>10.0</v>
      </c>
      <c r="W8" s="109" t="s">
        <v>676</v>
      </c>
      <c r="X8" s="101" t="s">
        <v>678</v>
      </c>
      <c r="Y8" s="100" t="s">
        <v>624</v>
      </c>
      <c r="Z8" s="101" t="s">
        <v>679</v>
      </c>
      <c r="AA8" s="100" t="s">
        <v>444</v>
      </c>
      <c r="AB8" s="100" t="s">
        <v>173</v>
      </c>
      <c r="AC8" s="100" t="s">
        <v>128</v>
      </c>
      <c r="AD8" s="100" t="s">
        <v>154</v>
      </c>
      <c r="AE8" s="100" t="s">
        <v>291</v>
      </c>
      <c r="AF8" s="100" t="s">
        <v>210</v>
      </c>
      <c r="AG8" s="144">
        <v>0.0</v>
      </c>
      <c r="AH8" s="111" t="s">
        <v>689</v>
      </c>
      <c r="AI8" s="111" t="s">
        <v>683</v>
      </c>
      <c r="AJ8" s="113">
        <f t="shared" si="1"/>
        <v>44298</v>
      </c>
      <c r="AK8" s="114">
        <f t="shared" si="2"/>
        <v>-416</v>
      </c>
      <c r="AL8" s="115" t="str">
        <f t="shared" si="3"/>
        <v>Reporte ok</v>
      </c>
      <c r="AM8" s="115"/>
      <c r="AN8" s="116"/>
    </row>
    <row r="9" ht="67.5" customHeight="1">
      <c r="A9" s="37"/>
      <c r="B9" s="100">
        <v>130.0</v>
      </c>
      <c r="C9" s="100" t="s">
        <v>277</v>
      </c>
      <c r="D9" s="100" t="s">
        <v>676</v>
      </c>
      <c r="E9" s="100" t="s">
        <v>279</v>
      </c>
      <c r="F9" s="100">
        <v>2.01901100028E12</v>
      </c>
      <c r="G9" s="101" t="s">
        <v>280</v>
      </c>
      <c r="H9" s="100" t="s">
        <v>281</v>
      </c>
      <c r="I9" s="100" t="s">
        <v>282</v>
      </c>
      <c r="J9" s="100" t="s">
        <v>282</v>
      </c>
      <c r="K9" s="102" t="s">
        <v>141</v>
      </c>
      <c r="L9" s="102" t="s">
        <v>118</v>
      </c>
      <c r="M9" s="102" t="s">
        <v>119</v>
      </c>
      <c r="N9" s="103" t="s">
        <v>690</v>
      </c>
      <c r="O9" s="123"/>
      <c r="P9" s="105">
        <v>2000.0</v>
      </c>
      <c r="Q9" s="106" t="s">
        <v>691</v>
      </c>
      <c r="R9" s="107" t="s">
        <v>163</v>
      </c>
      <c r="S9" s="105">
        <v>200.0</v>
      </c>
      <c r="T9" s="108">
        <v>300.0</v>
      </c>
      <c r="U9" s="108">
        <v>750.0</v>
      </c>
      <c r="V9" s="108">
        <v>750.0</v>
      </c>
      <c r="W9" s="109" t="s">
        <v>676</v>
      </c>
      <c r="X9" s="101" t="s">
        <v>678</v>
      </c>
      <c r="Y9" s="100" t="s">
        <v>624</v>
      </c>
      <c r="Z9" s="101" t="s">
        <v>679</v>
      </c>
      <c r="AA9" s="100" t="s">
        <v>444</v>
      </c>
      <c r="AB9" s="100" t="s">
        <v>173</v>
      </c>
      <c r="AC9" s="100" t="s">
        <v>290</v>
      </c>
      <c r="AD9" s="100" t="s">
        <v>154</v>
      </c>
      <c r="AE9" s="100" t="s">
        <v>609</v>
      </c>
      <c r="AF9" s="100" t="s">
        <v>210</v>
      </c>
      <c r="AG9" s="144">
        <v>746.0</v>
      </c>
      <c r="AH9" s="111" t="s">
        <v>692</v>
      </c>
      <c r="AI9" s="111" t="s">
        <v>683</v>
      </c>
      <c r="AJ9" s="113">
        <f t="shared" si="1"/>
        <v>44298</v>
      </c>
      <c r="AK9" s="114">
        <f t="shared" si="2"/>
        <v>-416</v>
      </c>
      <c r="AL9" s="115" t="str">
        <f t="shared" si="3"/>
        <v>Reporte ok</v>
      </c>
      <c r="AM9" s="115"/>
      <c r="AN9" s="116"/>
    </row>
    <row r="10" ht="67.5" customHeight="1">
      <c r="A10" s="37"/>
      <c r="B10" s="100">
        <v>131.0</v>
      </c>
      <c r="C10" s="100" t="s">
        <v>277</v>
      </c>
      <c r="D10" s="100" t="s">
        <v>676</v>
      </c>
      <c r="E10" s="100" t="s">
        <v>333</v>
      </c>
      <c r="F10" s="100">
        <v>2.019011000276E12</v>
      </c>
      <c r="G10" s="101" t="s">
        <v>334</v>
      </c>
      <c r="H10" s="100" t="s">
        <v>345</v>
      </c>
      <c r="I10" s="100" t="s">
        <v>346</v>
      </c>
      <c r="J10" s="100" t="s">
        <v>346</v>
      </c>
      <c r="K10" s="102" t="s">
        <v>117</v>
      </c>
      <c r="L10" s="102" t="s">
        <v>118</v>
      </c>
      <c r="M10" s="102" t="s">
        <v>119</v>
      </c>
      <c r="N10" s="103" t="s">
        <v>348</v>
      </c>
      <c r="O10" s="104">
        <v>157.0</v>
      </c>
      <c r="P10" s="105">
        <v>600.0</v>
      </c>
      <c r="Q10" s="106" t="s">
        <v>693</v>
      </c>
      <c r="R10" s="107" t="s">
        <v>163</v>
      </c>
      <c r="S10" s="105">
        <v>130.0</v>
      </c>
      <c r="T10" s="108">
        <v>170.0</v>
      </c>
      <c r="U10" s="108">
        <v>170.0</v>
      </c>
      <c r="V10" s="108">
        <v>130.0</v>
      </c>
      <c r="W10" s="109" t="s">
        <v>676</v>
      </c>
      <c r="X10" s="101" t="s">
        <v>678</v>
      </c>
      <c r="Y10" s="100" t="s">
        <v>624</v>
      </c>
      <c r="Z10" s="101" t="s">
        <v>679</v>
      </c>
      <c r="AA10" s="100" t="s">
        <v>444</v>
      </c>
      <c r="AB10" s="100" t="s">
        <v>173</v>
      </c>
      <c r="AC10" s="100" t="s">
        <v>343</v>
      </c>
      <c r="AD10" s="100" t="s">
        <v>154</v>
      </c>
      <c r="AE10" s="100" t="s">
        <v>291</v>
      </c>
      <c r="AF10" s="100" t="s">
        <v>210</v>
      </c>
      <c r="AG10" s="144">
        <v>220.0</v>
      </c>
      <c r="AH10" s="111" t="s">
        <v>694</v>
      </c>
      <c r="AI10" s="137" t="s">
        <v>695</v>
      </c>
      <c r="AJ10" s="113">
        <f t="shared" si="1"/>
        <v>44298</v>
      </c>
      <c r="AK10" s="114">
        <f t="shared" si="2"/>
        <v>-416</v>
      </c>
      <c r="AL10" s="115" t="str">
        <f t="shared" si="3"/>
        <v>Reporte ok</v>
      </c>
      <c r="AM10" s="115"/>
      <c r="AN10" s="116"/>
    </row>
    <row r="11" ht="67.5" customHeight="1">
      <c r="A11" s="37"/>
      <c r="B11" s="100">
        <v>132.0</v>
      </c>
      <c r="C11" s="100" t="s">
        <v>331</v>
      </c>
      <c r="D11" s="100" t="s">
        <v>676</v>
      </c>
      <c r="E11" s="100" t="s">
        <v>333</v>
      </c>
      <c r="F11" s="100">
        <v>2.019011000276E12</v>
      </c>
      <c r="G11" s="101" t="s">
        <v>334</v>
      </c>
      <c r="H11" s="100" t="s">
        <v>335</v>
      </c>
      <c r="I11" s="100" t="s">
        <v>336</v>
      </c>
      <c r="J11" s="100" t="s">
        <v>336</v>
      </c>
      <c r="K11" s="102" t="s">
        <v>141</v>
      </c>
      <c r="L11" s="102" t="s">
        <v>118</v>
      </c>
      <c r="M11" s="102" t="s">
        <v>119</v>
      </c>
      <c r="N11" s="103" t="s">
        <v>696</v>
      </c>
      <c r="O11" s="123"/>
      <c r="P11" s="105">
        <v>50.0</v>
      </c>
      <c r="Q11" s="106" t="s">
        <v>697</v>
      </c>
      <c r="R11" s="107" t="s">
        <v>163</v>
      </c>
      <c r="S11" s="105">
        <v>10.0</v>
      </c>
      <c r="T11" s="108">
        <v>5.0</v>
      </c>
      <c r="U11" s="108">
        <v>5.0</v>
      </c>
      <c r="V11" s="108">
        <v>30.0</v>
      </c>
      <c r="W11" s="109" t="s">
        <v>676</v>
      </c>
      <c r="X11" s="101" t="s">
        <v>678</v>
      </c>
      <c r="Y11" s="100" t="s">
        <v>624</v>
      </c>
      <c r="Z11" s="101" t="s">
        <v>679</v>
      </c>
      <c r="AA11" s="100" t="s">
        <v>444</v>
      </c>
      <c r="AB11" s="100" t="s">
        <v>173</v>
      </c>
      <c r="AC11" s="100" t="s">
        <v>343</v>
      </c>
      <c r="AD11" s="100" t="s">
        <v>154</v>
      </c>
      <c r="AE11" s="100" t="s">
        <v>291</v>
      </c>
      <c r="AF11" s="100" t="s">
        <v>210</v>
      </c>
      <c r="AG11" s="144">
        <v>10.0</v>
      </c>
      <c r="AH11" s="111" t="s">
        <v>698</v>
      </c>
      <c r="AI11" s="137" t="s">
        <v>699</v>
      </c>
      <c r="AJ11" s="113">
        <f t="shared" si="1"/>
        <v>44298</v>
      </c>
      <c r="AK11" s="114">
        <f t="shared" si="2"/>
        <v>-416</v>
      </c>
      <c r="AL11" s="115" t="str">
        <f t="shared" si="3"/>
        <v>Reporte ok</v>
      </c>
      <c r="AM11" s="115"/>
      <c r="AN11" s="116"/>
    </row>
    <row r="12" ht="67.5" customHeight="1">
      <c r="A12" s="37"/>
      <c r="B12" s="100">
        <v>133.0</v>
      </c>
      <c r="C12" s="100" t="s">
        <v>432</v>
      </c>
      <c r="D12" s="100" t="s">
        <v>676</v>
      </c>
      <c r="E12" s="100" t="s">
        <v>434</v>
      </c>
      <c r="F12" s="100">
        <v>2.019011000277E12</v>
      </c>
      <c r="G12" s="101" t="s">
        <v>435</v>
      </c>
      <c r="H12" s="100" t="s">
        <v>436</v>
      </c>
      <c r="I12" s="100" t="s">
        <v>437</v>
      </c>
      <c r="J12" s="100" t="s">
        <v>437</v>
      </c>
      <c r="K12" s="102" t="s">
        <v>141</v>
      </c>
      <c r="L12" s="102" t="s">
        <v>118</v>
      </c>
      <c r="M12" s="102" t="s">
        <v>119</v>
      </c>
      <c r="N12" s="103" t="s">
        <v>700</v>
      </c>
      <c r="O12" s="123"/>
      <c r="P12" s="105">
        <v>49.0</v>
      </c>
      <c r="Q12" s="106" t="s">
        <v>701</v>
      </c>
      <c r="R12" s="107" t="s">
        <v>163</v>
      </c>
      <c r="S12" s="105">
        <v>4.0</v>
      </c>
      <c r="T12" s="108">
        <v>15.0</v>
      </c>
      <c r="U12" s="108">
        <v>15.0</v>
      </c>
      <c r="V12" s="108">
        <v>15.0</v>
      </c>
      <c r="W12" s="109" t="s">
        <v>676</v>
      </c>
      <c r="X12" s="101" t="s">
        <v>678</v>
      </c>
      <c r="Y12" s="100" t="s">
        <v>624</v>
      </c>
      <c r="Z12" s="101" t="s">
        <v>679</v>
      </c>
      <c r="AA12" s="100" t="s">
        <v>444</v>
      </c>
      <c r="AB12" s="100" t="s">
        <v>173</v>
      </c>
      <c r="AC12" s="100" t="s">
        <v>343</v>
      </c>
      <c r="AD12" s="100" t="s">
        <v>445</v>
      </c>
      <c r="AE12" s="100" t="s">
        <v>446</v>
      </c>
      <c r="AF12" s="100" t="s">
        <v>210</v>
      </c>
      <c r="AG12" s="144">
        <v>4.0</v>
      </c>
      <c r="AH12" s="111" t="s">
        <v>702</v>
      </c>
      <c r="AI12" s="117" t="s">
        <v>703</v>
      </c>
      <c r="AJ12" s="113">
        <f t="shared" si="1"/>
        <v>44298</v>
      </c>
      <c r="AK12" s="114">
        <f t="shared" si="2"/>
        <v>-416</v>
      </c>
      <c r="AL12" s="115" t="str">
        <f t="shared" si="3"/>
        <v>Reporte ok</v>
      </c>
      <c r="AM12" s="115"/>
      <c r="AN12" s="116"/>
    </row>
    <row r="13" ht="67.5" customHeight="1">
      <c r="A13" s="37"/>
      <c r="B13" s="100">
        <v>134.0</v>
      </c>
      <c r="C13" s="100" t="s">
        <v>432</v>
      </c>
      <c r="D13" s="100" t="s">
        <v>676</v>
      </c>
      <c r="E13" s="100" t="s">
        <v>434</v>
      </c>
      <c r="F13" s="100">
        <v>2.019011000277E12</v>
      </c>
      <c r="G13" s="101" t="s">
        <v>435</v>
      </c>
      <c r="H13" s="100" t="s">
        <v>436</v>
      </c>
      <c r="I13" s="100" t="s">
        <v>437</v>
      </c>
      <c r="J13" s="100" t="s">
        <v>437</v>
      </c>
      <c r="K13" s="102" t="s">
        <v>141</v>
      </c>
      <c r="L13" s="102" t="s">
        <v>118</v>
      </c>
      <c r="M13" s="102" t="s">
        <v>119</v>
      </c>
      <c r="N13" s="103" t="s">
        <v>700</v>
      </c>
      <c r="O13" s="123"/>
      <c r="P13" s="105">
        <v>79.0</v>
      </c>
      <c r="Q13" s="106" t="s">
        <v>704</v>
      </c>
      <c r="R13" s="107" t="s">
        <v>163</v>
      </c>
      <c r="S13" s="105">
        <v>7.0</v>
      </c>
      <c r="T13" s="108">
        <v>24.0</v>
      </c>
      <c r="U13" s="108">
        <v>24.0</v>
      </c>
      <c r="V13" s="108">
        <v>24.0</v>
      </c>
      <c r="W13" s="109" t="s">
        <v>676</v>
      </c>
      <c r="X13" s="101" t="s">
        <v>678</v>
      </c>
      <c r="Y13" s="100" t="s">
        <v>624</v>
      </c>
      <c r="Z13" s="101" t="s">
        <v>679</v>
      </c>
      <c r="AA13" s="100" t="s">
        <v>444</v>
      </c>
      <c r="AB13" s="100" t="s">
        <v>173</v>
      </c>
      <c r="AC13" s="100" t="s">
        <v>343</v>
      </c>
      <c r="AD13" s="100" t="s">
        <v>445</v>
      </c>
      <c r="AE13" s="100" t="s">
        <v>446</v>
      </c>
      <c r="AF13" s="100" t="s">
        <v>210</v>
      </c>
      <c r="AG13" s="144">
        <v>7.0</v>
      </c>
      <c r="AH13" s="111" t="s">
        <v>705</v>
      </c>
      <c r="AI13" s="137" t="s">
        <v>706</v>
      </c>
      <c r="AJ13" s="113">
        <f t="shared" si="1"/>
        <v>44298</v>
      </c>
      <c r="AK13" s="114">
        <f t="shared" si="2"/>
        <v>-416</v>
      </c>
      <c r="AL13" s="115" t="str">
        <f t="shared" si="3"/>
        <v>Reporte ok</v>
      </c>
      <c r="AM13" s="115"/>
      <c r="AN13" s="116"/>
    </row>
    <row r="14" ht="67.5" customHeight="1">
      <c r="A14" s="37"/>
      <c r="B14" s="100">
        <v>135.0</v>
      </c>
      <c r="C14" s="100" t="s">
        <v>432</v>
      </c>
      <c r="D14" s="100" t="s">
        <v>676</v>
      </c>
      <c r="E14" s="100" t="s">
        <v>434</v>
      </c>
      <c r="F14" s="100">
        <v>2.019011000277E12</v>
      </c>
      <c r="G14" s="101" t="s">
        <v>435</v>
      </c>
      <c r="H14" s="100" t="s">
        <v>436</v>
      </c>
      <c r="I14" s="100" t="s">
        <v>437</v>
      </c>
      <c r="J14" s="100" t="s">
        <v>437</v>
      </c>
      <c r="K14" s="102" t="s">
        <v>141</v>
      </c>
      <c r="L14" s="102" t="s">
        <v>118</v>
      </c>
      <c r="M14" s="102" t="s">
        <v>119</v>
      </c>
      <c r="N14" s="103" t="s">
        <v>700</v>
      </c>
      <c r="O14" s="123"/>
      <c r="P14" s="105">
        <v>20.0</v>
      </c>
      <c r="Q14" s="106" t="s">
        <v>707</v>
      </c>
      <c r="R14" s="107" t="s">
        <v>163</v>
      </c>
      <c r="S14" s="105">
        <v>2.0</v>
      </c>
      <c r="T14" s="108">
        <v>6.0</v>
      </c>
      <c r="U14" s="108">
        <v>6.0</v>
      </c>
      <c r="V14" s="108">
        <v>6.0</v>
      </c>
      <c r="W14" s="109" t="s">
        <v>676</v>
      </c>
      <c r="X14" s="101" t="s">
        <v>678</v>
      </c>
      <c r="Y14" s="100" t="s">
        <v>624</v>
      </c>
      <c r="Z14" s="101" t="s">
        <v>679</v>
      </c>
      <c r="AA14" s="100" t="s">
        <v>444</v>
      </c>
      <c r="AB14" s="100" t="s">
        <v>173</v>
      </c>
      <c r="AC14" s="100" t="s">
        <v>343</v>
      </c>
      <c r="AD14" s="100" t="s">
        <v>445</v>
      </c>
      <c r="AE14" s="100" t="s">
        <v>446</v>
      </c>
      <c r="AF14" s="100" t="s">
        <v>210</v>
      </c>
      <c r="AG14" s="144">
        <v>2.0</v>
      </c>
      <c r="AH14" s="111" t="s">
        <v>708</v>
      </c>
      <c r="AI14" s="137" t="s">
        <v>709</v>
      </c>
      <c r="AJ14" s="113">
        <f t="shared" si="1"/>
        <v>44298</v>
      </c>
      <c r="AK14" s="114">
        <f t="shared" si="2"/>
        <v>-416</v>
      </c>
      <c r="AL14" s="115" t="str">
        <f t="shared" si="3"/>
        <v>Reporte ok</v>
      </c>
      <c r="AM14" s="115"/>
      <c r="AN14" s="116"/>
    </row>
    <row r="15" ht="67.5" customHeight="1">
      <c r="A15" s="37"/>
      <c r="B15" s="100">
        <v>136.0</v>
      </c>
      <c r="C15" s="100" t="s">
        <v>432</v>
      </c>
      <c r="D15" s="100" t="s">
        <v>676</v>
      </c>
      <c r="E15" s="100" t="s">
        <v>434</v>
      </c>
      <c r="F15" s="100">
        <v>2.019011000277E12</v>
      </c>
      <c r="G15" s="101" t="s">
        <v>435</v>
      </c>
      <c r="H15" s="100" t="s">
        <v>436</v>
      </c>
      <c r="I15" s="100" t="s">
        <v>437</v>
      </c>
      <c r="J15" s="100" t="s">
        <v>437</v>
      </c>
      <c r="K15" s="102" t="s">
        <v>141</v>
      </c>
      <c r="L15" s="102" t="s">
        <v>118</v>
      </c>
      <c r="M15" s="102" t="s">
        <v>119</v>
      </c>
      <c r="N15" s="103" t="s">
        <v>700</v>
      </c>
      <c r="O15" s="123"/>
      <c r="P15" s="105">
        <v>3.0</v>
      </c>
      <c r="Q15" s="106" t="s">
        <v>710</v>
      </c>
      <c r="R15" s="107" t="s">
        <v>163</v>
      </c>
      <c r="S15" s="105">
        <v>0.0</v>
      </c>
      <c r="T15" s="108">
        <v>1.0</v>
      </c>
      <c r="U15" s="108">
        <v>1.0</v>
      </c>
      <c r="V15" s="108">
        <v>1.0</v>
      </c>
      <c r="W15" s="109" t="s">
        <v>676</v>
      </c>
      <c r="X15" s="101" t="s">
        <v>678</v>
      </c>
      <c r="Y15" s="100" t="s">
        <v>624</v>
      </c>
      <c r="Z15" s="101" t="s">
        <v>679</v>
      </c>
      <c r="AA15" s="100" t="s">
        <v>444</v>
      </c>
      <c r="AB15" s="100" t="s">
        <v>173</v>
      </c>
      <c r="AC15" s="100" t="s">
        <v>343</v>
      </c>
      <c r="AD15" s="100" t="s">
        <v>445</v>
      </c>
      <c r="AE15" s="100" t="s">
        <v>446</v>
      </c>
      <c r="AF15" s="100" t="s">
        <v>210</v>
      </c>
      <c r="AG15" s="144">
        <v>0.0</v>
      </c>
      <c r="AH15" s="111" t="s">
        <v>711</v>
      </c>
      <c r="AI15" s="111" t="s">
        <v>711</v>
      </c>
      <c r="AJ15" s="113">
        <f t="shared" si="1"/>
        <v>44298</v>
      </c>
      <c r="AK15" s="114">
        <f t="shared" si="2"/>
        <v>-416</v>
      </c>
      <c r="AL15" s="115" t="str">
        <f t="shared" si="3"/>
        <v>Reporte ok</v>
      </c>
      <c r="AM15" s="115"/>
      <c r="AN15" s="116"/>
    </row>
    <row r="16" ht="67.5" customHeight="1">
      <c r="A16" s="37"/>
      <c r="B16" s="119"/>
      <c r="C16" s="119"/>
      <c r="D16" s="119"/>
      <c r="E16" s="119"/>
      <c r="F16" s="119"/>
      <c r="G16" s="120"/>
      <c r="H16" s="119"/>
      <c r="I16" s="119"/>
      <c r="J16" s="119"/>
      <c r="K16" s="121"/>
      <c r="L16" s="121"/>
      <c r="M16" s="121"/>
      <c r="N16" s="122"/>
      <c r="O16" s="123"/>
      <c r="P16" s="124"/>
      <c r="Q16" s="125"/>
      <c r="R16" s="126"/>
      <c r="S16" s="124"/>
      <c r="T16" s="127"/>
      <c r="U16" s="127"/>
      <c r="V16" s="127"/>
      <c r="W16" s="128"/>
      <c r="X16" s="120"/>
      <c r="Y16" s="119"/>
      <c r="Z16" s="120"/>
      <c r="AA16" s="119"/>
      <c r="AB16" s="119"/>
      <c r="AC16" s="119"/>
      <c r="AD16" s="119"/>
      <c r="AE16" s="119"/>
      <c r="AF16" s="119"/>
      <c r="AG16" s="129"/>
      <c r="AH16" s="129"/>
      <c r="AI16" s="112"/>
      <c r="AJ16" s="113"/>
      <c r="AK16" s="114"/>
      <c r="AL16" s="115"/>
      <c r="AM16" s="115"/>
      <c r="AN16" s="116"/>
    </row>
    <row r="17" ht="67.5" customHeight="1">
      <c r="A17" s="37"/>
      <c r="B17" s="119"/>
      <c r="C17" s="119"/>
      <c r="D17" s="119"/>
      <c r="E17" s="119"/>
      <c r="F17" s="119"/>
      <c r="G17" s="120"/>
      <c r="H17" s="119"/>
      <c r="I17" s="119"/>
      <c r="J17" s="119"/>
      <c r="K17" s="121"/>
      <c r="L17" s="121"/>
      <c r="M17" s="121"/>
      <c r="N17" s="122"/>
      <c r="O17" s="123"/>
      <c r="P17" s="124"/>
      <c r="Q17" s="125"/>
      <c r="R17" s="126"/>
      <c r="S17" s="124"/>
      <c r="T17" s="127"/>
      <c r="U17" s="127"/>
      <c r="V17" s="127"/>
      <c r="W17" s="128"/>
      <c r="X17" s="120"/>
      <c r="Y17" s="119"/>
      <c r="Z17" s="120"/>
      <c r="AA17" s="119"/>
      <c r="AB17" s="119"/>
      <c r="AC17" s="119"/>
      <c r="AD17" s="119"/>
      <c r="AE17" s="119"/>
      <c r="AF17" s="119"/>
      <c r="AG17" s="129"/>
      <c r="AH17" s="129"/>
      <c r="AI17" s="112"/>
      <c r="AJ17" s="113"/>
      <c r="AK17" s="114"/>
      <c r="AL17" s="115"/>
      <c r="AM17" s="115"/>
      <c r="AN17" s="116"/>
    </row>
    <row r="18" ht="15.75" customHeight="1"/>
  </sheetData>
  <autoFilter ref="$A$3:$AN$17"/>
  <mergeCells count="2">
    <mergeCell ref="B1:C1"/>
    <mergeCell ref="AG2:AM2"/>
  </mergeCells>
  <conditionalFormatting sqref="AK4:AK17">
    <cfRule type="cellIs" dxfId="2" priority="1" operator="greaterThan">
      <formula>0</formula>
    </cfRule>
  </conditionalFormatting>
  <conditionalFormatting sqref="AK4:AK17">
    <cfRule type="cellIs" dxfId="3" priority="2" operator="lessThan">
      <formula>0</formula>
    </cfRule>
  </conditionalFormatting>
  <dataValidations>
    <dataValidation type="decimal" allowBlank="1" showDropDown="1" showInputMessage="1" showErrorMessage="1" prompt="Recuerde que debe ingresar un valor numérico o porcentaje" sqref="AG4:AG17">
      <formula1>0.0</formula1>
      <formula2>5000000.0</formula2>
    </dataValidation>
  </dataValidations>
  <hyperlinks>
    <hyperlink display="Home" location="Home!A1" ref="B1"/>
    <hyperlink r:id="rId1" ref="AI4"/>
    <hyperlink r:id="rId2" ref="AI10"/>
    <hyperlink r:id="rId3" ref="AI11"/>
    <hyperlink r:id="rId4" ref="AI12"/>
    <hyperlink r:id="rId5" ref="AI13"/>
    <hyperlink r:id="rId6" ref="AI14"/>
  </hyperlinks>
  <printOptions gridLines="1" horizontalCentered="1"/>
  <pageMargins bottom="0.75" footer="0.0" header="0.0" left="0.7" right="0.7" top="0.75"/>
  <pageSetup cellComments="atEnd" orientation="portrait" pageOrder="overThenDown"/>
  <drawing r:id="rId7"/>
</worksheet>
</file>

<file path=xl/worksheets/sheet2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0.25"/>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t="s">
        <v>510</v>
      </c>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137.0</v>
      </c>
      <c r="C4" s="100" t="s">
        <v>331</v>
      </c>
      <c r="D4" s="100" t="s">
        <v>712</v>
      </c>
      <c r="E4" s="100" t="s">
        <v>333</v>
      </c>
      <c r="F4" s="100">
        <v>2.019011000276E12</v>
      </c>
      <c r="G4" s="101" t="s">
        <v>334</v>
      </c>
      <c r="H4" s="100" t="s">
        <v>345</v>
      </c>
      <c r="I4" s="100" t="s">
        <v>346</v>
      </c>
      <c r="J4" s="100" t="s">
        <v>347</v>
      </c>
      <c r="K4" s="102" t="s">
        <v>117</v>
      </c>
      <c r="L4" s="102" t="s">
        <v>118</v>
      </c>
      <c r="M4" s="102" t="s">
        <v>119</v>
      </c>
      <c r="N4" s="103" t="s">
        <v>348</v>
      </c>
      <c r="O4" s="104">
        <v>157.0</v>
      </c>
      <c r="P4" s="105">
        <v>240.0</v>
      </c>
      <c r="Q4" s="106" t="s">
        <v>713</v>
      </c>
      <c r="R4" s="107" t="s">
        <v>163</v>
      </c>
      <c r="S4" s="105">
        <v>40.0</v>
      </c>
      <c r="T4" s="108">
        <v>70.0</v>
      </c>
      <c r="U4" s="108">
        <v>70.0</v>
      </c>
      <c r="V4" s="108">
        <v>60.0</v>
      </c>
      <c r="W4" s="109" t="s">
        <v>714</v>
      </c>
      <c r="X4" s="101" t="s">
        <v>715</v>
      </c>
      <c r="Y4" s="100" t="s">
        <v>716</v>
      </c>
      <c r="Z4" s="101" t="s">
        <v>717</v>
      </c>
      <c r="AA4" s="100" t="s">
        <v>152</v>
      </c>
      <c r="AB4" s="100" t="s">
        <v>153</v>
      </c>
      <c r="AC4" s="100" t="s">
        <v>343</v>
      </c>
      <c r="AD4" s="100" t="s">
        <v>129</v>
      </c>
      <c r="AE4" s="100" t="s">
        <v>216</v>
      </c>
      <c r="AF4" s="100" t="s">
        <v>718</v>
      </c>
      <c r="AG4" s="144">
        <v>40.0</v>
      </c>
      <c r="AH4" s="111" t="s">
        <v>719</v>
      </c>
      <c r="AI4" s="137" t="s">
        <v>720</v>
      </c>
      <c r="AJ4" s="113">
        <f t="shared" ref="AJ4:AJ9" si="1">$AK$1</f>
        <v>44298</v>
      </c>
      <c r="AK4" s="114">
        <f t="shared" ref="AK4:AK9" si="2">AJ4-$AL$1</f>
        <v>-416</v>
      </c>
      <c r="AL4" s="115" t="str">
        <f t="shared" ref="AL4:AL9" si="3">IF(ISBLANK(AG4),"Pendiente Ejecución"&amp;CHAR(10),)&amp;IF(ISBLANK(AH4),"Pendiente Justificación"&amp;CHAR(10),)&amp;IF(ISBLANK(AI4),"Pendiente Evidencia",)&amp;IF(OR(ISBLANK(AG4),ISBLANK(AH4),ISBLANK(AI4)),,"Reporte ok")</f>
        <v>Reporte ok</v>
      </c>
      <c r="AM4" s="146" t="s">
        <v>268</v>
      </c>
      <c r="AN4" s="116"/>
    </row>
    <row r="5" ht="67.5" customHeight="1">
      <c r="A5" s="37"/>
      <c r="B5" s="100">
        <v>138.0</v>
      </c>
      <c r="C5" s="100" t="s">
        <v>277</v>
      </c>
      <c r="D5" s="100" t="s">
        <v>712</v>
      </c>
      <c r="E5" s="100" t="s">
        <v>279</v>
      </c>
      <c r="F5" s="100">
        <v>2.01901100028E12</v>
      </c>
      <c r="G5" s="101" t="s">
        <v>280</v>
      </c>
      <c r="H5" s="100" t="s">
        <v>335</v>
      </c>
      <c r="I5" s="100" t="s">
        <v>336</v>
      </c>
      <c r="J5" s="100" t="s">
        <v>337</v>
      </c>
      <c r="K5" s="102" t="s">
        <v>141</v>
      </c>
      <c r="L5" s="102" t="s">
        <v>118</v>
      </c>
      <c r="M5" s="102" t="s">
        <v>119</v>
      </c>
      <c r="N5" s="103" t="s">
        <v>696</v>
      </c>
      <c r="O5" s="123"/>
      <c r="P5" s="105">
        <v>60.0</v>
      </c>
      <c r="Q5" s="106" t="s">
        <v>721</v>
      </c>
      <c r="R5" s="107" t="s">
        <v>722</v>
      </c>
      <c r="S5" s="105">
        <v>10.0</v>
      </c>
      <c r="T5" s="108">
        <v>20.0</v>
      </c>
      <c r="U5" s="108">
        <v>20.0</v>
      </c>
      <c r="V5" s="108">
        <v>10.0</v>
      </c>
      <c r="W5" s="109" t="s">
        <v>714</v>
      </c>
      <c r="X5" s="101" t="s">
        <v>715</v>
      </c>
      <c r="Y5" s="100" t="s">
        <v>716</v>
      </c>
      <c r="Z5" s="101" t="s">
        <v>717</v>
      </c>
      <c r="AA5" s="100" t="s">
        <v>152</v>
      </c>
      <c r="AB5" s="100" t="s">
        <v>153</v>
      </c>
      <c r="AC5" s="100" t="s">
        <v>128</v>
      </c>
      <c r="AD5" s="100" t="s">
        <v>154</v>
      </c>
      <c r="AE5" s="100" t="s">
        <v>291</v>
      </c>
      <c r="AF5" s="100" t="s">
        <v>210</v>
      </c>
      <c r="AG5" s="144">
        <v>14.0</v>
      </c>
      <c r="AH5" s="111" t="s">
        <v>723</v>
      </c>
      <c r="AI5" s="137" t="s">
        <v>724</v>
      </c>
      <c r="AJ5" s="113">
        <f t="shared" si="1"/>
        <v>44298</v>
      </c>
      <c r="AK5" s="114">
        <f t="shared" si="2"/>
        <v>-416</v>
      </c>
      <c r="AL5" s="115" t="str">
        <f t="shared" si="3"/>
        <v>Reporte ok</v>
      </c>
      <c r="AM5" s="146" t="s">
        <v>268</v>
      </c>
      <c r="AN5" s="116"/>
    </row>
    <row r="6" ht="67.5" customHeight="1">
      <c r="A6" s="37"/>
      <c r="B6" s="100">
        <v>139.0</v>
      </c>
      <c r="C6" s="100" t="s">
        <v>277</v>
      </c>
      <c r="D6" s="100" t="s">
        <v>712</v>
      </c>
      <c r="E6" s="100" t="s">
        <v>279</v>
      </c>
      <c r="F6" s="100">
        <v>2.01901100028E12</v>
      </c>
      <c r="G6" s="101" t="s">
        <v>280</v>
      </c>
      <c r="H6" s="100" t="s">
        <v>281</v>
      </c>
      <c r="I6" s="100" t="s">
        <v>282</v>
      </c>
      <c r="J6" s="100" t="s">
        <v>283</v>
      </c>
      <c r="K6" s="102" t="s">
        <v>141</v>
      </c>
      <c r="L6" s="102" t="s">
        <v>118</v>
      </c>
      <c r="M6" s="102" t="s">
        <v>119</v>
      </c>
      <c r="N6" s="103" t="s">
        <v>690</v>
      </c>
      <c r="O6" s="123"/>
      <c r="P6" s="105">
        <v>3000.0</v>
      </c>
      <c r="Q6" s="106" t="s">
        <v>725</v>
      </c>
      <c r="R6" s="107" t="s">
        <v>163</v>
      </c>
      <c r="S6" s="105">
        <v>400.0</v>
      </c>
      <c r="T6" s="108">
        <v>800.0</v>
      </c>
      <c r="U6" s="108">
        <v>1000.0</v>
      </c>
      <c r="V6" s="108">
        <v>800.0</v>
      </c>
      <c r="W6" s="109" t="s">
        <v>714</v>
      </c>
      <c r="X6" s="101" t="s">
        <v>715</v>
      </c>
      <c r="Y6" s="100" t="s">
        <v>716</v>
      </c>
      <c r="Z6" s="101" t="s">
        <v>717</v>
      </c>
      <c r="AA6" s="100" t="s">
        <v>152</v>
      </c>
      <c r="AB6" s="100" t="s">
        <v>173</v>
      </c>
      <c r="AC6" s="100" t="s">
        <v>290</v>
      </c>
      <c r="AD6" s="100" t="s">
        <v>154</v>
      </c>
      <c r="AE6" s="100" t="s">
        <v>291</v>
      </c>
      <c r="AF6" s="100" t="s">
        <v>210</v>
      </c>
      <c r="AG6" s="144">
        <v>448.0</v>
      </c>
      <c r="AH6" s="111" t="s">
        <v>726</v>
      </c>
      <c r="AI6" s="137" t="s">
        <v>727</v>
      </c>
      <c r="AJ6" s="113">
        <f t="shared" si="1"/>
        <v>44298</v>
      </c>
      <c r="AK6" s="114">
        <f t="shared" si="2"/>
        <v>-416</v>
      </c>
      <c r="AL6" s="115" t="str">
        <f t="shared" si="3"/>
        <v>Reporte ok</v>
      </c>
      <c r="AM6" s="146" t="s">
        <v>268</v>
      </c>
      <c r="AN6" s="116"/>
    </row>
    <row r="7" ht="67.5" customHeight="1">
      <c r="A7" s="37"/>
      <c r="B7" s="100">
        <v>140.0</v>
      </c>
      <c r="C7" s="100" t="s">
        <v>277</v>
      </c>
      <c r="D7" s="100" t="s">
        <v>712</v>
      </c>
      <c r="E7" s="100" t="s">
        <v>279</v>
      </c>
      <c r="F7" s="100">
        <v>2.01901100028E12</v>
      </c>
      <c r="G7" s="101" t="s">
        <v>280</v>
      </c>
      <c r="H7" s="100" t="s">
        <v>296</v>
      </c>
      <c r="I7" s="100" t="s">
        <v>297</v>
      </c>
      <c r="J7" s="100" t="s">
        <v>298</v>
      </c>
      <c r="K7" s="102" t="s">
        <v>141</v>
      </c>
      <c r="L7" s="102" t="s">
        <v>118</v>
      </c>
      <c r="M7" s="102" t="s">
        <v>119</v>
      </c>
      <c r="N7" s="103" t="s">
        <v>299</v>
      </c>
      <c r="O7" s="123"/>
      <c r="P7" s="105">
        <v>125.0</v>
      </c>
      <c r="Q7" s="106" t="s">
        <v>728</v>
      </c>
      <c r="R7" s="107" t="s">
        <v>163</v>
      </c>
      <c r="S7" s="105">
        <v>5.0</v>
      </c>
      <c r="T7" s="108">
        <v>40.0</v>
      </c>
      <c r="U7" s="108">
        <v>50.0</v>
      </c>
      <c r="V7" s="108">
        <v>30.0</v>
      </c>
      <c r="W7" s="109" t="s">
        <v>278</v>
      </c>
      <c r="X7" s="101" t="s">
        <v>729</v>
      </c>
      <c r="Y7" s="100" t="s">
        <v>730</v>
      </c>
      <c r="Z7" s="101" t="s">
        <v>288</v>
      </c>
      <c r="AA7" s="100" t="s">
        <v>152</v>
      </c>
      <c r="AB7" s="100" t="s">
        <v>173</v>
      </c>
      <c r="AC7" s="100" t="s">
        <v>290</v>
      </c>
      <c r="AD7" s="100" t="s">
        <v>129</v>
      </c>
      <c r="AE7" s="100" t="s">
        <v>291</v>
      </c>
      <c r="AF7" s="100" t="s">
        <v>718</v>
      </c>
      <c r="AG7" s="144">
        <v>18.0</v>
      </c>
      <c r="AH7" s="111" t="s">
        <v>731</v>
      </c>
      <c r="AI7" s="137" t="s">
        <v>732</v>
      </c>
      <c r="AJ7" s="113">
        <f t="shared" si="1"/>
        <v>44298</v>
      </c>
      <c r="AK7" s="114">
        <f t="shared" si="2"/>
        <v>-416</v>
      </c>
      <c r="AL7" s="115" t="str">
        <f t="shared" si="3"/>
        <v>Reporte ok</v>
      </c>
      <c r="AM7" s="146" t="s">
        <v>268</v>
      </c>
      <c r="AN7" s="116"/>
    </row>
    <row r="8" ht="67.5" customHeight="1">
      <c r="A8" s="37"/>
      <c r="B8" s="100">
        <v>141.0</v>
      </c>
      <c r="C8" s="100" t="s">
        <v>277</v>
      </c>
      <c r="D8" s="100" t="s">
        <v>712</v>
      </c>
      <c r="E8" s="100" t="s">
        <v>279</v>
      </c>
      <c r="F8" s="100">
        <v>2.01901100028E12</v>
      </c>
      <c r="G8" s="101" t="s">
        <v>280</v>
      </c>
      <c r="H8" s="100" t="s">
        <v>281</v>
      </c>
      <c r="I8" s="100" t="s">
        <v>282</v>
      </c>
      <c r="J8" s="100" t="s">
        <v>283</v>
      </c>
      <c r="K8" s="102" t="s">
        <v>141</v>
      </c>
      <c r="L8" s="102" t="s">
        <v>118</v>
      </c>
      <c r="M8" s="102" t="s">
        <v>119</v>
      </c>
      <c r="N8" s="103" t="s">
        <v>733</v>
      </c>
      <c r="O8" s="123"/>
      <c r="P8" s="105">
        <v>30.0</v>
      </c>
      <c r="Q8" s="106" t="s">
        <v>734</v>
      </c>
      <c r="R8" s="107" t="s">
        <v>163</v>
      </c>
      <c r="S8" s="105">
        <v>5.0</v>
      </c>
      <c r="T8" s="108">
        <v>10.0</v>
      </c>
      <c r="U8" s="108">
        <v>10.0</v>
      </c>
      <c r="V8" s="108">
        <v>5.0</v>
      </c>
      <c r="W8" s="109" t="s">
        <v>714</v>
      </c>
      <c r="X8" s="101" t="s">
        <v>715</v>
      </c>
      <c r="Y8" s="100" t="s">
        <v>716</v>
      </c>
      <c r="Z8" s="101" t="s">
        <v>717</v>
      </c>
      <c r="AA8" s="100" t="s">
        <v>152</v>
      </c>
      <c r="AB8" s="100" t="s">
        <v>173</v>
      </c>
      <c r="AC8" s="100" t="s">
        <v>343</v>
      </c>
      <c r="AD8" s="100" t="s">
        <v>154</v>
      </c>
      <c r="AE8" s="100" t="s">
        <v>291</v>
      </c>
      <c r="AF8" s="100" t="s">
        <v>210</v>
      </c>
      <c r="AG8" s="144">
        <v>10.0</v>
      </c>
      <c r="AH8" s="111" t="s">
        <v>735</v>
      </c>
      <c r="AI8" s="137" t="s">
        <v>736</v>
      </c>
      <c r="AJ8" s="113">
        <f t="shared" si="1"/>
        <v>44298</v>
      </c>
      <c r="AK8" s="114">
        <f t="shared" si="2"/>
        <v>-416</v>
      </c>
      <c r="AL8" s="115" t="str">
        <f t="shared" si="3"/>
        <v>Reporte ok</v>
      </c>
      <c r="AM8" s="146" t="s">
        <v>268</v>
      </c>
      <c r="AN8" s="116"/>
    </row>
    <row r="9" ht="67.5" customHeight="1">
      <c r="A9" s="37"/>
      <c r="B9" s="100">
        <v>142.0</v>
      </c>
      <c r="C9" s="100" t="s">
        <v>277</v>
      </c>
      <c r="D9" s="100" t="s">
        <v>712</v>
      </c>
      <c r="E9" s="100" t="s">
        <v>279</v>
      </c>
      <c r="F9" s="100">
        <v>2.01901100028E12</v>
      </c>
      <c r="G9" s="101" t="s">
        <v>280</v>
      </c>
      <c r="H9" s="100" t="s">
        <v>281</v>
      </c>
      <c r="I9" s="100" t="s">
        <v>282</v>
      </c>
      <c r="J9" s="100" t="s">
        <v>324</v>
      </c>
      <c r="K9" s="102" t="s">
        <v>306</v>
      </c>
      <c r="L9" s="102" t="s">
        <v>307</v>
      </c>
      <c r="M9" s="102" t="s">
        <v>119</v>
      </c>
      <c r="N9" s="103" t="s">
        <v>737</v>
      </c>
      <c r="O9" s="104">
        <v>15.0</v>
      </c>
      <c r="P9" s="105">
        <v>3000.0</v>
      </c>
      <c r="Q9" s="106" t="s">
        <v>738</v>
      </c>
      <c r="R9" s="107" t="s">
        <v>163</v>
      </c>
      <c r="S9" s="105">
        <v>350.0</v>
      </c>
      <c r="T9" s="108">
        <v>1000.0</v>
      </c>
      <c r="U9" s="108">
        <v>1000.0</v>
      </c>
      <c r="V9" s="108">
        <v>650.0</v>
      </c>
      <c r="W9" s="109" t="s">
        <v>278</v>
      </c>
      <c r="X9" s="101" t="s">
        <v>729</v>
      </c>
      <c r="Y9" s="100" t="s">
        <v>730</v>
      </c>
      <c r="Z9" s="101" t="s">
        <v>288</v>
      </c>
      <c r="AA9" s="100" t="s">
        <v>152</v>
      </c>
      <c r="AB9" s="100" t="s">
        <v>173</v>
      </c>
      <c r="AC9" s="100" t="s">
        <v>128</v>
      </c>
      <c r="AD9" s="100" t="s">
        <v>154</v>
      </c>
      <c r="AE9" s="100" t="s">
        <v>291</v>
      </c>
      <c r="AF9" s="100" t="s">
        <v>210</v>
      </c>
      <c r="AG9" s="144">
        <v>439.0</v>
      </c>
      <c r="AH9" s="111" t="s">
        <v>739</v>
      </c>
      <c r="AI9" s="137" t="s">
        <v>740</v>
      </c>
      <c r="AJ9" s="113">
        <f t="shared" si="1"/>
        <v>44298</v>
      </c>
      <c r="AK9" s="114">
        <f t="shared" si="2"/>
        <v>-416</v>
      </c>
      <c r="AL9" s="115" t="str">
        <f t="shared" si="3"/>
        <v>Reporte ok</v>
      </c>
      <c r="AM9" s="146" t="s">
        <v>268</v>
      </c>
      <c r="AN9" s="116"/>
    </row>
    <row r="10" ht="67.5" customHeight="1">
      <c r="A10" s="37"/>
      <c r="B10" s="119"/>
      <c r="C10" s="119"/>
      <c r="D10" s="119"/>
      <c r="E10" s="119"/>
      <c r="F10" s="119"/>
      <c r="G10" s="120"/>
      <c r="H10" s="119"/>
      <c r="I10" s="119"/>
      <c r="J10" s="119"/>
      <c r="K10" s="121"/>
      <c r="L10" s="121"/>
      <c r="M10" s="121"/>
      <c r="N10" s="122"/>
      <c r="O10" s="123"/>
      <c r="P10" s="124"/>
      <c r="Q10" s="125"/>
      <c r="R10" s="126"/>
      <c r="S10" s="124"/>
      <c r="T10" s="127"/>
      <c r="U10" s="127"/>
      <c r="V10" s="127"/>
      <c r="W10" s="128"/>
      <c r="X10" s="120"/>
      <c r="Y10" s="119"/>
      <c r="Z10" s="120"/>
      <c r="AA10" s="119"/>
      <c r="AB10" s="119"/>
      <c r="AC10" s="119"/>
      <c r="AD10" s="119"/>
      <c r="AE10" s="119"/>
      <c r="AF10" s="119"/>
      <c r="AG10" s="129"/>
      <c r="AH10" s="129"/>
      <c r="AI10" s="112"/>
      <c r="AJ10" s="113"/>
      <c r="AK10" s="114"/>
      <c r="AL10" s="115"/>
      <c r="AM10" s="115"/>
      <c r="AN10" s="116"/>
    </row>
    <row r="11" ht="67.5" customHeight="1">
      <c r="A11" s="37"/>
      <c r="B11" s="119"/>
      <c r="C11" s="119"/>
      <c r="D11" s="119"/>
      <c r="E11" s="119"/>
      <c r="F11" s="119"/>
      <c r="G11" s="120"/>
      <c r="H11" s="119"/>
      <c r="I11" s="119"/>
      <c r="J11" s="119"/>
      <c r="K11" s="121"/>
      <c r="L11" s="121"/>
      <c r="M11" s="121"/>
      <c r="N11" s="122"/>
      <c r="O11" s="123"/>
      <c r="P11" s="124"/>
      <c r="Q11" s="125"/>
      <c r="R11" s="126"/>
      <c r="S11" s="124"/>
      <c r="T11" s="127"/>
      <c r="U11" s="127"/>
      <c r="V11" s="127"/>
      <c r="W11" s="128"/>
      <c r="X11" s="120"/>
      <c r="Y11" s="119"/>
      <c r="Z11" s="120"/>
      <c r="AA11" s="119"/>
      <c r="AB11" s="119"/>
      <c r="AC11" s="119"/>
      <c r="AD11" s="119"/>
      <c r="AE11" s="119"/>
      <c r="AF11" s="119"/>
      <c r="AG11" s="129"/>
      <c r="AH11" s="129"/>
      <c r="AI11" s="112"/>
      <c r="AJ11" s="113"/>
      <c r="AK11" s="114"/>
      <c r="AL11" s="115"/>
      <c r="AM11" s="115"/>
      <c r="AN11" s="116"/>
    </row>
    <row r="12" ht="15.75" customHeight="1"/>
  </sheetData>
  <autoFilter ref="$A$3:$AN$11"/>
  <mergeCells count="2">
    <mergeCell ref="B1:C1"/>
    <mergeCell ref="AG2:AM2"/>
  </mergeCells>
  <conditionalFormatting sqref="AK4:AK11">
    <cfRule type="cellIs" dxfId="2" priority="1" operator="greaterThan">
      <formula>0</formula>
    </cfRule>
  </conditionalFormatting>
  <conditionalFormatting sqref="AK4:AK11">
    <cfRule type="cellIs" dxfId="3" priority="2" operator="lessThan">
      <formula>0</formula>
    </cfRule>
  </conditionalFormatting>
  <dataValidations>
    <dataValidation type="decimal" allowBlank="1" showDropDown="1" showInputMessage="1" showErrorMessage="1" prompt="Recuerde que debe ingresar un valor numérico o porcentaje" sqref="AG4:AG11">
      <formula1>0.0</formula1>
      <formula2>5000000.0</formula2>
    </dataValidation>
  </dataValidations>
  <hyperlinks>
    <hyperlink display="Home" location="Home!A1" ref="B1"/>
    <hyperlink r:id="rId1" ref="AI4"/>
    <hyperlink r:id="rId2" ref="AI5"/>
    <hyperlink r:id="rId3" ref="AI6"/>
    <hyperlink r:id="rId4" ref="AI7"/>
    <hyperlink r:id="rId5" ref="AI8"/>
    <hyperlink r:id="rId6" ref="AI9"/>
  </hyperlinks>
  <printOptions gridLines="1" horizontalCentered="1"/>
  <pageMargins bottom="0.75" footer="0.0" header="0.0" left="0.7" right="0.7" top="0.75"/>
  <pageSetup cellComments="atEnd" orientation="portrait" pageOrder="overThenDown"/>
  <drawing r:id="rId7"/>
</worksheet>
</file>

<file path=xl/worksheets/sheet2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29.88"/>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t="s">
        <v>510</v>
      </c>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143.0</v>
      </c>
      <c r="C4" s="100" t="s">
        <v>331</v>
      </c>
      <c r="D4" s="100" t="s">
        <v>741</v>
      </c>
      <c r="E4" s="100" t="s">
        <v>333</v>
      </c>
      <c r="F4" s="100">
        <v>2.019011000276E12</v>
      </c>
      <c r="G4" s="101" t="s">
        <v>334</v>
      </c>
      <c r="H4" s="100" t="s">
        <v>335</v>
      </c>
      <c r="I4" s="100" t="s">
        <v>336</v>
      </c>
      <c r="J4" s="100" t="s">
        <v>337</v>
      </c>
      <c r="K4" s="102" t="s">
        <v>306</v>
      </c>
      <c r="L4" s="102" t="s">
        <v>307</v>
      </c>
      <c r="M4" s="102" t="s">
        <v>119</v>
      </c>
      <c r="N4" s="103" t="s">
        <v>742</v>
      </c>
      <c r="O4" s="104">
        <v>3582.0</v>
      </c>
      <c r="P4" s="105">
        <v>30.0</v>
      </c>
      <c r="Q4" s="106" t="s">
        <v>743</v>
      </c>
      <c r="R4" s="107" t="s">
        <v>163</v>
      </c>
      <c r="S4" s="105">
        <v>6.0</v>
      </c>
      <c r="T4" s="108">
        <v>2.0</v>
      </c>
      <c r="U4" s="108">
        <v>11.0</v>
      </c>
      <c r="V4" s="108">
        <v>11.0</v>
      </c>
      <c r="W4" s="109" t="s">
        <v>744</v>
      </c>
      <c r="X4" s="101" t="s">
        <v>745</v>
      </c>
      <c r="Y4" s="100" t="s">
        <v>746</v>
      </c>
      <c r="Z4" s="101" t="s">
        <v>747</v>
      </c>
      <c r="AA4" s="100" t="s">
        <v>289</v>
      </c>
      <c r="AB4" s="100" t="s">
        <v>173</v>
      </c>
      <c r="AC4" s="100" t="s">
        <v>343</v>
      </c>
      <c r="AD4" s="100" t="s">
        <v>154</v>
      </c>
      <c r="AE4" s="100" t="s">
        <v>291</v>
      </c>
      <c r="AF4" s="100" t="s">
        <v>210</v>
      </c>
      <c r="AG4" s="144">
        <v>6.0</v>
      </c>
      <c r="AH4" s="111" t="s">
        <v>748</v>
      </c>
      <c r="AI4" s="137" t="s">
        <v>749</v>
      </c>
      <c r="AJ4" s="113">
        <f t="shared" ref="AJ4:AJ13" si="1">$AK$1</f>
        <v>44298</v>
      </c>
      <c r="AK4" s="114">
        <f t="shared" ref="AK4:AK13" si="2">AJ4-$AL$1</f>
        <v>-416</v>
      </c>
      <c r="AL4" s="115" t="str">
        <f t="shared" ref="AL4:AL13" si="3">IF(ISBLANK(AG4),"Pendiente Ejecución"&amp;CHAR(10),)&amp;IF(ISBLANK(AH4),"Pendiente Justificación"&amp;CHAR(10),)&amp;IF(ISBLANK(AI4),"Pendiente Evidencia",)&amp;IF(OR(ISBLANK(AG4),ISBLANK(AH4),ISBLANK(AI4)),,"Reporte ok")</f>
        <v>Reporte ok</v>
      </c>
      <c r="AM4" s="115"/>
      <c r="AN4" s="116"/>
    </row>
    <row r="5" ht="67.5" customHeight="1">
      <c r="A5" s="37"/>
      <c r="B5" s="100">
        <v>144.0</v>
      </c>
      <c r="C5" s="100" t="s">
        <v>277</v>
      </c>
      <c r="D5" s="100" t="s">
        <v>741</v>
      </c>
      <c r="E5" s="100" t="s">
        <v>279</v>
      </c>
      <c r="F5" s="100">
        <v>2.01901100028E12</v>
      </c>
      <c r="G5" s="101" t="s">
        <v>280</v>
      </c>
      <c r="H5" s="100" t="s">
        <v>281</v>
      </c>
      <c r="I5" s="100" t="s">
        <v>282</v>
      </c>
      <c r="J5" s="100" t="s">
        <v>283</v>
      </c>
      <c r="K5" s="102" t="s">
        <v>117</v>
      </c>
      <c r="L5" s="102" t="s">
        <v>118</v>
      </c>
      <c r="M5" s="102" t="s">
        <v>119</v>
      </c>
      <c r="N5" s="103" t="s">
        <v>568</v>
      </c>
      <c r="O5" s="104">
        <v>-7140.0</v>
      </c>
      <c r="P5" s="105">
        <v>300.0</v>
      </c>
      <c r="Q5" s="106" t="s">
        <v>750</v>
      </c>
      <c r="R5" s="107" t="s">
        <v>163</v>
      </c>
      <c r="S5" s="105">
        <v>50.0</v>
      </c>
      <c r="T5" s="108">
        <v>60.0</v>
      </c>
      <c r="U5" s="108">
        <v>90.0</v>
      </c>
      <c r="V5" s="108">
        <v>100.0</v>
      </c>
      <c r="W5" s="109" t="s">
        <v>744</v>
      </c>
      <c r="X5" s="101" t="s">
        <v>745</v>
      </c>
      <c r="Y5" s="100" t="s">
        <v>746</v>
      </c>
      <c r="Z5" s="101" t="s">
        <v>747</v>
      </c>
      <c r="AA5" s="100" t="s">
        <v>289</v>
      </c>
      <c r="AB5" s="100" t="s">
        <v>173</v>
      </c>
      <c r="AC5" s="100" t="s">
        <v>343</v>
      </c>
      <c r="AD5" s="100" t="s">
        <v>154</v>
      </c>
      <c r="AE5" s="100" t="s">
        <v>291</v>
      </c>
      <c r="AF5" s="100" t="s">
        <v>210</v>
      </c>
      <c r="AG5" s="144">
        <v>67.0</v>
      </c>
      <c r="AH5" s="111" t="s">
        <v>751</v>
      </c>
      <c r="AI5" s="137" t="s">
        <v>752</v>
      </c>
      <c r="AJ5" s="113">
        <f t="shared" si="1"/>
        <v>44298</v>
      </c>
      <c r="AK5" s="114">
        <f t="shared" si="2"/>
        <v>-416</v>
      </c>
      <c r="AL5" s="115" t="str">
        <f t="shared" si="3"/>
        <v>Reporte ok</v>
      </c>
      <c r="AM5" s="115"/>
      <c r="AN5" s="116"/>
    </row>
    <row r="6" ht="67.5" customHeight="1">
      <c r="A6" s="37"/>
      <c r="B6" s="100">
        <v>145.0</v>
      </c>
      <c r="C6" s="100" t="s">
        <v>277</v>
      </c>
      <c r="D6" s="100" t="s">
        <v>741</v>
      </c>
      <c r="E6" s="100" t="s">
        <v>279</v>
      </c>
      <c r="F6" s="100">
        <v>2.01901100028E12</v>
      </c>
      <c r="G6" s="101" t="s">
        <v>280</v>
      </c>
      <c r="H6" s="100" t="s">
        <v>296</v>
      </c>
      <c r="I6" s="100" t="s">
        <v>297</v>
      </c>
      <c r="J6" s="100" t="s">
        <v>298</v>
      </c>
      <c r="K6" s="102" t="s">
        <v>141</v>
      </c>
      <c r="L6" s="102" t="s">
        <v>118</v>
      </c>
      <c r="M6" s="102" t="s">
        <v>119</v>
      </c>
      <c r="N6" s="103" t="s">
        <v>753</v>
      </c>
      <c r="O6" s="123"/>
      <c r="P6" s="105">
        <v>20.0</v>
      </c>
      <c r="Q6" s="106" t="s">
        <v>754</v>
      </c>
      <c r="R6" s="107" t="s">
        <v>163</v>
      </c>
      <c r="S6" s="105">
        <v>3.0</v>
      </c>
      <c r="T6" s="108">
        <v>2.0</v>
      </c>
      <c r="U6" s="108">
        <v>7.0</v>
      </c>
      <c r="V6" s="108">
        <v>8.0</v>
      </c>
      <c r="W6" s="109" t="s">
        <v>744</v>
      </c>
      <c r="X6" s="101" t="s">
        <v>745</v>
      </c>
      <c r="Y6" s="100" t="s">
        <v>746</v>
      </c>
      <c r="Z6" s="101" t="s">
        <v>747</v>
      </c>
      <c r="AA6" s="100" t="s">
        <v>289</v>
      </c>
      <c r="AB6" s="100" t="s">
        <v>173</v>
      </c>
      <c r="AC6" s="100" t="s">
        <v>343</v>
      </c>
      <c r="AD6" s="100" t="s">
        <v>154</v>
      </c>
      <c r="AE6" s="100" t="s">
        <v>291</v>
      </c>
      <c r="AF6" s="100" t="s">
        <v>210</v>
      </c>
      <c r="AG6" s="144">
        <v>3.0</v>
      </c>
      <c r="AH6" s="111" t="s">
        <v>755</v>
      </c>
      <c r="AI6" s="137" t="s">
        <v>749</v>
      </c>
      <c r="AJ6" s="113">
        <f t="shared" si="1"/>
        <v>44298</v>
      </c>
      <c r="AK6" s="114">
        <f t="shared" si="2"/>
        <v>-416</v>
      </c>
      <c r="AL6" s="115" t="str">
        <f t="shared" si="3"/>
        <v>Reporte ok</v>
      </c>
      <c r="AM6" s="115"/>
      <c r="AN6" s="116"/>
    </row>
    <row r="7" ht="67.5" customHeight="1">
      <c r="A7" s="37"/>
      <c r="B7" s="100">
        <v>146.0</v>
      </c>
      <c r="C7" s="100" t="s">
        <v>277</v>
      </c>
      <c r="D7" s="100" t="s">
        <v>741</v>
      </c>
      <c r="E7" s="100" t="s">
        <v>279</v>
      </c>
      <c r="F7" s="100">
        <v>2.01901100028E12</v>
      </c>
      <c r="G7" s="101" t="s">
        <v>280</v>
      </c>
      <c r="H7" s="100" t="s">
        <v>281</v>
      </c>
      <c r="I7" s="100" t="s">
        <v>282</v>
      </c>
      <c r="J7" s="100" t="s">
        <v>324</v>
      </c>
      <c r="K7" s="102" t="s">
        <v>141</v>
      </c>
      <c r="L7" s="102" t="s">
        <v>118</v>
      </c>
      <c r="M7" s="102" t="s">
        <v>119</v>
      </c>
      <c r="N7" s="103" t="s">
        <v>756</v>
      </c>
      <c r="O7" s="123"/>
      <c r="P7" s="105">
        <v>66.0</v>
      </c>
      <c r="Q7" s="106" t="s">
        <v>757</v>
      </c>
      <c r="R7" s="107" t="s">
        <v>163</v>
      </c>
      <c r="S7" s="105">
        <v>12.0</v>
      </c>
      <c r="T7" s="108">
        <v>8.0</v>
      </c>
      <c r="U7" s="108">
        <v>23.0</v>
      </c>
      <c r="V7" s="108">
        <v>23.0</v>
      </c>
      <c r="W7" s="109" t="s">
        <v>744</v>
      </c>
      <c r="X7" s="101" t="s">
        <v>745</v>
      </c>
      <c r="Y7" s="100" t="s">
        <v>746</v>
      </c>
      <c r="Z7" s="101" t="s">
        <v>747</v>
      </c>
      <c r="AA7" s="100" t="s">
        <v>289</v>
      </c>
      <c r="AB7" s="100" t="s">
        <v>173</v>
      </c>
      <c r="AC7" s="100" t="s">
        <v>343</v>
      </c>
      <c r="AD7" s="100" t="s">
        <v>154</v>
      </c>
      <c r="AE7" s="100" t="s">
        <v>291</v>
      </c>
      <c r="AF7" s="100" t="s">
        <v>210</v>
      </c>
      <c r="AG7" s="152">
        <v>13.0</v>
      </c>
      <c r="AH7" s="111" t="s">
        <v>758</v>
      </c>
      <c r="AI7" s="137" t="s">
        <v>749</v>
      </c>
      <c r="AJ7" s="113">
        <f t="shared" si="1"/>
        <v>44298</v>
      </c>
      <c r="AK7" s="114">
        <f t="shared" si="2"/>
        <v>-416</v>
      </c>
      <c r="AL7" s="115" t="str">
        <f t="shared" si="3"/>
        <v>Reporte ok</v>
      </c>
      <c r="AM7" s="115"/>
      <c r="AN7" s="116"/>
    </row>
    <row r="8" ht="67.5" customHeight="1">
      <c r="A8" s="37"/>
      <c r="B8" s="100">
        <v>147.0</v>
      </c>
      <c r="C8" s="100" t="s">
        <v>277</v>
      </c>
      <c r="D8" s="100" t="s">
        <v>741</v>
      </c>
      <c r="E8" s="100" t="s">
        <v>279</v>
      </c>
      <c r="F8" s="100">
        <v>2.01901100028E12</v>
      </c>
      <c r="G8" s="101" t="s">
        <v>280</v>
      </c>
      <c r="H8" s="100" t="s">
        <v>281</v>
      </c>
      <c r="I8" s="100" t="s">
        <v>282</v>
      </c>
      <c r="J8" s="100" t="s">
        <v>324</v>
      </c>
      <c r="K8" s="102" t="s">
        <v>141</v>
      </c>
      <c r="L8" s="102" t="s">
        <v>118</v>
      </c>
      <c r="M8" s="102" t="s">
        <v>119</v>
      </c>
      <c r="N8" s="103" t="s">
        <v>759</v>
      </c>
      <c r="O8" s="123"/>
      <c r="P8" s="105">
        <v>500.0</v>
      </c>
      <c r="Q8" s="106" t="s">
        <v>760</v>
      </c>
      <c r="R8" s="107" t="s">
        <v>163</v>
      </c>
      <c r="S8" s="105">
        <v>100.0</v>
      </c>
      <c r="T8" s="108">
        <v>60.0</v>
      </c>
      <c r="U8" s="108">
        <v>170.0</v>
      </c>
      <c r="V8" s="108">
        <v>170.0</v>
      </c>
      <c r="W8" s="109" t="s">
        <v>744</v>
      </c>
      <c r="X8" s="101" t="s">
        <v>745</v>
      </c>
      <c r="Y8" s="100" t="s">
        <v>746</v>
      </c>
      <c r="Z8" s="101" t="s">
        <v>747</v>
      </c>
      <c r="AA8" s="100" t="s">
        <v>289</v>
      </c>
      <c r="AB8" s="100" t="s">
        <v>173</v>
      </c>
      <c r="AC8" s="100" t="s">
        <v>343</v>
      </c>
      <c r="AD8" s="100" t="s">
        <v>154</v>
      </c>
      <c r="AE8" s="100" t="s">
        <v>291</v>
      </c>
      <c r="AF8" s="100" t="s">
        <v>210</v>
      </c>
      <c r="AG8" s="144">
        <v>144.0</v>
      </c>
      <c r="AH8" s="111" t="s">
        <v>761</v>
      </c>
      <c r="AI8" s="137" t="s">
        <v>749</v>
      </c>
      <c r="AJ8" s="113">
        <f t="shared" si="1"/>
        <v>44298</v>
      </c>
      <c r="AK8" s="114">
        <f t="shared" si="2"/>
        <v>-416</v>
      </c>
      <c r="AL8" s="115" t="str">
        <f t="shared" si="3"/>
        <v>Reporte ok</v>
      </c>
      <c r="AM8" s="115"/>
      <c r="AN8" s="116"/>
    </row>
    <row r="9" ht="67.5" customHeight="1">
      <c r="A9" s="37"/>
      <c r="B9" s="100">
        <v>148.0</v>
      </c>
      <c r="C9" s="100" t="s">
        <v>331</v>
      </c>
      <c r="D9" s="100" t="s">
        <v>741</v>
      </c>
      <c r="E9" s="100" t="s">
        <v>333</v>
      </c>
      <c r="F9" s="100">
        <v>2.019011000276E12</v>
      </c>
      <c r="G9" s="101" t="s">
        <v>334</v>
      </c>
      <c r="H9" s="100" t="s">
        <v>335</v>
      </c>
      <c r="I9" s="100" t="s">
        <v>336</v>
      </c>
      <c r="J9" s="100" t="s">
        <v>337</v>
      </c>
      <c r="K9" s="102" t="s">
        <v>141</v>
      </c>
      <c r="L9" s="102" t="s">
        <v>118</v>
      </c>
      <c r="M9" s="102" t="s">
        <v>119</v>
      </c>
      <c r="N9" s="103" t="s">
        <v>762</v>
      </c>
      <c r="O9" s="123"/>
      <c r="P9" s="105">
        <v>500.0</v>
      </c>
      <c r="Q9" s="106" t="s">
        <v>763</v>
      </c>
      <c r="R9" s="107" t="s">
        <v>163</v>
      </c>
      <c r="S9" s="105">
        <v>100.0</v>
      </c>
      <c r="T9" s="108">
        <v>60.0</v>
      </c>
      <c r="U9" s="108">
        <v>170.0</v>
      </c>
      <c r="V9" s="108">
        <v>170.0</v>
      </c>
      <c r="W9" s="109" t="s">
        <v>744</v>
      </c>
      <c r="X9" s="101" t="s">
        <v>745</v>
      </c>
      <c r="Y9" s="100" t="s">
        <v>746</v>
      </c>
      <c r="Z9" s="101" t="s">
        <v>747</v>
      </c>
      <c r="AA9" s="100" t="s">
        <v>289</v>
      </c>
      <c r="AB9" s="100" t="s">
        <v>173</v>
      </c>
      <c r="AC9" s="100" t="s">
        <v>343</v>
      </c>
      <c r="AD9" s="100" t="s">
        <v>154</v>
      </c>
      <c r="AE9" s="100" t="s">
        <v>291</v>
      </c>
      <c r="AF9" s="100" t="s">
        <v>210</v>
      </c>
      <c r="AG9" s="152">
        <v>116.0</v>
      </c>
      <c r="AH9" s="111" t="s">
        <v>764</v>
      </c>
      <c r="AI9" s="137" t="s">
        <v>749</v>
      </c>
      <c r="AJ9" s="113">
        <f t="shared" si="1"/>
        <v>44298</v>
      </c>
      <c r="AK9" s="114">
        <f t="shared" si="2"/>
        <v>-416</v>
      </c>
      <c r="AL9" s="115" t="str">
        <f t="shared" si="3"/>
        <v>Reporte ok</v>
      </c>
      <c r="AM9" s="115"/>
      <c r="AN9" s="116"/>
    </row>
    <row r="10" ht="67.5" customHeight="1">
      <c r="A10" s="37"/>
      <c r="B10" s="100">
        <v>149.0</v>
      </c>
      <c r="C10" s="100" t="s">
        <v>331</v>
      </c>
      <c r="D10" s="100" t="s">
        <v>741</v>
      </c>
      <c r="E10" s="100" t="s">
        <v>333</v>
      </c>
      <c r="F10" s="100">
        <v>2.019011000276E12</v>
      </c>
      <c r="G10" s="101" t="s">
        <v>334</v>
      </c>
      <c r="H10" s="100" t="s">
        <v>335</v>
      </c>
      <c r="I10" s="100" t="s">
        <v>336</v>
      </c>
      <c r="J10" s="100" t="s">
        <v>337</v>
      </c>
      <c r="K10" s="102" t="s">
        <v>141</v>
      </c>
      <c r="L10" s="102" t="s">
        <v>118</v>
      </c>
      <c r="M10" s="102" t="s">
        <v>119</v>
      </c>
      <c r="N10" s="103" t="s">
        <v>765</v>
      </c>
      <c r="O10" s="123"/>
      <c r="P10" s="105">
        <v>25.0</v>
      </c>
      <c r="Q10" s="106" t="s">
        <v>766</v>
      </c>
      <c r="R10" s="107" t="s">
        <v>163</v>
      </c>
      <c r="S10" s="105">
        <v>6.0</v>
      </c>
      <c r="T10" s="108">
        <v>5.0</v>
      </c>
      <c r="U10" s="108">
        <v>7.0</v>
      </c>
      <c r="V10" s="108">
        <v>7.0</v>
      </c>
      <c r="W10" s="109" t="s">
        <v>744</v>
      </c>
      <c r="X10" s="101" t="s">
        <v>745</v>
      </c>
      <c r="Y10" s="100" t="s">
        <v>746</v>
      </c>
      <c r="Z10" s="101" t="s">
        <v>747</v>
      </c>
      <c r="AA10" s="100" t="s">
        <v>289</v>
      </c>
      <c r="AB10" s="100" t="s">
        <v>173</v>
      </c>
      <c r="AC10" s="100" t="s">
        <v>343</v>
      </c>
      <c r="AD10" s="100" t="s">
        <v>154</v>
      </c>
      <c r="AE10" s="100" t="s">
        <v>291</v>
      </c>
      <c r="AF10" s="100" t="s">
        <v>210</v>
      </c>
      <c r="AG10" s="152">
        <v>5.0</v>
      </c>
      <c r="AH10" s="111" t="s">
        <v>767</v>
      </c>
      <c r="AI10" s="137" t="s">
        <v>749</v>
      </c>
      <c r="AJ10" s="113">
        <f t="shared" si="1"/>
        <v>44298</v>
      </c>
      <c r="AK10" s="114">
        <f t="shared" si="2"/>
        <v>-416</v>
      </c>
      <c r="AL10" s="115" t="str">
        <f t="shared" si="3"/>
        <v>Reporte ok</v>
      </c>
      <c r="AM10" s="115"/>
      <c r="AN10" s="116"/>
    </row>
    <row r="11" ht="67.5" customHeight="1">
      <c r="A11" s="37"/>
      <c r="B11" s="100">
        <v>150.0</v>
      </c>
      <c r="C11" s="100" t="s">
        <v>277</v>
      </c>
      <c r="D11" s="100" t="s">
        <v>741</v>
      </c>
      <c r="E11" s="100" t="s">
        <v>279</v>
      </c>
      <c r="F11" s="100">
        <v>2.01901100028E12</v>
      </c>
      <c r="G11" s="101" t="s">
        <v>280</v>
      </c>
      <c r="H11" s="100" t="s">
        <v>296</v>
      </c>
      <c r="I11" s="100" t="s">
        <v>297</v>
      </c>
      <c r="J11" s="100" t="s">
        <v>298</v>
      </c>
      <c r="K11" s="102" t="s">
        <v>141</v>
      </c>
      <c r="L11" s="102" t="s">
        <v>118</v>
      </c>
      <c r="M11" s="102" t="s">
        <v>119</v>
      </c>
      <c r="N11" s="103" t="s">
        <v>768</v>
      </c>
      <c r="O11" s="123"/>
      <c r="P11" s="105">
        <v>30.0</v>
      </c>
      <c r="Q11" s="106" t="s">
        <v>769</v>
      </c>
      <c r="R11" s="107" t="s">
        <v>163</v>
      </c>
      <c r="S11" s="105">
        <v>6.0</v>
      </c>
      <c r="T11" s="108">
        <v>6.0</v>
      </c>
      <c r="U11" s="108">
        <v>9.0</v>
      </c>
      <c r="V11" s="108">
        <v>9.0</v>
      </c>
      <c r="W11" s="109" t="s">
        <v>744</v>
      </c>
      <c r="X11" s="101" t="s">
        <v>745</v>
      </c>
      <c r="Y11" s="100" t="s">
        <v>746</v>
      </c>
      <c r="Z11" s="101" t="s">
        <v>747</v>
      </c>
      <c r="AA11" s="100" t="s">
        <v>289</v>
      </c>
      <c r="AB11" s="100" t="s">
        <v>173</v>
      </c>
      <c r="AC11" s="100" t="s">
        <v>343</v>
      </c>
      <c r="AD11" s="100" t="s">
        <v>154</v>
      </c>
      <c r="AE11" s="100" t="s">
        <v>291</v>
      </c>
      <c r="AF11" s="100" t="s">
        <v>210</v>
      </c>
      <c r="AG11" s="152">
        <v>4.0</v>
      </c>
      <c r="AH11" s="111" t="s">
        <v>770</v>
      </c>
      <c r="AI11" s="137" t="s">
        <v>771</v>
      </c>
      <c r="AJ11" s="113">
        <f t="shared" si="1"/>
        <v>44298</v>
      </c>
      <c r="AK11" s="114">
        <f t="shared" si="2"/>
        <v>-416</v>
      </c>
      <c r="AL11" s="115" t="str">
        <f t="shared" si="3"/>
        <v>Reporte ok</v>
      </c>
      <c r="AM11" s="115"/>
      <c r="AN11" s="116"/>
    </row>
    <row r="12" ht="67.5" customHeight="1">
      <c r="A12" s="37"/>
      <c r="B12" s="100">
        <v>151.0</v>
      </c>
      <c r="C12" s="100" t="s">
        <v>277</v>
      </c>
      <c r="D12" s="100" t="s">
        <v>741</v>
      </c>
      <c r="E12" s="100" t="s">
        <v>279</v>
      </c>
      <c r="F12" s="100">
        <v>2.01901100028E12</v>
      </c>
      <c r="G12" s="101" t="s">
        <v>280</v>
      </c>
      <c r="H12" s="100" t="s">
        <v>281</v>
      </c>
      <c r="I12" s="100" t="s">
        <v>282</v>
      </c>
      <c r="J12" s="100" t="s">
        <v>283</v>
      </c>
      <c r="K12" s="102" t="s">
        <v>141</v>
      </c>
      <c r="L12" s="102" t="s">
        <v>118</v>
      </c>
      <c r="M12" s="102" t="s">
        <v>119</v>
      </c>
      <c r="N12" s="103" t="s">
        <v>772</v>
      </c>
      <c r="O12" s="123"/>
      <c r="P12" s="105">
        <v>1500.0</v>
      </c>
      <c r="Q12" s="106" t="s">
        <v>691</v>
      </c>
      <c r="R12" s="107" t="s">
        <v>163</v>
      </c>
      <c r="S12" s="105">
        <v>0.0</v>
      </c>
      <c r="T12" s="108">
        <v>500.0</v>
      </c>
      <c r="U12" s="108">
        <v>500.0</v>
      </c>
      <c r="V12" s="108">
        <v>500.0</v>
      </c>
      <c r="W12" s="109" t="s">
        <v>744</v>
      </c>
      <c r="X12" s="101" t="s">
        <v>745</v>
      </c>
      <c r="Y12" s="100" t="s">
        <v>746</v>
      </c>
      <c r="Z12" s="101" t="s">
        <v>747</v>
      </c>
      <c r="AA12" s="100" t="s">
        <v>289</v>
      </c>
      <c r="AB12" s="100" t="s">
        <v>173</v>
      </c>
      <c r="AC12" s="100" t="s">
        <v>343</v>
      </c>
      <c r="AD12" s="100" t="s">
        <v>154</v>
      </c>
      <c r="AE12" s="100" t="s">
        <v>291</v>
      </c>
      <c r="AF12" s="100" t="s">
        <v>210</v>
      </c>
      <c r="AG12" s="144">
        <v>409.0</v>
      </c>
      <c r="AH12" s="111" t="s">
        <v>773</v>
      </c>
      <c r="AI12" s="137" t="s">
        <v>749</v>
      </c>
      <c r="AJ12" s="113">
        <f t="shared" si="1"/>
        <v>44298</v>
      </c>
      <c r="AK12" s="114">
        <f t="shared" si="2"/>
        <v>-416</v>
      </c>
      <c r="AL12" s="115" t="str">
        <f t="shared" si="3"/>
        <v>Reporte ok</v>
      </c>
      <c r="AM12" s="115"/>
      <c r="AN12" s="116"/>
    </row>
    <row r="13" ht="67.5" customHeight="1">
      <c r="A13" s="37"/>
      <c r="B13" s="100">
        <v>152.0</v>
      </c>
      <c r="C13" s="100" t="s">
        <v>331</v>
      </c>
      <c r="D13" s="100" t="s">
        <v>741</v>
      </c>
      <c r="E13" s="100" t="s">
        <v>333</v>
      </c>
      <c r="F13" s="100">
        <v>2.019011000276E12</v>
      </c>
      <c r="G13" s="101" t="s">
        <v>334</v>
      </c>
      <c r="H13" s="100" t="s">
        <v>345</v>
      </c>
      <c r="I13" s="100" t="s">
        <v>346</v>
      </c>
      <c r="J13" s="100" t="s">
        <v>358</v>
      </c>
      <c r="K13" s="102" t="s">
        <v>117</v>
      </c>
      <c r="L13" s="102" t="s">
        <v>118</v>
      </c>
      <c r="M13" s="102" t="s">
        <v>119</v>
      </c>
      <c r="N13" s="103" t="s">
        <v>348</v>
      </c>
      <c r="O13" s="104">
        <v>157.0</v>
      </c>
      <c r="P13" s="105">
        <v>565.0</v>
      </c>
      <c r="Q13" s="106" t="s">
        <v>713</v>
      </c>
      <c r="R13" s="107" t="s">
        <v>163</v>
      </c>
      <c r="S13" s="105">
        <v>152.0</v>
      </c>
      <c r="T13" s="108">
        <v>50.0</v>
      </c>
      <c r="U13" s="108">
        <v>179.0</v>
      </c>
      <c r="V13" s="108">
        <v>184.0</v>
      </c>
      <c r="W13" s="109" t="s">
        <v>744</v>
      </c>
      <c r="X13" s="101" t="s">
        <v>745</v>
      </c>
      <c r="Y13" s="100" t="s">
        <v>746</v>
      </c>
      <c r="Z13" s="101" t="s">
        <v>747</v>
      </c>
      <c r="AA13" s="100" t="s">
        <v>289</v>
      </c>
      <c r="AB13" s="100" t="s">
        <v>173</v>
      </c>
      <c r="AC13" s="100" t="s">
        <v>343</v>
      </c>
      <c r="AD13" s="100" t="s">
        <v>154</v>
      </c>
      <c r="AE13" s="100" t="s">
        <v>291</v>
      </c>
      <c r="AF13" s="100" t="s">
        <v>210</v>
      </c>
      <c r="AG13" s="144">
        <v>153.0</v>
      </c>
      <c r="AH13" s="111" t="s">
        <v>774</v>
      </c>
      <c r="AI13" s="137" t="s">
        <v>775</v>
      </c>
      <c r="AJ13" s="113">
        <f t="shared" si="1"/>
        <v>44298</v>
      </c>
      <c r="AK13" s="114">
        <f t="shared" si="2"/>
        <v>-416</v>
      </c>
      <c r="AL13" s="115" t="str">
        <f t="shared" si="3"/>
        <v>Reporte ok</v>
      </c>
      <c r="AM13" s="115"/>
      <c r="AN13" s="116"/>
    </row>
    <row r="14" ht="67.5" customHeight="1">
      <c r="A14" s="37"/>
      <c r="B14" s="119"/>
      <c r="C14" s="119"/>
      <c r="D14" s="119"/>
      <c r="E14" s="119"/>
      <c r="F14" s="119"/>
      <c r="G14" s="120"/>
      <c r="H14" s="119"/>
      <c r="I14" s="119"/>
      <c r="J14" s="119"/>
      <c r="K14" s="121"/>
      <c r="L14" s="121"/>
      <c r="M14" s="121"/>
      <c r="N14" s="122"/>
      <c r="O14" s="123"/>
      <c r="P14" s="124"/>
      <c r="Q14" s="125"/>
      <c r="R14" s="126"/>
      <c r="S14" s="124"/>
      <c r="T14" s="127"/>
      <c r="U14" s="127"/>
      <c r="V14" s="127"/>
      <c r="W14" s="128"/>
      <c r="X14" s="120"/>
      <c r="Y14" s="119"/>
      <c r="Z14" s="120"/>
      <c r="AA14" s="119"/>
      <c r="AB14" s="119"/>
      <c r="AC14" s="119"/>
      <c r="AD14" s="119"/>
      <c r="AE14" s="119"/>
      <c r="AF14" s="119"/>
      <c r="AG14" s="129"/>
      <c r="AH14" s="129"/>
      <c r="AI14" s="112"/>
      <c r="AJ14" s="113"/>
      <c r="AK14" s="114"/>
      <c r="AL14" s="115"/>
      <c r="AM14" s="115"/>
      <c r="AN14" s="116"/>
    </row>
    <row r="15" ht="67.5" customHeight="1">
      <c r="A15" s="37"/>
      <c r="B15" s="119"/>
      <c r="C15" s="119"/>
      <c r="D15" s="119"/>
      <c r="E15" s="119"/>
      <c r="F15" s="119"/>
      <c r="G15" s="120"/>
      <c r="H15" s="119"/>
      <c r="I15" s="119"/>
      <c r="J15" s="119"/>
      <c r="K15" s="121"/>
      <c r="L15" s="121"/>
      <c r="M15" s="121"/>
      <c r="N15" s="122"/>
      <c r="O15" s="123"/>
      <c r="P15" s="124"/>
      <c r="Q15" s="125"/>
      <c r="R15" s="126"/>
      <c r="S15" s="124"/>
      <c r="T15" s="127"/>
      <c r="U15" s="127"/>
      <c r="V15" s="127"/>
      <c r="W15" s="128"/>
      <c r="X15" s="120"/>
      <c r="Y15" s="119"/>
      <c r="Z15" s="120"/>
      <c r="AA15" s="119"/>
      <c r="AB15" s="119"/>
      <c r="AC15" s="119"/>
      <c r="AD15" s="119"/>
      <c r="AE15" s="119"/>
      <c r="AF15" s="119"/>
      <c r="AG15" s="129"/>
      <c r="AH15" s="129"/>
      <c r="AI15" s="112"/>
      <c r="AJ15" s="113"/>
      <c r="AK15" s="114"/>
      <c r="AL15" s="115"/>
      <c r="AM15" s="115"/>
      <c r="AN15" s="116"/>
    </row>
    <row r="16" ht="15.75" customHeight="1"/>
  </sheetData>
  <autoFilter ref="$A$3:$AN$15"/>
  <mergeCells count="2">
    <mergeCell ref="B1:C1"/>
    <mergeCell ref="AG2:AM2"/>
  </mergeCells>
  <conditionalFormatting sqref="AK4:AK15">
    <cfRule type="cellIs" dxfId="2" priority="1" operator="greaterThan">
      <formula>0</formula>
    </cfRule>
  </conditionalFormatting>
  <conditionalFormatting sqref="AK4:AK15">
    <cfRule type="cellIs" dxfId="3" priority="2" operator="lessThan">
      <formula>0</formula>
    </cfRule>
  </conditionalFormatting>
  <dataValidations>
    <dataValidation type="decimal" allowBlank="1" showDropDown="1" showInputMessage="1" showErrorMessage="1" prompt="Recuerde que debe ingresar un valor numérico o porcentaje" sqref="AG4:AG15">
      <formula1>0.0</formula1>
      <formula2>5000000.0</formula2>
    </dataValidation>
  </dataValidations>
  <hyperlinks>
    <hyperlink display="Home" location="Home!A1" ref="B1"/>
    <hyperlink r:id="rId1" ref="AI4"/>
    <hyperlink r:id="rId2" ref="AI5"/>
    <hyperlink r:id="rId3" ref="AI6"/>
    <hyperlink r:id="rId4" ref="AI7"/>
    <hyperlink r:id="rId5" ref="AI8"/>
    <hyperlink r:id="rId6" ref="AI9"/>
    <hyperlink r:id="rId7" ref="AI10"/>
    <hyperlink r:id="rId8" ref="AI11"/>
    <hyperlink r:id="rId9" ref="AI12"/>
    <hyperlink r:id="rId10" ref="AI13"/>
  </hyperlinks>
  <printOptions gridLines="1" horizontalCentered="1"/>
  <pageMargins bottom="0.75" footer="0.0" header="0.0" left="0.7" right="0.7" top="0.75"/>
  <pageSetup cellComments="atEnd" orientation="portrait" pageOrder="overThenDown"/>
  <drawing r:id="rId11"/>
</worksheet>
</file>

<file path=xl/worksheets/sheet2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3.0" topLeftCell="A4" activePane="bottomLeft" state="frozen"/>
      <selection activeCell="B5" sqref="B5" pane="bottomLeft"/>
    </sheetView>
  </sheetViews>
  <sheetFormatPr customHeight="1" defaultColWidth="12.63" defaultRowHeight="15.0"/>
  <cols>
    <col customWidth="1" min="1" max="1" width="3.88"/>
    <col customWidth="1" min="2" max="2" width="6.88"/>
    <col customWidth="1" min="3" max="3" width="16.38"/>
    <col customWidth="1" min="4" max="4" width="15.63"/>
    <col customWidth="1" min="5" max="5" width="38.38"/>
    <col customWidth="1" min="6" max="6" width="13.63"/>
    <col customWidth="1" min="7" max="7" width="11.13"/>
    <col customWidth="1" min="8" max="8" width="30.13"/>
    <col customWidth="1" min="9" max="9" width="26.25"/>
    <col customWidth="1" min="10" max="10" width="34.63"/>
    <col customWidth="1" min="11" max="11" width="14.25"/>
    <col customWidth="1" min="12" max="12" width="17.5"/>
    <col customWidth="1" min="13" max="13" width="12.25"/>
    <col customWidth="1" min="14" max="14" width="36.63"/>
    <col customWidth="1" hidden="1" min="15" max="15" width="21.63"/>
    <col customWidth="1" min="16" max="16" width="15.75"/>
    <col customWidth="1" min="17" max="17" width="50.63"/>
    <col customWidth="1" min="18" max="18" width="17.13"/>
    <col customWidth="1" min="19" max="19" width="15.75"/>
    <col customWidth="1" hidden="1" min="20" max="20" width="16.0"/>
    <col customWidth="1" hidden="1" min="21" max="21" width="17.88"/>
    <col customWidth="1" hidden="1" min="22" max="22" width="16.38"/>
    <col customWidth="1" min="23" max="23" width="17.25"/>
    <col customWidth="1" min="24" max="24" width="26.5"/>
    <col customWidth="1" min="25" max="25" width="23.63"/>
    <col customWidth="1" min="26" max="26" width="27.88"/>
    <col customWidth="1" min="27" max="27" width="26.63"/>
    <col customWidth="1" min="28" max="28" width="18.75"/>
    <col customWidth="1" min="29" max="29" width="31.88"/>
    <col customWidth="1" min="30" max="30" width="22.63"/>
    <col customWidth="1" min="31" max="31" width="29.13"/>
    <col customWidth="1" min="32" max="32" width="27.13"/>
    <col customWidth="1" min="33" max="33" width="21.0"/>
    <col customWidth="1" min="34" max="34" width="32.0"/>
    <col customWidth="1" min="35" max="35" width="21.0"/>
    <col customWidth="1" min="36" max="36" width="15.75"/>
    <col customWidth="1" min="37" max="37" width="15.63"/>
    <col customWidth="1" min="38" max="38" width="15.25"/>
    <col customWidth="1" min="39" max="39" width="18.25"/>
    <col customWidth="1" min="40" max="40" width="3.88"/>
  </cols>
  <sheetData>
    <row r="1" ht="33.75" customHeight="1">
      <c r="A1" s="81"/>
      <c r="B1" s="3" t="s">
        <v>106</v>
      </c>
      <c r="C1" s="82"/>
      <c r="E1" s="83"/>
      <c r="F1" s="84"/>
      <c r="G1" s="84"/>
      <c r="H1" s="84"/>
      <c r="I1" s="84"/>
      <c r="J1" s="84"/>
      <c r="K1" s="84"/>
      <c r="L1" s="84"/>
      <c r="M1" s="84"/>
      <c r="N1" s="84"/>
      <c r="O1" s="84"/>
      <c r="P1" s="84"/>
      <c r="Q1" s="84"/>
      <c r="R1" s="84"/>
      <c r="S1" s="84"/>
      <c r="T1" s="84"/>
      <c r="U1" s="84"/>
      <c r="V1" s="84"/>
      <c r="W1" s="84"/>
      <c r="X1" s="84"/>
      <c r="Y1" s="84"/>
      <c r="Z1" s="84"/>
      <c r="AA1" s="84"/>
      <c r="AB1" s="84"/>
      <c r="AC1" s="84"/>
      <c r="AD1" s="84"/>
      <c r="AE1" s="84"/>
      <c r="AG1" s="85" t="s">
        <v>107</v>
      </c>
      <c r="AH1" s="86">
        <f>AN1/AM1</f>
        <v>0.4166666667</v>
      </c>
      <c r="AI1" s="87" t="s">
        <v>108</v>
      </c>
      <c r="AJ1" s="88">
        <v>43466.0</v>
      </c>
      <c r="AK1" s="89">
        <f>Alertas!B6</f>
        <v>44298</v>
      </c>
      <c r="AL1" s="88">
        <f>TODAY()-1</f>
        <v>44714</v>
      </c>
      <c r="AM1" s="87">
        <v>12.0</v>
      </c>
      <c r="AN1" s="87">
        <f>DATEDIF(AJ1,AL1,"YM")</f>
        <v>5</v>
      </c>
    </row>
    <row r="2" ht="33.75" customHeight="1">
      <c r="A2" s="81"/>
      <c r="C2" s="90"/>
      <c r="D2" s="91"/>
      <c r="F2" s="92"/>
      <c r="AF2" s="11"/>
      <c r="AG2" s="94" t="s">
        <v>109</v>
      </c>
      <c r="AH2" s="15"/>
      <c r="AI2" s="15"/>
      <c r="AJ2" s="15"/>
      <c r="AK2" s="15"/>
      <c r="AL2" s="15"/>
      <c r="AM2" s="16"/>
      <c r="AN2" s="95"/>
    </row>
    <row r="3" ht="33.75" customHeight="1">
      <c r="A3" s="81" t="s">
        <v>510</v>
      </c>
      <c r="B3" s="96" t="s">
        <v>34</v>
      </c>
      <c r="C3" s="97" t="s">
        <v>35</v>
      </c>
      <c r="D3" s="96" t="s">
        <v>36</v>
      </c>
      <c r="E3" s="96" t="s">
        <v>37</v>
      </c>
      <c r="F3" s="98" t="s">
        <v>38</v>
      </c>
      <c r="G3" s="99" t="s">
        <v>39</v>
      </c>
      <c r="H3" s="96" t="s">
        <v>40</v>
      </c>
      <c r="I3" s="99" t="s">
        <v>41</v>
      </c>
      <c r="J3" s="99" t="s">
        <v>42</v>
      </c>
      <c r="K3" s="99" t="s">
        <v>43</v>
      </c>
      <c r="L3" s="99" t="s">
        <v>44</v>
      </c>
      <c r="M3" s="96" t="s">
        <v>45</v>
      </c>
      <c r="N3" s="96" t="s">
        <v>46</v>
      </c>
      <c r="O3" s="99" t="s">
        <v>47</v>
      </c>
      <c r="P3" s="99" t="s">
        <v>48</v>
      </c>
      <c r="Q3" s="96" t="s">
        <v>49</v>
      </c>
      <c r="R3" s="96" t="s">
        <v>50</v>
      </c>
      <c r="S3" s="99" t="s">
        <v>51</v>
      </c>
      <c r="T3" s="99" t="s">
        <v>52</v>
      </c>
      <c r="U3" s="99" t="s">
        <v>53</v>
      </c>
      <c r="V3" s="99" t="s">
        <v>54</v>
      </c>
      <c r="W3" s="96" t="s">
        <v>55</v>
      </c>
      <c r="X3" s="97" t="s">
        <v>56</v>
      </c>
      <c r="Y3" s="97" t="s">
        <v>57</v>
      </c>
      <c r="Z3" s="97" t="s">
        <v>58</v>
      </c>
      <c r="AA3" s="97" t="s">
        <v>59</v>
      </c>
      <c r="AB3" s="97" t="s">
        <v>60</v>
      </c>
      <c r="AC3" s="97" t="s">
        <v>61</v>
      </c>
      <c r="AD3" s="97" t="s">
        <v>62</v>
      </c>
      <c r="AE3" s="97" t="s">
        <v>63</v>
      </c>
      <c r="AF3" s="97" t="s">
        <v>64</v>
      </c>
      <c r="AG3" s="97" t="s">
        <v>65</v>
      </c>
      <c r="AH3" s="97" t="s">
        <v>66</v>
      </c>
      <c r="AI3" s="97" t="s">
        <v>67</v>
      </c>
      <c r="AJ3" s="97" t="s">
        <v>68</v>
      </c>
      <c r="AK3" s="97" t="s">
        <v>110</v>
      </c>
      <c r="AL3" s="97" t="s">
        <v>70</v>
      </c>
      <c r="AM3" s="97" t="s">
        <v>71</v>
      </c>
      <c r="AN3" s="95"/>
    </row>
    <row r="4" ht="67.5" customHeight="1">
      <c r="A4" s="37"/>
      <c r="B4" s="100">
        <v>153.0</v>
      </c>
      <c r="C4" s="100" t="s">
        <v>331</v>
      </c>
      <c r="D4" s="100" t="s">
        <v>776</v>
      </c>
      <c r="E4" s="100" t="s">
        <v>279</v>
      </c>
      <c r="F4" s="100">
        <v>2.01901100028E12</v>
      </c>
      <c r="G4" s="101" t="s">
        <v>280</v>
      </c>
      <c r="H4" s="100" t="s">
        <v>281</v>
      </c>
      <c r="I4" s="100" t="s">
        <v>282</v>
      </c>
      <c r="J4" s="100" t="s">
        <v>283</v>
      </c>
      <c r="K4" s="102" t="s">
        <v>117</v>
      </c>
      <c r="L4" s="102" t="s">
        <v>118</v>
      </c>
      <c r="M4" s="102" t="s">
        <v>142</v>
      </c>
      <c r="N4" s="103" t="s">
        <v>568</v>
      </c>
      <c r="O4" s="104">
        <v>-7140.0</v>
      </c>
      <c r="P4" s="105">
        <v>230.0</v>
      </c>
      <c r="Q4" s="106" t="s">
        <v>622</v>
      </c>
      <c r="R4" s="107" t="s">
        <v>219</v>
      </c>
      <c r="S4" s="105">
        <v>30.0</v>
      </c>
      <c r="T4" s="108">
        <v>75.0</v>
      </c>
      <c r="U4" s="108">
        <v>75.0</v>
      </c>
      <c r="V4" s="108">
        <v>50.0</v>
      </c>
      <c r="W4" s="109" t="s">
        <v>776</v>
      </c>
      <c r="X4" s="101" t="s">
        <v>777</v>
      </c>
      <c r="Y4" s="100" t="s">
        <v>624</v>
      </c>
      <c r="Z4" s="101" t="s">
        <v>778</v>
      </c>
      <c r="AA4" s="100" t="s">
        <v>444</v>
      </c>
      <c r="AB4" s="100" t="s">
        <v>173</v>
      </c>
      <c r="AC4" s="100" t="s">
        <v>290</v>
      </c>
      <c r="AD4" s="100" t="s">
        <v>154</v>
      </c>
      <c r="AE4" s="100" t="s">
        <v>291</v>
      </c>
      <c r="AF4" s="100" t="s">
        <v>210</v>
      </c>
      <c r="AG4" s="144">
        <v>40.0</v>
      </c>
      <c r="AH4" s="111" t="s">
        <v>779</v>
      </c>
      <c r="AI4" s="137" t="s">
        <v>780</v>
      </c>
      <c r="AJ4" s="113">
        <f t="shared" ref="AJ4:AJ11" si="1">$AK$1</f>
        <v>44298</v>
      </c>
      <c r="AK4" s="114">
        <f t="shared" ref="AK4:AK11" si="2">AJ4-$AL$1</f>
        <v>-416</v>
      </c>
      <c r="AL4" s="115" t="str">
        <f t="shared" ref="AL4:AL11" si="3">IF(ISBLANK(AG4),"Pendiente Ejecución"&amp;CHAR(10),)&amp;IF(ISBLANK(AH4),"Pendiente Justificación"&amp;CHAR(10),)&amp;IF(ISBLANK(AI4),"Pendiente Evidencia",)&amp;IF(OR(ISBLANK(AG4),ISBLANK(AH4),ISBLANK(AI4)),,"Reporte ok")</f>
        <v>Reporte ok</v>
      </c>
      <c r="AM4" s="115"/>
      <c r="AN4" s="116"/>
    </row>
    <row r="5" ht="67.5" customHeight="1">
      <c r="A5" s="37"/>
      <c r="B5" s="100">
        <v>154.0</v>
      </c>
      <c r="C5" s="100" t="s">
        <v>331</v>
      </c>
      <c r="D5" s="100" t="s">
        <v>776</v>
      </c>
      <c r="E5" s="100" t="s">
        <v>279</v>
      </c>
      <c r="F5" s="100">
        <v>2.01901100028E12</v>
      </c>
      <c r="G5" s="101" t="s">
        <v>280</v>
      </c>
      <c r="H5" s="100" t="s">
        <v>281</v>
      </c>
      <c r="I5" s="100" t="s">
        <v>282</v>
      </c>
      <c r="J5" s="100" t="s">
        <v>324</v>
      </c>
      <c r="K5" s="102" t="s">
        <v>141</v>
      </c>
      <c r="L5" s="102" t="s">
        <v>118</v>
      </c>
      <c r="M5" s="102" t="s">
        <v>119</v>
      </c>
      <c r="N5" s="103" t="s">
        <v>687</v>
      </c>
      <c r="O5" s="123"/>
      <c r="P5" s="105">
        <v>35.0</v>
      </c>
      <c r="Q5" s="106" t="s">
        <v>688</v>
      </c>
      <c r="R5" s="107" t="s">
        <v>163</v>
      </c>
      <c r="S5" s="105">
        <v>5.0</v>
      </c>
      <c r="T5" s="108">
        <v>10.0</v>
      </c>
      <c r="U5" s="108">
        <v>10.0</v>
      </c>
      <c r="V5" s="108">
        <v>10.0</v>
      </c>
      <c r="W5" s="109" t="s">
        <v>776</v>
      </c>
      <c r="X5" s="101" t="s">
        <v>777</v>
      </c>
      <c r="Y5" s="100" t="s">
        <v>624</v>
      </c>
      <c r="Z5" s="101" t="s">
        <v>778</v>
      </c>
      <c r="AA5" s="100" t="s">
        <v>444</v>
      </c>
      <c r="AB5" s="100" t="s">
        <v>173</v>
      </c>
      <c r="AC5" s="100" t="s">
        <v>128</v>
      </c>
      <c r="AD5" s="100" t="s">
        <v>154</v>
      </c>
      <c r="AE5" s="100" t="s">
        <v>291</v>
      </c>
      <c r="AF5" s="100" t="s">
        <v>210</v>
      </c>
      <c r="AG5" s="144">
        <v>11.0</v>
      </c>
      <c r="AH5" s="111" t="s">
        <v>781</v>
      </c>
      <c r="AI5" s="137" t="s">
        <v>782</v>
      </c>
      <c r="AJ5" s="113">
        <f t="shared" si="1"/>
        <v>44298</v>
      </c>
      <c r="AK5" s="114">
        <f t="shared" si="2"/>
        <v>-416</v>
      </c>
      <c r="AL5" s="115" t="str">
        <f t="shared" si="3"/>
        <v>Reporte ok</v>
      </c>
      <c r="AM5" s="115"/>
      <c r="AN5" s="116"/>
    </row>
    <row r="6" ht="67.5" customHeight="1">
      <c r="A6" s="37"/>
      <c r="B6" s="100">
        <v>155.0</v>
      </c>
      <c r="C6" s="100" t="s">
        <v>331</v>
      </c>
      <c r="D6" s="100" t="s">
        <v>776</v>
      </c>
      <c r="E6" s="100" t="s">
        <v>279</v>
      </c>
      <c r="F6" s="100">
        <v>2.01901100028E12</v>
      </c>
      <c r="G6" s="101" t="s">
        <v>280</v>
      </c>
      <c r="H6" s="100" t="s">
        <v>281</v>
      </c>
      <c r="I6" s="100" t="s">
        <v>282</v>
      </c>
      <c r="J6" s="100" t="s">
        <v>324</v>
      </c>
      <c r="K6" s="102" t="s">
        <v>141</v>
      </c>
      <c r="L6" s="102" t="s">
        <v>118</v>
      </c>
      <c r="M6" s="102" t="s">
        <v>119</v>
      </c>
      <c r="N6" s="103" t="s">
        <v>579</v>
      </c>
      <c r="O6" s="123"/>
      <c r="P6" s="105">
        <v>120.0</v>
      </c>
      <c r="Q6" s="106" t="s">
        <v>783</v>
      </c>
      <c r="R6" s="107" t="s">
        <v>163</v>
      </c>
      <c r="S6" s="105">
        <v>30.0</v>
      </c>
      <c r="T6" s="108">
        <v>30.0</v>
      </c>
      <c r="U6" s="108">
        <v>30.0</v>
      </c>
      <c r="V6" s="108">
        <v>30.0</v>
      </c>
      <c r="W6" s="109" t="s">
        <v>776</v>
      </c>
      <c r="X6" s="101" t="s">
        <v>777</v>
      </c>
      <c r="Y6" s="100" t="s">
        <v>624</v>
      </c>
      <c r="Z6" s="101" t="s">
        <v>778</v>
      </c>
      <c r="AA6" s="100" t="s">
        <v>444</v>
      </c>
      <c r="AB6" s="100" t="s">
        <v>173</v>
      </c>
      <c r="AC6" s="100" t="s">
        <v>128</v>
      </c>
      <c r="AD6" s="100" t="s">
        <v>154</v>
      </c>
      <c r="AE6" s="100" t="s">
        <v>291</v>
      </c>
      <c r="AF6" s="100" t="s">
        <v>210</v>
      </c>
      <c r="AG6" s="144">
        <v>30.0</v>
      </c>
      <c r="AH6" s="111" t="s">
        <v>784</v>
      </c>
      <c r="AI6" s="137" t="s">
        <v>785</v>
      </c>
      <c r="AJ6" s="113">
        <f t="shared" si="1"/>
        <v>44298</v>
      </c>
      <c r="AK6" s="114">
        <f t="shared" si="2"/>
        <v>-416</v>
      </c>
      <c r="AL6" s="115" t="str">
        <f t="shared" si="3"/>
        <v>Reporte ok</v>
      </c>
      <c r="AM6" s="115"/>
      <c r="AN6" s="116"/>
    </row>
    <row r="7" ht="67.5" customHeight="1">
      <c r="A7" s="37"/>
      <c r="B7" s="100">
        <v>156.0</v>
      </c>
      <c r="C7" s="100" t="s">
        <v>331</v>
      </c>
      <c r="D7" s="100" t="s">
        <v>776</v>
      </c>
      <c r="E7" s="100" t="s">
        <v>333</v>
      </c>
      <c r="F7" s="100">
        <v>2.019011000276E12</v>
      </c>
      <c r="G7" s="101" t="s">
        <v>334</v>
      </c>
      <c r="H7" s="100" t="s">
        <v>335</v>
      </c>
      <c r="I7" s="100" t="s">
        <v>336</v>
      </c>
      <c r="J7" s="100" t="s">
        <v>337</v>
      </c>
      <c r="K7" s="102" t="s">
        <v>141</v>
      </c>
      <c r="L7" s="102" t="s">
        <v>118</v>
      </c>
      <c r="M7" s="102" t="s">
        <v>119</v>
      </c>
      <c r="N7" s="103" t="s">
        <v>696</v>
      </c>
      <c r="O7" s="123"/>
      <c r="P7" s="105">
        <v>35.0</v>
      </c>
      <c r="Q7" s="106" t="s">
        <v>786</v>
      </c>
      <c r="R7" s="107" t="s">
        <v>163</v>
      </c>
      <c r="S7" s="105">
        <v>10.0</v>
      </c>
      <c r="T7" s="108">
        <v>25.0</v>
      </c>
      <c r="U7" s="108">
        <v>0.0</v>
      </c>
      <c r="V7" s="108">
        <v>0.0</v>
      </c>
      <c r="W7" s="109" t="s">
        <v>776</v>
      </c>
      <c r="X7" s="101" t="s">
        <v>777</v>
      </c>
      <c r="Y7" s="100" t="s">
        <v>624</v>
      </c>
      <c r="Z7" s="101" t="s">
        <v>778</v>
      </c>
      <c r="AA7" s="100" t="s">
        <v>444</v>
      </c>
      <c r="AB7" s="100" t="s">
        <v>173</v>
      </c>
      <c r="AC7" s="100" t="s">
        <v>343</v>
      </c>
      <c r="AD7" s="100" t="s">
        <v>154</v>
      </c>
      <c r="AE7" s="100" t="s">
        <v>291</v>
      </c>
      <c r="AF7" s="100" t="s">
        <v>210</v>
      </c>
      <c r="AG7" s="144">
        <v>10.0</v>
      </c>
      <c r="AH7" s="111" t="s">
        <v>787</v>
      </c>
      <c r="AI7" s="137" t="s">
        <v>788</v>
      </c>
      <c r="AJ7" s="113">
        <f t="shared" si="1"/>
        <v>44298</v>
      </c>
      <c r="AK7" s="114">
        <f t="shared" si="2"/>
        <v>-416</v>
      </c>
      <c r="AL7" s="115" t="str">
        <f t="shared" si="3"/>
        <v>Reporte ok</v>
      </c>
      <c r="AM7" s="115"/>
      <c r="AN7" s="116"/>
    </row>
    <row r="8" ht="67.5" customHeight="1">
      <c r="A8" s="37"/>
      <c r="B8" s="100">
        <v>157.0</v>
      </c>
      <c r="C8" s="100" t="s">
        <v>331</v>
      </c>
      <c r="D8" s="100" t="s">
        <v>776</v>
      </c>
      <c r="E8" s="100" t="s">
        <v>333</v>
      </c>
      <c r="F8" s="100">
        <v>2.019011000276E12</v>
      </c>
      <c r="G8" s="101" t="s">
        <v>334</v>
      </c>
      <c r="H8" s="100" t="s">
        <v>345</v>
      </c>
      <c r="I8" s="100" t="s">
        <v>346</v>
      </c>
      <c r="J8" s="100" t="s">
        <v>347</v>
      </c>
      <c r="K8" s="102" t="s">
        <v>117</v>
      </c>
      <c r="L8" s="102" t="s">
        <v>118</v>
      </c>
      <c r="M8" s="102" t="s">
        <v>119</v>
      </c>
      <c r="N8" s="103" t="s">
        <v>348</v>
      </c>
      <c r="O8" s="104">
        <v>157.0</v>
      </c>
      <c r="P8" s="105">
        <v>850.0</v>
      </c>
      <c r="Q8" s="106" t="s">
        <v>789</v>
      </c>
      <c r="R8" s="107" t="s">
        <v>219</v>
      </c>
      <c r="S8" s="105">
        <v>193.0</v>
      </c>
      <c r="T8" s="108">
        <v>240.0</v>
      </c>
      <c r="U8" s="108">
        <v>231.0</v>
      </c>
      <c r="V8" s="108">
        <v>186.0</v>
      </c>
      <c r="W8" s="109" t="s">
        <v>776</v>
      </c>
      <c r="X8" s="101" t="s">
        <v>777</v>
      </c>
      <c r="Y8" s="100" t="s">
        <v>624</v>
      </c>
      <c r="Z8" s="101" t="s">
        <v>778</v>
      </c>
      <c r="AA8" s="100" t="s">
        <v>444</v>
      </c>
      <c r="AB8" s="100" t="s">
        <v>173</v>
      </c>
      <c r="AC8" s="100" t="s">
        <v>343</v>
      </c>
      <c r="AD8" s="100" t="s">
        <v>154</v>
      </c>
      <c r="AE8" s="100" t="s">
        <v>291</v>
      </c>
      <c r="AF8" s="100" t="s">
        <v>210</v>
      </c>
      <c r="AG8" s="144">
        <v>199.0</v>
      </c>
      <c r="AH8" s="111" t="s">
        <v>790</v>
      </c>
      <c r="AI8" s="117" t="s">
        <v>791</v>
      </c>
      <c r="AJ8" s="113">
        <f t="shared" si="1"/>
        <v>44298</v>
      </c>
      <c r="AK8" s="114">
        <f t="shared" si="2"/>
        <v>-416</v>
      </c>
      <c r="AL8" s="115" t="str">
        <f t="shared" si="3"/>
        <v>Reporte ok</v>
      </c>
      <c r="AM8" s="115"/>
      <c r="AN8" s="116"/>
    </row>
    <row r="9" ht="67.5" customHeight="1">
      <c r="A9" s="37"/>
      <c r="B9" s="100">
        <v>158.0</v>
      </c>
      <c r="C9" s="100" t="s">
        <v>331</v>
      </c>
      <c r="D9" s="100" t="s">
        <v>776</v>
      </c>
      <c r="E9" s="100" t="s">
        <v>279</v>
      </c>
      <c r="F9" s="100">
        <v>2.01901100028E12</v>
      </c>
      <c r="G9" s="101" t="s">
        <v>280</v>
      </c>
      <c r="H9" s="100" t="s">
        <v>281</v>
      </c>
      <c r="I9" s="100" t="s">
        <v>282</v>
      </c>
      <c r="J9" s="100" t="s">
        <v>283</v>
      </c>
      <c r="K9" s="102" t="s">
        <v>141</v>
      </c>
      <c r="L9" s="102" t="s">
        <v>118</v>
      </c>
      <c r="M9" s="102" t="s">
        <v>119</v>
      </c>
      <c r="N9" s="103" t="s">
        <v>690</v>
      </c>
      <c r="O9" s="123"/>
      <c r="P9" s="105">
        <v>1050.0</v>
      </c>
      <c r="Q9" s="106" t="s">
        <v>792</v>
      </c>
      <c r="R9" s="107" t="s">
        <v>163</v>
      </c>
      <c r="S9" s="105">
        <v>250.0</v>
      </c>
      <c r="T9" s="108">
        <v>250.0</v>
      </c>
      <c r="U9" s="108">
        <v>250.0</v>
      </c>
      <c r="V9" s="108">
        <v>300.0</v>
      </c>
      <c r="W9" s="109" t="s">
        <v>776</v>
      </c>
      <c r="X9" s="101" t="s">
        <v>777</v>
      </c>
      <c r="Y9" s="100" t="s">
        <v>624</v>
      </c>
      <c r="Z9" s="101" t="s">
        <v>778</v>
      </c>
      <c r="AA9" s="100" t="s">
        <v>444</v>
      </c>
      <c r="AB9" s="100" t="s">
        <v>173</v>
      </c>
      <c r="AC9" s="100" t="s">
        <v>290</v>
      </c>
      <c r="AD9" s="100" t="s">
        <v>154</v>
      </c>
      <c r="AE9" s="100" t="s">
        <v>609</v>
      </c>
      <c r="AF9" s="100" t="s">
        <v>210</v>
      </c>
      <c r="AG9" s="144">
        <v>440.0</v>
      </c>
      <c r="AH9" s="111" t="s">
        <v>793</v>
      </c>
      <c r="AI9" s="137" t="s">
        <v>794</v>
      </c>
      <c r="AJ9" s="113">
        <f t="shared" si="1"/>
        <v>44298</v>
      </c>
      <c r="AK9" s="114">
        <f t="shared" si="2"/>
        <v>-416</v>
      </c>
      <c r="AL9" s="115" t="str">
        <f t="shared" si="3"/>
        <v>Reporte ok</v>
      </c>
      <c r="AM9" s="115"/>
      <c r="AN9" s="116"/>
    </row>
    <row r="10" ht="67.5" customHeight="1">
      <c r="A10" s="37"/>
      <c r="B10" s="100">
        <v>159.0</v>
      </c>
      <c r="C10" s="100" t="s">
        <v>331</v>
      </c>
      <c r="D10" s="100" t="s">
        <v>776</v>
      </c>
      <c r="E10" s="100" t="s">
        <v>279</v>
      </c>
      <c r="F10" s="100">
        <v>2.01901100028E12</v>
      </c>
      <c r="G10" s="101" t="s">
        <v>280</v>
      </c>
      <c r="H10" s="100" t="s">
        <v>281</v>
      </c>
      <c r="I10" s="100" t="s">
        <v>282</v>
      </c>
      <c r="J10" s="100" t="s">
        <v>283</v>
      </c>
      <c r="K10" s="102" t="s">
        <v>141</v>
      </c>
      <c r="L10" s="102" t="s">
        <v>118</v>
      </c>
      <c r="M10" s="102" t="s">
        <v>119</v>
      </c>
      <c r="N10" s="103" t="s">
        <v>795</v>
      </c>
      <c r="O10" s="123"/>
      <c r="P10" s="105">
        <v>120.0</v>
      </c>
      <c r="Q10" s="106" t="s">
        <v>796</v>
      </c>
      <c r="R10" s="107" t="s">
        <v>163</v>
      </c>
      <c r="S10" s="105">
        <v>80.0</v>
      </c>
      <c r="T10" s="108">
        <v>0.0</v>
      </c>
      <c r="U10" s="108">
        <v>0.0</v>
      </c>
      <c r="V10" s="108">
        <v>40.0</v>
      </c>
      <c r="W10" s="109" t="s">
        <v>776</v>
      </c>
      <c r="X10" s="101" t="s">
        <v>777</v>
      </c>
      <c r="Y10" s="100" t="s">
        <v>624</v>
      </c>
      <c r="Z10" s="101" t="s">
        <v>778</v>
      </c>
      <c r="AA10" s="100" t="s">
        <v>444</v>
      </c>
      <c r="AB10" s="100" t="s">
        <v>173</v>
      </c>
      <c r="AC10" s="100" t="s">
        <v>290</v>
      </c>
      <c r="AD10" s="100" t="s">
        <v>154</v>
      </c>
      <c r="AE10" s="100" t="s">
        <v>609</v>
      </c>
      <c r="AF10" s="100" t="s">
        <v>210</v>
      </c>
      <c r="AG10" s="144">
        <v>187.0</v>
      </c>
      <c r="AH10" s="111" t="s">
        <v>797</v>
      </c>
      <c r="AI10" s="137" t="s">
        <v>798</v>
      </c>
      <c r="AJ10" s="113">
        <f t="shared" si="1"/>
        <v>44298</v>
      </c>
      <c r="AK10" s="114">
        <f t="shared" si="2"/>
        <v>-416</v>
      </c>
      <c r="AL10" s="115" t="str">
        <f t="shared" si="3"/>
        <v>Reporte ok</v>
      </c>
      <c r="AM10" s="115"/>
      <c r="AN10" s="116"/>
    </row>
    <row r="11" ht="67.5" customHeight="1">
      <c r="A11" s="37"/>
      <c r="B11" s="100">
        <v>160.0</v>
      </c>
      <c r="C11" s="100" t="s">
        <v>331</v>
      </c>
      <c r="D11" s="100" t="s">
        <v>776</v>
      </c>
      <c r="E11" s="100" t="s">
        <v>279</v>
      </c>
      <c r="F11" s="100">
        <v>2.01901100028E12</v>
      </c>
      <c r="G11" s="101" t="s">
        <v>280</v>
      </c>
      <c r="H11" s="100" t="s">
        <v>281</v>
      </c>
      <c r="I11" s="100" t="s">
        <v>282</v>
      </c>
      <c r="J11" s="100" t="s">
        <v>283</v>
      </c>
      <c r="K11" s="102" t="s">
        <v>141</v>
      </c>
      <c r="L11" s="102" t="s">
        <v>118</v>
      </c>
      <c r="M11" s="102" t="s">
        <v>119</v>
      </c>
      <c r="N11" s="103" t="s">
        <v>799</v>
      </c>
      <c r="O11" s="123"/>
      <c r="P11" s="105">
        <v>1500.0</v>
      </c>
      <c r="Q11" s="106" t="s">
        <v>800</v>
      </c>
      <c r="R11" s="107" t="s">
        <v>163</v>
      </c>
      <c r="S11" s="105">
        <v>1500.0</v>
      </c>
      <c r="T11" s="108">
        <v>0.0</v>
      </c>
      <c r="U11" s="108">
        <v>0.0</v>
      </c>
      <c r="V11" s="108">
        <v>0.0</v>
      </c>
      <c r="W11" s="109" t="s">
        <v>776</v>
      </c>
      <c r="X11" s="101" t="s">
        <v>777</v>
      </c>
      <c r="Y11" s="100" t="s">
        <v>624</v>
      </c>
      <c r="Z11" s="101" t="s">
        <v>778</v>
      </c>
      <c r="AA11" s="100" t="s">
        <v>444</v>
      </c>
      <c r="AB11" s="100" t="s">
        <v>173</v>
      </c>
      <c r="AC11" s="100" t="s">
        <v>290</v>
      </c>
      <c r="AD11" s="100" t="s">
        <v>154</v>
      </c>
      <c r="AE11" s="100" t="s">
        <v>609</v>
      </c>
      <c r="AF11" s="100" t="s">
        <v>210</v>
      </c>
      <c r="AG11" s="144">
        <v>1667.0</v>
      </c>
      <c r="AH11" s="111" t="s">
        <v>801</v>
      </c>
      <c r="AI11" s="137" t="s">
        <v>802</v>
      </c>
      <c r="AJ11" s="113">
        <f t="shared" si="1"/>
        <v>44298</v>
      </c>
      <c r="AK11" s="114">
        <f t="shared" si="2"/>
        <v>-416</v>
      </c>
      <c r="AL11" s="115" t="str">
        <f t="shared" si="3"/>
        <v>Reporte ok</v>
      </c>
      <c r="AM11" s="115"/>
      <c r="AN11" s="116"/>
    </row>
    <row r="12" ht="67.5" customHeight="1">
      <c r="A12" s="37"/>
      <c r="B12" s="119"/>
      <c r="C12" s="119"/>
      <c r="D12" s="119"/>
      <c r="E12" s="119"/>
      <c r="F12" s="119"/>
      <c r="G12" s="120"/>
      <c r="H12" s="119"/>
      <c r="I12" s="119"/>
      <c r="J12" s="119"/>
      <c r="K12" s="121"/>
      <c r="L12" s="121"/>
      <c r="M12" s="121"/>
      <c r="N12" s="122"/>
      <c r="O12" s="123"/>
      <c r="P12" s="124"/>
      <c r="Q12" s="125"/>
      <c r="R12" s="126"/>
      <c r="S12" s="124"/>
      <c r="T12" s="127"/>
      <c r="U12" s="127"/>
      <c r="V12" s="127"/>
      <c r="W12" s="128"/>
      <c r="X12" s="120"/>
      <c r="Y12" s="119"/>
      <c r="Z12" s="120"/>
      <c r="AA12" s="119"/>
      <c r="AB12" s="119"/>
      <c r="AC12" s="119"/>
      <c r="AD12" s="119"/>
      <c r="AE12" s="119"/>
      <c r="AF12" s="119"/>
      <c r="AG12" s="129"/>
      <c r="AH12" s="129"/>
      <c r="AI12" s="112"/>
      <c r="AJ12" s="113"/>
      <c r="AK12" s="114"/>
      <c r="AL12" s="115"/>
      <c r="AM12" s="115"/>
      <c r="AN12" s="116"/>
    </row>
    <row r="13" ht="67.5" customHeight="1">
      <c r="A13" s="37"/>
      <c r="B13" s="119"/>
      <c r="C13" s="119"/>
      <c r="D13" s="119"/>
      <c r="E13" s="119"/>
      <c r="F13" s="119"/>
      <c r="G13" s="120"/>
      <c r="H13" s="119"/>
      <c r="I13" s="119"/>
      <c r="J13" s="119"/>
      <c r="K13" s="121"/>
      <c r="L13" s="121"/>
      <c r="M13" s="121"/>
      <c r="N13" s="122"/>
      <c r="O13" s="123"/>
      <c r="P13" s="124"/>
      <c r="Q13" s="125"/>
      <c r="R13" s="126"/>
      <c r="S13" s="124"/>
      <c r="T13" s="127"/>
      <c r="U13" s="127"/>
      <c r="V13" s="127"/>
      <c r="W13" s="128"/>
      <c r="X13" s="120"/>
      <c r="Y13" s="119"/>
      <c r="Z13" s="120"/>
      <c r="AA13" s="119"/>
      <c r="AB13" s="119"/>
      <c r="AC13" s="119"/>
      <c r="AD13" s="119"/>
      <c r="AE13" s="119"/>
      <c r="AF13" s="119"/>
      <c r="AG13" s="129"/>
      <c r="AH13" s="129"/>
      <c r="AI13" s="112"/>
      <c r="AJ13" s="113"/>
      <c r="AK13" s="114"/>
      <c r="AL13" s="115"/>
      <c r="AM13" s="115"/>
      <c r="AN13" s="116"/>
    </row>
    <row r="14" ht="15.75" customHeight="1"/>
  </sheetData>
  <autoFilter ref="$A$3:$AN$13"/>
  <mergeCells count="2">
    <mergeCell ref="B1:C1"/>
    <mergeCell ref="AG2:AM2"/>
  </mergeCells>
  <conditionalFormatting sqref="AK4:AK13">
    <cfRule type="cellIs" dxfId="2" priority="1" operator="greaterThan">
      <formula>0</formula>
    </cfRule>
  </conditionalFormatting>
  <conditionalFormatting sqref="AK4:AK13">
    <cfRule type="cellIs" dxfId="3" priority="2" operator="lessThan">
      <formula>0</formula>
    </cfRule>
  </conditionalFormatting>
  <dataValidations>
    <dataValidation type="decimal" allowBlank="1" showDropDown="1" showInputMessage="1" showErrorMessage="1" prompt="Recuerde que debe ingresar un valor numérico o porcentaje" sqref="AG4:AG13">
      <formula1>0.0</formula1>
      <formula2>5000000.0</formula2>
    </dataValidation>
  </dataValidations>
  <hyperlinks>
    <hyperlink display="Home" location="Home!A1" ref="B1"/>
    <hyperlink r:id="rId1" location="gid=1957705063" ref="AI4"/>
    <hyperlink r:id="rId2" ref="AI5"/>
    <hyperlink r:id="rId3" ref="AI6"/>
    <hyperlink r:id="rId4" ref="AI7"/>
    <hyperlink r:id="rId5" ref="AI8"/>
    <hyperlink r:id="rId6" ref="AI9"/>
    <hyperlink r:id="rId7" ref="AI10"/>
    <hyperlink r:id="rId8" location="gid=208422635" ref="AI11"/>
  </hyperlinks>
  <printOptions gridLines="1" horizontalCentered="1"/>
  <pageMargins bottom="0.75" footer="0.0" header="0.0" left="0.7" right="0.7" top="0.75"/>
  <pageSetup cellComments="atEnd" orientation="portrait" pageOrder="overThenDown"/>
  <drawing r:id="rId9"/>
</worksheet>
</file>