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defaultThemeVersion="124226"/>
  <mc:AlternateContent xmlns:mc="http://schemas.openxmlformats.org/markup-compatibility/2006">
    <mc:Choice Requires="x15">
      <x15ac:absPath xmlns:x15ac="http://schemas.microsoft.com/office/spreadsheetml/2010/11/ac" url="C:\Users\USER\Documents\AUNAP\AUNAP 2023\Actividad 5\"/>
    </mc:Choice>
  </mc:AlternateContent>
  <bookViews>
    <workbookView xWindow="0" yWindow="0" windowWidth="20490" windowHeight="7650" tabRatio="882" firstSheet="1" activeTab="1"/>
  </bookViews>
  <sheets>
    <sheet name="Intructivo" sheetId="20" state="hidden" r:id="rId1"/>
    <sheet name="Riesgos de Gestión" sheetId="1" r:id="rId2"/>
    <sheet name="Riesgos Corrupción" sheetId="21" r:id="rId3"/>
    <sheet name="Riesgos Seguridad Información" sheetId="22" r:id="rId4"/>
    <sheet name="Matriz Calor Inherente" sheetId="18" state="hidden" r:id="rId5"/>
    <sheet name="Matriz Calor Residual" sheetId="19" state="hidden" r:id="rId6"/>
    <sheet name="Tabla probabilidad" sheetId="12" state="hidden" r:id="rId7"/>
    <sheet name="Tabla Impacto" sheetId="13" state="hidden" r:id="rId8"/>
    <sheet name="Tabla Valoración controles" sheetId="15" state="hidden" r:id="rId9"/>
    <sheet name="Opciones Tratamiento" sheetId="16" state="hidden" r:id="rId10"/>
    <sheet name="Hoja1" sheetId="11" state="hidden" r:id="rId11"/>
  </sheets>
  <externalReferences>
    <externalReference r:id="rId12"/>
    <externalReference r:id="rId13"/>
    <externalReference r:id="rId14"/>
  </externalReferences>
  <definedNames>
    <definedName name="_xlnm.Print_Area" localSheetId="2">'Riesgos Corrupción'!$A$1:$AO$7</definedName>
    <definedName name="_xlnm.Print_Area" localSheetId="3">'Riesgos Seguridad Información'!$A$1:$AJ$14</definedName>
    <definedName name="_xlnm.Print_Titles" localSheetId="2">'Riesgos Corrupción'!$3:$5</definedName>
    <definedName name="_xlnm.Print_Titles" localSheetId="3">'Riesgos Seguridad Información'!$3:$5</definedName>
  </definedNames>
  <calcPr calcId="162913"/>
  <pivotCaches>
    <pivotCache cacheId="0" r:id="rId15"/>
  </pivotCaches>
</workbook>
</file>

<file path=xl/calcChain.xml><?xml version="1.0" encoding="utf-8"?>
<calcChain xmlns="http://schemas.openxmlformats.org/spreadsheetml/2006/main">
  <c r="R32" i="1" l="1"/>
  <c r="U30" i="1"/>
  <c r="J68" i="1"/>
  <c r="I11" i="1"/>
  <c r="J11" i="1" s="1"/>
  <c r="I12" i="1"/>
  <c r="J12" i="1" s="1"/>
  <c r="I13" i="1"/>
  <c r="J13" i="1" s="1"/>
  <c r="I14" i="1"/>
  <c r="J14" i="1" s="1"/>
  <c r="I15" i="1"/>
  <c r="J15" i="1" s="1"/>
  <c r="I16" i="1"/>
  <c r="J16" i="1" s="1"/>
  <c r="I17" i="1"/>
  <c r="J17" i="1" s="1"/>
  <c r="I18" i="1"/>
  <c r="I19" i="1"/>
  <c r="J19" i="1" s="1"/>
  <c r="I20" i="1"/>
  <c r="J20" i="1" s="1"/>
  <c r="I21" i="1"/>
  <c r="J21" i="1" s="1"/>
  <c r="I22" i="1"/>
  <c r="J22" i="1" s="1"/>
  <c r="I23" i="1"/>
  <c r="J23" i="1" s="1"/>
  <c r="I24" i="1"/>
  <c r="J24" i="1" s="1"/>
  <c r="I25" i="1"/>
  <c r="J25" i="1" s="1"/>
  <c r="I26" i="1"/>
  <c r="I27" i="1"/>
  <c r="J27" i="1" s="1"/>
  <c r="I28" i="1"/>
  <c r="J28" i="1" s="1"/>
  <c r="I29" i="1"/>
  <c r="I30" i="1"/>
  <c r="J30" i="1" s="1"/>
  <c r="I31" i="1"/>
  <c r="J31" i="1" s="1"/>
  <c r="I32" i="1"/>
  <c r="J32" i="1" s="1"/>
  <c r="I33" i="1"/>
  <c r="J33" i="1" s="1"/>
  <c r="I34" i="1"/>
  <c r="J34" i="1" s="1"/>
  <c r="I35" i="1"/>
  <c r="J35" i="1" s="1"/>
  <c r="I36" i="1"/>
  <c r="J36" i="1" s="1"/>
  <c r="I37" i="1"/>
  <c r="J37" i="1" s="1"/>
  <c r="I38" i="1"/>
  <c r="I39" i="1"/>
  <c r="J39" i="1" s="1"/>
  <c r="I40" i="1"/>
  <c r="J40" i="1" s="1"/>
  <c r="I41" i="1"/>
  <c r="J41" i="1" s="1"/>
  <c r="I42" i="1"/>
  <c r="I43" i="1"/>
  <c r="J43" i="1" s="1"/>
  <c r="I44" i="1"/>
  <c r="J44" i="1" s="1"/>
  <c r="I45" i="1"/>
  <c r="J45" i="1" s="1"/>
  <c r="I46" i="1"/>
  <c r="I47" i="1"/>
  <c r="J47" i="1" s="1"/>
  <c r="I48" i="1"/>
  <c r="J48" i="1" s="1"/>
  <c r="I49" i="1"/>
  <c r="I50" i="1"/>
  <c r="J50" i="1" s="1"/>
  <c r="I51" i="1"/>
  <c r="J51" i="1" s="1"/>
  <c r="I52" i="1"/>
  <c r="J52" i="1" s="1"/>
  <c r="I53" i="1"/>
  <c r="I54" i="1"/>
  <c r="I55" i="1"/>
  <c r="J55" i="1" s="1"/>
  <c r="R30" i="1"/>
  <c r="R29" i="1"/>
  <c r="U29" i="1"/>
  <c r="R23" i="1"/>
  <c r="I56" i="1"/>
  <c r="J56" i="1" s="1"/>
  <c r="I57" i="1"/>
  <c r="I58" i="1"/>
  <c r="I59" i="1"/>
  <c r="J59" i="1" s="1"/>
  <c r="I60" i="1"/>
  <c r="J60" i="1" s="1"/>
  <c r="I61" i="1"/>
  <c r="I62" i="1"/>
  <c r="I63" i="1"/>
  <c r="J63" i="1" s="1"/>
  <c r="I64" i="1"/>
  <c r="J64" i="1" s="1"/>
  <c r="I65" i="1"/>
  <c r="J65" i="1" s="1"/>
  <c r="I66" i="1"/>
  <c r="J66" i="1" s="1"/>
  <c r="I67" i="1"/>
  <c r="J67" i="1" s="1"/>
  <c r="L14" i="1"/>
  <c r="L16" i="1"/>
  <c r="L17" i="1"/>
  <c r="L30" i="1"/>
  <c r="L18" i="1"/>
  <c r="L19" i="1"/>
  <c r="L20" i="1"/>
  <c r="L21" i="1"/>
  <c r="L13" i="1"/>
  <c r="M13" i="1" l="1"/>
  <c r="M21" i="1"/>
  <c r="M20" i="1"/>
  <c r="N20" i="1" s="1"/>
  <c r="M19" i="1"/>
  <c r="N19" i="1" s="1"/>
  <c r="M18" i="1"/>
  <c r="M30" i="1"/>
  <c r="O30" i="1" s="1"/>
  <c r="M17" i="1"/>
  <c r="M16" i="1"/>
  <c r="N16" i="1" s="1"/>
  <c r="M14" i="1"/>
  <c r="O13" i="1"/>
  <c r="N13" i="1"/>
  <c r="J62" i="1"/>
  <c r="J58" i="1"/>
  <c r="J54" i="1"/>
  <c r="J46" i="1"/>
  <c r="J42" i="1"/>
  <c r="J38" i="1"/>
  <c r="Y30" i="1"/>
  <c r="AA30" i="1" s="1"/>
  <c r="J61" i="1"/>
  <c r="J57" i="1"/>
  <c r="J53" i="1"/>
  <c r="J49" i="1"/>
  <c r="J26" i="1"/>
  <c r="J18" i="1"/>
  <c r="J29" i="1"/>
  <c r="Y29" i="1" s="1"/>
  <c r="Z29" i="1" s="1"/>
  <c r="N21" i="1"/>
  <c r="O21" i="1"/>
  <c r="N18" i="1"/>
  <c r="O18" i="1"/>
  <c r="Z30" i="1"/>
  <c r="O17" i="1"/>
  <c r="N17" i="1"/>
  <c r="N14" i="1"/>
  <c r="O14" i="1"/>
  <c r="O19" i="1"/>
  <c r="AA29" i="1"/>
  <c r="R10" i="1"/>
  <c r="O45" i="22"/>
  <c r="M45" i="22"/>
  <c r="P45" i="22" s="1"/>
  <c r="Q45" i="22" s="1"/>
  <c r="L45" i="22"/>
  <c r="O44" i="22"/>
  <c r="M44" i="22"/>
  <c r="L44" i="22" s="1"/>
  <c r="X43" i="22"/>
  <c r="V43" i="22"/>
  <c r="Y43" i="22" s="1"/>
  <c r="O43" i="22"/>
  <c r="AE43" i="22" s="1"/>
  <c r="AE44" i="22" s="1"/>
  <c r="AE45" i="22" s="1"/>
  <c r="AF43" i="22" s="1"/>
  <c r="M43" i="22"/>
  <c r="O42" i="22"/>
  <c r="M42" i="22"/>
  <c r="P42" i="22" s="1"/>
  <c r="Q42" i="22" s="1"/>
  <c r="L42" i="22"/>
  <c r="X41" i="22"/>
  <c r="V41" i="22"/>
  <c r="O41" i="22"/>
  <c r="M41" i="22"/>
  <c r="L41" i="22"/>
  <c r="X40" i="22"/>
  <c r="V40" i="22"/>
  <c r="Y40" i="22" s="1"/>
  <c r="O40" i="22"/>
  <c r="AE40" i="22" s="1"/>
  <c r="AE41" i="22" s="1"/>
  <c r="AE42" i="22" s="1"/>
  <c r="AF40" i="22" s="1"/>
  <c r="M40" i="22"/>
  <c r="X39" i="22"/>
  <c r="V39" i="22"/>
  <c r="Y39" i="22" s="1"/>
  <c r="O39" i="22"/>
  <c r="M39" i="22"/>
  <c r="P39" i="22" s="1"/>
  <c r="Q39" i="22" s="1"/>
  <c r="L39" i="22"/>
  <c r="X38" i="22"/>
  <c r="V38" i="22"/>
  <c r="Y38" i="22" s="1"/>
  <c r="O38" i="22"/>
  <c r="M38" i="22"/>
  <c r="X37" i="22"/>
  <c r="V37" i="22"/>
  <c r="Y37" i="22" s="1"/>
  <c r="O37" i="22"/>
  <c r="AE37" i="22" s="1"/>
  <c r="AE38" i="22" s="1"/>
  <c r="AE39" i="22" s="1"/>
  <c r="AF37" i="22" s="1"/>
  <c r="M37" i="22"/>
  <c r="P37" i="22" s="1"/>
  <c r="Q37" i="22" s="1"/>
  <c r="L37" i="22"/>
  <c r="X36" i="22"/>
  <c r="V36" i="22"/>
  <c r="O36" i="22"/>
  <c r="M36" i="22"/>
  <c r="P36" i="22" s="1"/>
  <c r="Q36" i="22" s="1"/>
  <c r="L36" i="22"/>
  <c r="X35" i="22"/>
  <c r="V35" i="22"/>
  <c r="Y35" i="22" s="1"/>
  <c r="O35" i="22"/>
  <c r="M35" i="22"/>
  <c r="P35" i="22" s="1"/>
  <c r="Q35" i="22" s="1"/>
  <c r="L35" i="22"/>
  <c r="X34" i="22"/>
  <c r="V34" i="22"/>
  <c r="Y34" i="22" s="1"/>
  <c r="O34" i="22"/>
  <c r="AE34" i="22" s="1"/>
  <c r="AE35" i="22" s="1"/>
  <c r="AE36" i="22" s="1"/>
  <c r="AF34" i="22" s="1"/>
  <c r="M34" i="22"/>
  <c r="P34" i="22" s="1"/>
  <c r="Q34" i="22" s="1"/>
  <c r="L34" i="22"/>
  <c r="O33" i="22"/>
  <c r="M33" i="22"/>
  <c r="P33" i="22" s="1"/>
  <c r="Q33" i="22" s="1"/>
  <c r="L33" i="22"/>
  <c r="O32" i="22"/>
  <c r="M32" i="22"/>
  <c r="X31" i="22"/>
  <c r="V31" i="22"/>
  <c r="Y31" i="22" s="1"/>
  <c r="O31" i="22"/>
  <c r="AE31" i="22" s="1"/>
  <c r="AE32" i="22" s="1"/>
  <c r="AE33" i="22" s="1"/>
  <c r="AF31" i="22" s="1"/>
  <c r="M31" i="22"/>
  <c r="P31" i="22" s="1"/>
  <c r="Q31" i="22" s="1"/>
  <c r="O30" i="22"/>
  <c r="M30" i="22"/>
  <c r="P30" i="22" s="1"/>
  <c r="Q30" i="22" s="1"/>
  <c r="L30" i="22"/>
  <c r="O29" i="22"/>
  <c r="M29" i="22"/>
  <c r="P29" i="22" s="1"/>
  <c r="Q29" i="22" s="1"/>
  <c r="L29" i="22"/>
  <c r="X28" i="22"/>
  <c r="V28" i="22"/>
  <c r="O28" i="22"/>
  <c r="AE28" i="22" s="1"/>
  <c r="AE29" i="22" s="1"/>
  <c r="AE30" i="22" s="1"/>
  <c r="AF28" i="22" s="1"/>
  <c r="M28" i="22"/>
  <c r="O27" i="22"/>
  <c r="M27" i="22"/>
  <c r="P27" i="22" s="1"/>
  <c r="Q27" i="22" s="1"/>
  <c r="L27" i="22"/>
  <c r="X26" i="22"/>
  <c r="V26" i="22"/>
  <c r="O26" i="22"/>
  <c r="M26" i="22"/>
  <c r="P26" i="22" s="1"/>
  <c r="Q26" i="22" s="1"/>
  <c r="L26" i="22"/>
  <c r="X25" i="22"/>
  <c r="V25" i="22"/>
  <c r="O25" i="22"/>
  <c r="AE25" i="22" s="1"/>
  <c r="AE26" i="22" s="1"/>
  <c r="AE27" i="22" s="1"/>
  <c r="AF25" i="22" s="1"/>
  <c r="M25" i="22"/>
  <c r="O24" i="22"/>
  <c r="M24" i="22"/>
  <c r="P24" i="22" s="1"/>
  <c r="Q24" i="22" s="1"/>
  <c r="L24" i="22"/>
  <c r="X23" i="22"/>
  <c r="V23" i="22"/>
  <c r="O23" i="22"/>
  <c r="M23" i="22"/>
  <c r="P23" i="22" s="1"/>
  <c r="Q23" i="22" s="1"/>
  <c r="L23" i="22"/>
  <c r="X22" i="22"/>
  <c r="V22" i="22"/>
  <c r="O22" i="22"/>
  <c r="AE22" i="22" s="1"/>
  <c r="AE23" i="22" s="1"/>
  <c r="AE24" i="22" s="1"/>
  <c r="AF22" i="22" s="1"/>
  <c r="M22" i="22"/>
  <c r="O21" i="22"/>
  <c r="M21" i="22"/>
  <c r="P21" i="22" s="1"/>
  <c r="Q21" i="22" s="1"/>
  <c r="L21" i="22"/>
  <c r="X20" i="22"/>
  <c r="V20" i="22"/>
  <c r="O20" i="22"/>
  <c r="M20" i="22"/>
  <c r="P20" i="22" s="1"/>
  <c r="Q20" i="22" s="1"/>
  <c r="L20" i="22"/>
  <c r="X19" i="22"/>
  <c r="V19" i="22"/>
  <c r="O19" i="22"/>
  <c r="AE19" i="22" s="1"/>
  <c r="AE20" i="22" s="1"/>
  <c r="AE21" i="22" s="1"/>
  <c r="AF19" i="22" s="1"/>
  <c r="M19" i="22"/>
  <c r="X18" i="22"/>
  <c r="V18" i="22"/>
  <c r="Y18" i="22" s="1"/>
  <c r="Q18" i="22"/>
  <c r="O18" i="22"/>
  <c r="M18" i="22"/>
  <c r="L18" i="22"/>
  <c r="X17" i="22"/>
  <c r="V17" i="22"/>
  <c r="Y17" i="22" s="1"/>
  <c r="Q17" i="22"/>
  <c r="O17" i="22"/>
  <c r="M17" i="22"/>
  <c r="L17" i="22"/>
  <c r="X16" i="22"/>
  <c r="V16" i="22"/>
  <c r="O16" i="22"/>
  <c r="AE16" i="22" s="1"/>
  <c r="AE17" i="22" s="1"/>
  <c r="AE18" i="22" s="1"/>
  <c r="AF16" i="22" s="1"/>
  <c r="M16" i="22"/>
  <c r="L16" i="22"/>
  <c r="Q15" i="22"/>
  <c r="O15" i="22"/>
  <c r="M15" i="22"/>
  <c r="L15" i="22"/>
  <c r="X14" i="22"/>
  <c r="V14" i="22"/>
  <c r="Y14" i="22" s="1"/>
  <c r="Q14" i="22"/>
  <c r="O14" i="22"/>
  <c r="M14" i="22"/>
  <c r="L14" i="22" s="1"/>
  <c r="X13" i="22"/>
  <c r="V13" i="22"/>
  <c r="Y13" i="22" s="1"/>
  <c r="O13" i="22"/>
  <c r="AE13" i="22" s="1"/>
  <c r="AE14" i="22" s="1"/>
  <c r="AE15" i="22" s="1"/>
  <c r="AF13" i="22" s="1"/>
  <c r="M13" i="22"/>
  <c r="P13" i="22" s="1"/>
  <c r="Q13" i="22" s="1"/>
  <c r="L13" i="22"/>
  <c r="Y12" i="22"/>
  <c r="O12" i="22"/>
  <c r="M12" i="22"/>
  <c r="P12" i="22" s="1"/>
  <c r="Q12" i="22" s="1"/>
  <c r="L12" i="22"/>
  <c r="X11" i="22"/>
  <c r="V11" i="22"/>
  <c r="O11" i="22"/>
  <c r="M11" i="22"/>
  <c r="P11" i="22" s="1"/>
  <c r="Q11" i="22" s="1"/>
  <c r="L11" i="22"/>
  <c r="X10" i="22"/>
  <c r="V10" i="22"/>
  <c r="O10" i="22"/>
  <c r="AE10" i="22" s="1"/>
  <c r="AE11" i="22" s="1"/>
  <c r="AE12" i="22" s="1"/>
  <c r="AF10" i="22" s="1"/>
  <c r="M10" i="22"/>
  <c r="O9" i="22"/>
  <c r="M9" i="22"/>
  <c r="P9" i="22" s="1"/>
  <c r="Q9" i="22" s="1"/>
  <c r="L9" i="22"/>
  <c r="X8" i="22"/>
  <c r="V8" i="22"/>
  <c r="O8" i="22"/>
  <c r="M8" i="22"/>
  <c r="P8" i="22" s="1"/>
  <c r="Q8" i="22" s="1"/>
  <c r="L8" i="22"/>
  <c r="X7" i="22"/>
  <c r="V7" i="22"/>
  <c r="O7" i="22"/>
  <c r="AE7" i="22" s="1"/>
  <c r="AE8" i="22" s="1"/>
  <c r="AE9" i="22" s="1"/>
  <c r="AF7" i="22" s="1"/>
  <c r="M7" i="22"/>
  <c r="AN30" i="21"/>
  <c r="AF30" i="21"/>
  <c r="AD30" i="21"/>
  <c r="AB30" i="21"/>
  <c r="Z30" i="21"/>
  <c r="X30" i="21"/>
  <c r="V30" i="21"/>
  <c r="T30" i="21"/>
  <c r="AG30" i="21" s="1"/>
  <c r="AH30" i="21" s="1"/>
  <c r="AJ30" i="21" s="1"/>
  <c r="AK30" i="21" s="1"/>
  <c r="AL30" i="21" s="1"/>
  <c r="O30" i="21"/>
  <c r="L30" i="21"/>
  <c r="M30" i="21" s="1"/>
  <c r="I30" i="21"/>
  <c r="AN29" i="21"/>
  <c r="AF29" i="21"/>
  <c r="AD29" i="21"/>
  <c r="AB29" i="21"/>
  <c r="Z29" i="21"/>
  <c r="X29" i="21"/>
  <c r="V29" i="21"/>
  <c r="T29" i="21"/>
  <c r="AG29" i="21" s="1"/>
  <c r="AH29" i="21" s="1"/>
  <c r="AJ29" i="21" s="1"/>
  <c r="AK29" i="21" s="1"/>
  <c r="AL29" i="21" s="1"/>
  <c r="O29" i="21"/>
  <c r="L29" i="21"/>
  <c r="M29" i="21" s="1"/>
  <c r="P29" i="21" s="1"/>
  <c r="Q29" i="21" s="1"/>
  <c r="I29" i="21"/>
  <c r="AN28" i="21"/>
  <c r="AF28" i="21"/>
  <c r="AD28" i="21"/>
  <c r="AB28" i="21"/>
  <c r="Z28" i="21"/>
  <c r="X28" i="21"/>
  <c r="V28" i="21"/>
  <c r="T28" i="21"/>
  <c r="O28" i="21"/>
  <c r="L28" i="21"/>
  <c r="M28" i="21" s="1"/>
  <c r="P28" i="21" s="1"/>
  <c r="Q28" i="21" s="1"/>
  <c r="I28" i="21"/>
  <c r="AN27" i="21"/>
  <c r="AF27" i="21"/>
  <c r="AD27" i="21"/>
  <c r="AB27" i="21"/>
  <c r="Z27" i="21"/>
  <c r="X27" i="21"/>
  <c r="V27" i="21"/>
  <c r="T27" i="21"/>
  <c r="O27" i="21"/>
  <c r="L27" i="21"/>
  <c r="M27" i="21" s="1"/>
  <c r="P27" i="21" s="1"/>
  <c r="Q27" i="21" s="1"/>
  <c r="I27" i="21"/>
  <c r="AN26" i="21"/>
  <c r="AF26" i="21"/>
  <c r="AD26" i="21"/>
  <c r="AB26" i="21"/>
  <c r="Z26" i="21"/>
  <c r="X26" i="21"/>
  <c r="V26" i="21"/>
  <c r="T26" i="21"/>
  <c r="AG26" i="21" s="1"/>
  <c r="AH26" i="21" s="1"/>
  <c r="AJ26" i="21" s="1"/>
  <c r="AK26" i="21" s="1"/>
  <c r="AL26" i="21" s="1"/>
  <c r="O26" i="21"/>
  <c r="L26" i="21"/>
  <c r="M26" i="21" s="1"/>
  <c r="I26" i="21"/>
  <c r="AN25" i="21"/>
  <c r="AF25" i="21"/>
  <c r="AD25" i="21"/>
  <c r="AB25" i="21"/>
  <c r="Z25" i="21"/>
  <c r="X25" i="21"/>
  <c r="V25" i="21"/>
  <c r="T25" i="21"/>
  <c r="AG25" i="21" s="1"/>
  <c r="AH25" i="21" s="1"/>
  <c r="AJ25" i="21" s="1"/>
  <c r="AK25" i="21" s="1"/>
  <c r="AL25" i="21" s="1"/>
  <c r="O25" i="21"/>
  <c r="L25" i="21"/>
  <c r="M25" i="21" s="1"/>
  <c r="P25" i="21" s="1"/>
  <c r="Q25" i="21" s="1"/>
  <c r="I25" i="21"/>
  <c r="AN24" i="21"/>
  <c r="AF24" i="21"/>
  <c r="AD24" i="21"/>
  <c r="AB24" i="21"/>
  <c r="Z24" i="21"/>
  <c r="X24" i="21"/>
  <c r="V24" i="21"/>
  <c r="O24" i="21"/>
  <c r="L24" i="21"/>
  <c r="M24" i="21" s="1"/>
  <c r="P24" i="21" s="1"/>
  <c r="Q24" i="21" s="1"/>
  <c r="AN23" i="21"/>
  <c r="AF23" i="21"/>
  <c r="AD23" i="21"/>
  <c r="AB23" i="21"/>
  <c r="Z23" i="21"/>
  <c r="X23" i="21"/>
  <c r="V23" i="21"/>
  <c r="AG23" i="21" s="1"/>
  <c r="AH23" i="21" s="1"/>
  <c r="AJ23" i="21" s="1"/>
  <c r="AK23" i="21" s="1"/>
  <c r="AL23" i="21" s="1"/>
  <c r="O23" i="21"/>
  <c r="L23" i="21"/>
  <c r="M23" i="21" s="1"/>
  <c r="P23" i="21" s="1"/>
  <c r="Q23" i="21" s="1"/>
  <c r="AN22" i="21"/>
  <c r="AF22" i="21"/>
  <c r="AD22" i="21"/>
  <c r="AB22" i="21"/>
  <c r="Z22" i="21"/>
  <c r="X22" i="21"/>
  <c r="V22" i="21"/>
  <c r="AG22" i="21" s="1"/>
  <c r="AH22" i="21" s="1"/>
  <c r="AJ22" i="21" s="1"/>
  <c r="AK22" i="21" s="1"/>
  <c r="AL22" i="21" s="1"/>
  <c r="O22" i="21"/>
  <c r="L22" i="21"/>
  <c r="M22" i="21" s="1"/>
  <c r="P22" i="21" s="1"/>
  <c r="Q22" i="21" s="1"/>
  <c r="AN21" i="21"/>
  <c r="AF21" i="21"/>
  <c r="AD21" i="21"/>
  <c r="AB21" i="21"/>
  <c r="Z21" i="21"/>
  <c r="X21" i="21"/>
  <c r="V21" i="21"/>
  <c r="O21" i="21"/>
  <c r="L21" i="21"/>
  <c r="M21" i="21" s="1"/>
  <c r="AF20" i="21"/>
  <c r="AF19" i="21"/>
  <c r="AH18" i="21"/>
  <c r="AJ18" i="21" s="1"/>
  <c r="AK18" i="21" s="1"/>
  <c r="AF18" i="21"/>
  <c r="V18" i="21"/>
  <c r="O18" i="21"/>
  <c r="L18" i="21"/>
  <c r="M18" i="21" s="1"/>
  <c r="AF17" i="21"/>
  <c r="AK17" i="21" s="1"/>
  <c r="I17" i="21"/>
  <c r="AF16" i="21"/>
  <c r="AK16" i="21" s="1"/>
  <c r="I16" i="21"/>
  <c r="AH15" i="21"/>
  <c r="AJ15" i="21" s="1"/>
  <c r="AF15" i="21"/>
  <c r="V15" i="21"/>
  <c r="AK15" i="21" s="1"/>
  <c r="O15" i="21"/>
  <c r="L15" i="21"/>
  <c r="M15" i="21" s="1"/>
  <c r="I15" i="21"/>
  <c r="AN14" i="21"/>
  <c r="AF14" i="21"/>
  <c r="V14" i="21"/>
  <c r="AG14" i="21" s="1"/>
  <c r="AH14" i="21" s="1"/>
  <c r="AJ14" i="21" s="1"/>
  <c r="O14" i="21"/>
  <c r="P14" i="21" s="1"/>
  <c r="Q14" i="21" s="1"/>
  <c r="L14" i="21"/>
  <c r="M14" i="21" s="1"/>
  <c r="I14" i="21"/>
  <c r="AN13" i="21"/>
  <c r="AF13" i="21"/>
  <c r="V13" i="21"/>
  <c r="O13" i="21"/>
  <c r="P13" i="21" s="1"/>
  <c r="Q13" i="21" s="1"/>
  <c r="L13" i="21"/>
  <c r="M13" i="21" s="1"/>
  <c r="I13" i="21"/>
  <c r="AN12" i="21"/>
  <c r="AF12" i="21"/>
  <c r="V12" i="21"/>
  <c r="AG12" i="21" s="1"/>
  <c r="AH12" i="21" s="1"/>
  <c r="AJ12" i="21" s="1"/>
  <c r="O12" i="21"/>
  <c r="P12" i="21" s="1"/>
  <c r="Q12" i="21" s="1"/>
  <c r="L12" i="21"/>
  <c r="M12" i="21" s="1"/>
  <c r="I12" i="21"/>
  <c r="AN11" i="21"/>
  <c r="V11" i="21"/>
  <c r="Q11" i="21"/>
  <c r="O11" i="21"/>
  <c r="L11" i="21"/>
  <c r="M11" i="21" s="1"/>
  <c r="V10" i="21"/>
  <c r="AK10" i="21" s="1"/>
  <c r="O10" i="21"/>
  <c r="L10" i="21"/>
  <c r="M10" i="21" s="1"/>
  <c r="P10" i="21" s="1"/>
  <c r="Q10" i="21" s="1"/>
  <c r="I10" i="21"/>
  <c r="V9" i="21"/>
  <c r="O9" i="21"/>
  <c r="L9" i="21"/>
  <c r="M9" i="21" s="1"/>
  <c r="P9" i="21" s="1"/>
  <c r="Q9" i="21" s="1"/>
  <c r="V8" i="21"/>
  <c r="AG8" i="21" s="1"/>
  <c r="AH8" i="21" s="1"/>
  <c r="AJ8" i="21" s="1"/>
  <c r="O8" i="21"/>
  <c r="L8" i="21"/>
  <c r="M8" i="21" s="1"/>
  <c r="P8" i="21" s="1"/>
  <c r="Q8" i="21" s="1"/>
  <c r="V7" i="21"/>
  <c r="O7" i="21"/>
  <c r="L7" i="21"/>
  <c r="M7" i="21" s="1"/>
  <c r="P7" i="21" s="1"/>
  <c r="Q7" i="21" s="1"/>
  <c r="N30" i="1" l="1"/>
  <c r="AC30" i="1" s="1"/>
  <c r="AB30" i="1" s="1"/>
  <c r="O16" i="1"/>
  <c r="O20" i="1"/>
  <c r="AK7" i="21"/>
  <c r="AG7" i="21"/>
  <c r="AH7" i="21" s="1"/>
  <c r="AJ7" i="21" s="1"/>
  <c r="AK9" i="21"/>
  <c r="AG9" i="21"/>
  <c r="AH9" i="21" s="1"/>
  <c r="AJ9" i="21" s="1"/>
  <c r="AK11" i="21"/>
  <c r="AG11" i="21"/>
  <c r="AH11" i="21" s="1"/>
  <c r="AJ11" i="21" s="1"/>
  <c r="AK12" i="21"/>
  <c r="AG13" i="21"/>
  <c r="AH13" i="21" s="1"/>
  <c r="AJ13" i="21" s="1"/>
  <c r="AG21" i="21"/>
  <c r="AH21" i="21" s="1"/>
  <c r="AJ21" i="21" s="1"/>
  <c r="AK21" i="21" s="1"/>
  <c r="AL21" i="21" s="1"/>
  <c r="AG24" i="21"/>
  <c r="AH24" i="21" s="1"/>
  <c r="AJ24" i="21" s="1"/>
  <c r="AK24" i="21" s="1"/>
  <c r="AL24" i="21" s="1"/>
  <c r="AG27" i="21"/>
  <c r="AH27" i="21" s="1"/>
  <c r="AJ27" i="21" s="1"/>
  <c r="AK27" i="21" s="1"/>
  <c r="AL27" i="21" s="1"/>
  <c r="AG28" i="21"/>
  <c r="AH28" i="21" s="1"/>
  <c r="AJ28" i="21" s="1"/>
  <c r="AK28" i="21" s="1"/>
  <c r="AL28" i="21" s="1"/>
  <c r="Y8" i="22"/>
  <c r="Y11" i="22"/>
  <c r="Y16" i="22"/>
  <c r="AC16" i="22" s="1"/>
  <c r="AC17" i="22" s="1"/>
  <c r="AC18" i="22" s="1"/>
  <c r="AD16" i="22" s="1"/>
  <c r="Y20" i="22"/>
  <c r="Y23" i="22"/>
  <c r="Y26" i="22"/>
  <c r="AC34" i="22"/>
  <c r="AC35" i="22" s="1"/>
  <c r="AC36" i="22" s="1"/>
  <c r="AD34" i="22" s="1"/>
  <c r="Y36" i="22"/>
  <c r="P41" i="22"/>
  <c r="Q41" i="22" s="1"/>
  <c r="Y41" i="22"/>
  <c r="P44" i="22"/>
  <c r="Q44" i="22" s="1"/>
  <c r="P18" i="21"/>
  <c r="Q18" i="21" s="1"/>
  <c r="P21" i="21"/>
  <c r="Q21" i="21" s="1"/>
  <c r="P15" i="21"/>
  <c r="Q15" i="21" s="1"/>
  <c r="P26" i="21"/>
  <c r="Q26" i="21" s="1"/>
  <c r="P30" i="21"/>
  <c r="Q30" i="21" s="1"/>
  <c r="AG34" i="22"/>
  <c r="AH34" i="22" s="1"/>
  <c r="AI34" i="22" s="1"/>
  <c r="AG16" i="22"/>
  <c r="AH16" i="22" s="1"/>
  <c r="AI16" i="22" s="1"/>
  <c r="L7" i="22"/>
  <c r="P7" i="22"/>
  <c r="Q7" i="22" s="1"/>
  <c r="L10" i="22"/>
  <c r="P10" i="22"/>
  <c r="Q10" i="22" s="1"/>
  <c r="L19" i="22"/>
  <c r="P19" i="22"/>
  <c r="Q19" i="22" s="1"/>
  <c r="L22" i="22"/>
  <c r="P22" i="22"/>
  <c r="Q22" i="22" s="1"/>
  <c r="L25" i="22"/>
  <c r="P25" i="22"/>
  <c r="Q25" i="22" s="1"/>
  <c r="AC28" i="22"/>
  <c r="AC29" i="22" s="1"/>
  <c r="AC30" i="22" s="1"/>
  <c r="AD28" i="22" s="1"/>
  <c r="AG28" i="22" s="1"/>
  <c r="AH28" i="22" s="1"/>
  <c r="AI28" i="22" s="1"/>
  <c r="L28" i="22"/>
  <c r="P28" i="22"/>
  <c r="Q28" i="22" s="1"/>
  <c r="AC31" i="22"/>
  <c r="AC32" i="22" s="1"/>
  <c r="AC33" i="22" s="1"/>
  <c r="AD31" i="22" s="1"/>
  <c r="AG31" i="22" s="1"/>
  <c r="AH31" i="22" s="1"/>
  <c r="AI31" i="22" s="1"/>
  <c r="P16" i="22"/>
  <c r="Q16" i="22" s="1"/>
  <c r="AC37" i="22"/>
  <c r="AC38" i="22" s="1"/>
  <c r="AC39" i="22" s="1"/>
  <c r="AD37" i="22" s="1"/>
  <c r="AG37" i="22" s="1"/>
  <c r="AH37" i="22" s="1"/>
  <c r="AI37" i="22" s="1"/>
  <c r="L38" i="22"/>
  <c r="P38" i="22"/>
  <c r="Q38" i="22" s="1"/>
  <c r="AC40" i="22"/>
  <c r="AC41" i="22" s="1"/>
  <c r="AC42" i="22" s="1"/>
  <c r="AD40" i="22" s="1"/>
  <c r="AG40" i="22" s="1"/>
  <c r="AH40" i="22" s="1"/>
  <c r="AI40" i="22" s="1"/>
  <c r="L40" i="22"/>
  <c r="P40" i="22"/>
  <c r="Q40" i="22" s="1"/>
  <c r="L32" i="22"/>
  <c r="P32" i="22"/>
  <c r="Q32" i="22" s="1"/>
  <c r="Y7" i="22"/>
  <c r="AC7" i="22" s="1"/>
  <c r="AC8" i="22" s="1"/>
  <c r="AC9" i="22" s="1"/>
  <c r="AD7" i="22" s="1"/>
  <c r="AG7" i="22" s="1"/>
  <c r="AH7" i="22" s="1"/>
  <c r="AI7" i="22" s="1"/>
  <c r="Y10" i="22"/>
  <c r="AC10" i="22" s="1"/>
  <c r="AC11" i="22" s="1"/>
  <c r="AC12" i="22" s="1"/>
  <c r="AD10" i="22" s="1"/>
  <c r="AG10" i="22" s="1"/>
  <c r="AH10" i="22" s="1"/>
  <c r="AI10" i="22" s="1"/>
  <c r="AC13" i="22"/>
  <c r="AC14" i="22" s="1"/>
  <c r="AC15" i="22" s="1"/>
  <c r="AD13" i="22" s="1"/>
  <c r="AG13" i="22" s="1"/>
  <c r="AH13" i="22" s="1"/>
  <c r="AI13" i="22" s="1"/>
  <c r="Y19" i="22"/>
  <c r="AC19" i="22" s="1"/>
  <c r="AC20" i="22" s="1"/>
  <c r="AC21" i="22" s="1"/>
  <c r="AD19" i="22" s="1"/>
  <c r="AG19" i="22" s="1"/>
  <c r="AH19" i="22" s="1"/>
  <c r="AI19" i="22" s="1"/>
  <c r="Y22" i="22"/>
  <c r="AC22" i="22" s="1"/>
  <c r="AC23" i="22" s="1"/>
  <c r="AC24" i="22" s="1"/>
  <c r="AD22" i="22" s="1"/>
  <c r="AG22" i="22" s="1"/>
  <c r="AH22" i="22" s="1"/>
  <c r="AI22" i="22" s="1"/>
  <c r="Y25" i="22"/>
  <c r="AC25" i="22" s="1"/>
  <c r="AC26" i="22" s="1"/>
  <c r="AC27" i="22" s="1"/>
  <c r="AD25" i="22" s="1"/>
  <c r="AG25" i="22" s="1"/>
  <c r="AH25" i="22" s="1"/>
  <c r="AI25" i="22" s="1"/>
  <c r="Y28" i="22"/>
  <c r="L31" i="22"/>
  <c r="AC43" i="22"/>
  <c r="AC44" i="22" s="1"/>
  <c r="AC45" i="22" s="1"/>
  <c r="AD43" i="22" s="1"/>
  <c r="AG43" i="22" s="1"/>
  <c r="AH43" i="22" s="1"/>
  <c r="AI43" i="22" s="1"/>
  <c r="L43" i="22"/>
  <c r="P43" i="22"/>
  <c r="Q43" i="22" s="1"/>
  <c r="AK13" i="21"/>
  <c r="AL13" i="21" s="1"/>
  <c r="AG10" i="21"/>
  <c r="AH10" i="21" s="1"/>
  <c r="AJ10" i="21" s="1"/>
  <c r="AK14" i="21"/>
  <c r="AL14" i="21" s="1"/>
  <c r="AK8" i="21"/>
  <c r="U10" i="1" l="1"/>
  <c r="I10" i="1"/>
  <c r="J10" i="1" s="1"/>
  <c r="Y10" i="1" s="1"/>
  <c r="L49" i="1"/>
  <c r="L47" i="1"/>
  <c r="L41" i="1"/>
  <c r="L23" i="1"/>
  <c r="L45" i="1"/>
  <c r="L53" i="1"/>
  <c r="L65" i="1"/>
  <c r="L63" i="1"/>
  <c r="L60" i="1"/>
  <c r="L56" i="1"/>
  <c r="L55" i="1"/>
  <c r="L68" i="1"/>
  <c r="L33" i="1"/>
  <c r="L61" i="1"/>
  <c r="L62" i="1"/>
  <c r="L54" i="1"/>
  <c r="L39" i="1"/>
  <c r="L32" i="1"/>
  <c r="L26" i="1"/>
  <c r="L25" i="1"/>
  <c r="L51" i="1"/>
  <c r="L44" i="1"/>
  <c r="L59" i="1"/>
  <c r="L38" i="1"/>
  <c r="L24" i="1"/>
  <c r="L43" i="1"/>
  <c r="L29" i="1"/>
  <c r="L57" i="1"/>
  <c r="L48" i="1"/>
  <c r="L67" i="1"/>
  <c r="L31" i="1"/>
  <c r="L27" i="1"/>
  <c r="L50" i="1"/>
  <c r="L42" i="1"/>
  <c r="L37" i="1"/>
  <c r="L69" i="1"/>
  <c r="L35" i="1"/>
  <c r="L66" i="1"/>
  <c r="L36" i="1"/>
  <c r="M36" i="1" l="1"/>
  <c r="M35" i="1"/>
  <c r="M37" i="1"/>
  <c r="M42" i="1"/>
  <c r="M50" i="1"/>
  <c r="M27" i="1"/>
  <c r="M31" i="1"/>
  <c r="M48" i="1"/>
  <c r="N48" i="1" s="1"/>
  <c r="M57" i="1"/>
  <c r="M43" i="1"/>
  <c r="M24" i="1"/>
  <c r="M38" i="1"/>
  <c r="M59" i="1"/>
  <c r="M44" i="1"/>
  <c r="M51" i="1"/>
  <c r="M25" i="1"/>
  <c r="N25" i="1" s="1"/>
  <c r="M26" i="1"/>
  <c r="M32" i="1"/>
  <c r="M39" i="1"/>
  <c r="M54" i="1"/>
  <c r="N54" i="1" s="1"/>
  <c r="M62" i="1"/>
  <c r="M61" i="1"/>
  <c r="M33" i="1"/>
  <c r="M55" i="1"/>
  <c r="N55" i="1" s="1"/>
  <c r="M56" i="1"/>
  <c r="M60" i="1"/>
  <c r="M63" i="1"/>
  <c r="M53" i="1"/>
  <c r="M45" i="1"/>
  <c r="M23" i="1"/>
  <c r="M41" i="1"/>
  <c r="O41" i="1" s="1"/>
  <c r="M47" i="1"/>
  <c r="N47" i="1" s="1"/>
  <c r="M49" i="1"/>
  <c r="N38" i="1"/>
  <c r="O38" i="1"/>
  <c r="M29" i="1"/>
  <c r="N59" i="1"/>
  <c r="O59" i="1"/>
  <c r="N61" i="1"/>
  <c r="O61" i="1"/>
  <c r="N53" i="1"/>
  <c r="O53" i="1"/>
  <c r="N39" i="1"/>
  <c r="O39" i="1"/>
  <c r="O54" i="1"/>
  <c r="N62" i="1"/>
  <c r="O62" i="1"/>
  <c r="N43" i="1"/>
  <c r="O43" i="1"/>
  <c r="N63" i="1"/>
  <c r="O63" i="1"/>
  <c r="N51" i="1"/>
  <c r="O51" i="1"/>
  <c r="N42" i="1"/>
  <c r="O42" i="1"/>
  <c r="N50" i="1"/>
  <c r="O50" i="1"/>
  <c r="O56" i="1"/>
  <c r="N56" i="1"/>
  <c r="N27" i="1"/>
  <c r="O27" i="1"/>
  <c r="O60" i="1"/>
  <c r="N60" i="1"/>
  <c r="N44" i="1"/>
  <c r="O44" i="1"/>
  <c r="N45" i="1"/>
  <c r="O45" i="1"/>
  <c r="N41" i="1"/>
  <c r="N49" i="1"/>
  <c r="O49" i="1"/>
  <c r="N57" i="1"/>
  <c r="O57" i="1"/>
  <c r="N37" i="1"/>
  <c r="O37" i="1"/>
  <c r="N26" i="1"/>
  <c r="O26" i="1"/>
  <c r="N36" i="1"/>
  <c r="O36" i="1"/>
  <c r="N35" i="1"/>
  <c r="O35" i="1"/>
  <c r="N24" i="1"/>
  <c r="O24" i="1"/>
  <c r="N23" i="1"/>
  <c r="O23" i="1"/>
  <c r="N33" i="1"/>
  <c r="O33" i="1"/>
  <c r="N32" i="1"/>
  <c r="AC32" i="1" s="1"/>
  <c r="AB32" i="1" s="1"/>
  <c r="O32" i="1"/>
  <c r="N31" i="1"/>
  <c r="O31" i="1"/>
  <c r="AC23" i="1"/>
  <c r="AB23" i="1" s="1"/>
  <c r="F221" i="13"/>
  <c r="F211" i="13"/>
  <c r="F212" i="13"/>
  <c r="F213" i="13"/>
  <c r="F214" i="13"/>
  <c r="F215" i="13"/>
  <c r="F216" i="13"/>
  <c r="F217" i="13"/>
  <c r="F218" i="13"/>
  <c r="F219" i="13"/>
  <c r="F220" i="13"/>
  <c r="F210" i="13"/>
  <c r="L15" i="1"/>
  <c r="L11" i="1"/>
  <c r="L12" i="1"/>
  <c r="B221" i="13" a="1"/>
  <c r="O25" i="1" l="1"/>
  <c r="M12" i="1"/>
  <c r="M11" i="1"/>
  <c r="N11" i="1" s="1"/>
  <c r="M15" i="1"/>
  <c r="N15" i="1" s="1"/>
  <c r="O48" i="1"/>
  <c r="O47" i="1"/>
  <c r="O55" i="1"/>
  <c r="N29" i="1"/>
  <c r="AC29" i="1" s="1"/>
  <c r="AB29" i="1" s="1"/>
  <c r="AD29" i="1" s="1"/>
  <c r="O29" i="1"/>
  <c r="N12" i="1"/>
  <c r="O12" i="1"/>
  <c r="B221" i="13"/>
  <c r="R52" i="1"/>
  <c r="R47" i="1"/>
  <c r="R41" i="1"/>
  <c r="O11" i="1" l="1"/>
  <c r="O15" i="1"/>
  <c r="AC41" i="1"/>
  <c r="AB41" i="1" s="1"/>
  <c r="AC47" i="1"/>
  <c r="AB47"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U69" i="1" l="1"/>
  <c r="R69" i="1"/>
  <c r="U68" i="1"/>
  <c r="R68" i="1"/>
  <c r="U67" i="1"/>
  <c r="R67" i="1"/>
  <c r="U66" i="1"/>
  <c r="R66" i="1"/>
  <c r="U65" i="1"/>
  <c r="R65" i="1"/>
  <c r="U64" i="1"/>
  <c r="R64" i="1"/>
  <c r="U63" i="1"/>
  <c r="R63" i="1"/>
  <c r="U62" i="1"/>
  <c r="R62" i="1"/>
  <c r="U61" i="1"/>
  <c r="R61" i="1"/>
  <c r="U60" i="1"/>
  <c r="R60" i="1"/>
  <c r="U59" i="1"/>
  <c r="R59" i="1"/>
  <c r="U58" i="1"/>
  <c r="R58" i="1"/>
  <c r="U57" i="1"/>
  <c r="R57" i="1"/>
  <c r="U56" i="1"/>
  <c r="R56" i="1"/>
  <c r="U55" i="1"/>
  <c r="R55" i="1"/>
  <c r="U54" i="1"/>
  <c r="R54" i="1"/>
  <c r="U53" i="1"/>
  <c r="R53" i="1"/>
  <c r="U52" i="1"/>
  <c r="Y52" i="1" s="1"/>
  <c r="AA52" i="1" s="1"/>
  <c r="U51" i="1"/>
  <c r="R51" i="1"/>
  <c r="U50" i="1"/>
  <c r="R50" i="1"/>
  <c r="U49" i="1"/>
  <c r="R49" i="1"/>
  <c r="U48" i="1"/>
  <c r="R48" i="1"/>
  <c r="U47" i="1"/>
  <c r="Y47" i="1" s="1"/>
  <c r="Z47" i="1" s="1"/>
  <c r="AD47" i="1" s="1"/>
  <c r="U46" i="1"/>
  <c r="R46" i="1"/>
  <c r="U45" i="1"/>
  <c r="R45" i="1"/>
  <c r="U44" i="1"/>
  <c r="R44" i="1"/>
  <c r="U43" i="1"/>
  <c r="R43" i="1"/>
  <c r="U42" i="1"/>
  <c r="R42" i="1"/>
  <c r="U41" i="1"/>
  <c r="Y41" i="1" s="1"/>
  <c r="Z41" i="1" s="1"/>
  <c r="AD41" i="1" s="1"/>
  <c r="U40" i="1"/>
  <c r="R40" i="1"/>
  <c r="U39" i="1"/>
  <c r="R39" i="1"/>
  <c r="U38" i="1"/>
  <c r="R38" i="1"/>
  <c r="U37" i="1"/>
  <c r="R37" i="1"/>
  <c r="U36" i="1"/>
  <c r="R36" i="1"/>
  <c r="U35" i="1"/>
  <c r="R35" i="1"/>
  <c r="U34" i="1"/>
  <c r="R34" i="1"/>
  <c r="U33" i="1"/>
  <c r="R33" i="1"/>
  <c r="U32" i="1"/>
  <c r="Y32" i="1" s="1"/>
  <c r="U31" i="1"/>
  <c r="R31" i="1"/>
  <c r="U28" i="1"/>
  <c r="R28" i="1"/>
  <c r="Y28" i="1" s="1"/>
  <c r="U27" i="1"/>
  <c r="R27" i="1"/>
  <c r="U26" i="1"/>
  <c r="R26" i="1"/>
  <c r="U25" i="1"/>
  <c r="R25" i="1"/>
  <c r="U24" i="1"/>
  <c r="R24" i="1"/>
  <c r="U23" i="1"/>
  <c r="Y23" i="1" s="1"/>
  <c r="U22" i="1"/>
  <c r="R22" i="1"/>
  <c r="Y22" i="1" s="1"/>
  <c r="R15" i="1"/>
  <c r="R14" i="1"/>
  <c r="R13" i="1"/>
  <c r="U21" i="1"/>
  <c r="R21" i="1"/>
  <c r="U20" i="1"/>
  <c r="R20" i="1"/>
  <c r="U19" i="1"/>
  <c r="R19" i="1"/>
  <c r="U18" i="1"/>
  <c r="R18" i="1"/>
  <c r="U17" i="1"/>
  <c r="R17" i="1"/>
  <c r="U16" i="1"/>
  <c r="R16" i="1"/>
  <c r="Z52" i="1" l="1"/>
  <c r="AA47" i="1"/>
  <c r="AA41" i="1"/>
  <c r="Y25" i="1"/>
  <c r="AC25" i="1"/>
  <c r="AB25" i="1" s="1"/>
  <c r="AC42" i="1"/>
  <c r="AB42" i="1" s="1"/>
  <c r="Y42" i="1"/>
  <c r="Y46" i="1"/>
  <c r="Y53" i="1"/>
  <c r="AC53" i="1"/>
  <c r="AB53" i="1" s="1"/>
  <c r="Y55" i="1"/>
  <c r="AC55" i="1"/>
  <c r="AB55" i="1" s="1"/>
  <c r="Y57" i="1"/>
  <c r="AC57" i="1"/>
  <c r="AB57" i="1" s="1"/>
  <c r="AC59" i="1"/>
  <c r="AB59" i="1" s="1"/>
  <c r="Y59" i="1"/>
  <c r="AC61" i="1"/>
  <c r="AB61" i="1" s="1"/>
  <c r="Y61" i="1"/>
  <c r="Y17" i="1"/>
  <c r="AC17" i="1"/>
  <c r="AB17" i="1" s="1"/>
  <c r="Y19" i="1"/>
  <c r="AC19" i="1"/>
  <c r="AB19" i="1" s="1"/>
  <c r="Y21" i="1"/>
  <c r="AC21" i="1"/>
  <c r="AB21" i="1" s="1"/>
  <c r="AC15" i="1"/>
  <c r="AB15" i="1" s="1"/>
  <c r="AA23" i="1"/>
  <c r="Z23" i="1"/>
  <c r="AD23" i="1" s="1"/>
  <c r="AC38" i="1"/>
  <c r="AB38" i="1" s="1"/>
  <c r="Y38" i="1"/>
  <c r="Y40" i="1"/>
  <c r="AC49" i="1"/>
  <c r="AB49" i="1" s="1"/>
  <c r="Y49" i="1"/>
  <c r="Y51" i="1"/>
  <c r="AC51" i="1"/>
  <c r="AB51" i="1" s="1"/>
  <c r="Y24" i="1"/>
  <c r="AC24" i="1"/>
  <c r="AB24" i="1" s="1"/>
  <c r="Y26" i="1"/>
  <c r="AC26" i="1"/>
  <c r="AB26" i="1" s="1"/>
  <c r="Z28" i="1"/>
  <c r="AA28" i="1"/>
  <c r="Y43" i="1"/>
  <c r="AC43" i="1"/>
  <c r="AB43" i="1" s="1"/>
  <c r="Y45" i="1"/>
  <c r="AC45" i="1"/>
  <c r="AB45" i="1" s="1"/>
  <c r="Y54" i="1"/>
  <c r="AC54" i="1"/>
  <c r="AB54" i="1" s="1"/>
  <c r="AC56" i="1"/>
  <c r="AB56" i="1" s="1"/>
  <c r="Y56" i="1"/>
  <c r="Y58" i="1"/>
  <c r="AC58" i="1"/>
  <c r="AB58" i="1" s="1"/>
  <c r="AC60" i="1"/>
  <c r="AB60" i="1" s="1"/>
  <c r="Y60" i="1"/>
  <c r="Y62" i="1"/>
  <c r="AC62" i="1"/>
  <c r="AB62" i="1" s="1"/>
  <c r="AC65" i="1"/>
  <c r="AC14" i="1"/>
  <c r="AB14" i="1" s="1"/>
  <c r="Y27" i="1"/>
  <c r="AC27" i="1"/>
  <c r="AB27" i="1" s="1"/>
  <c r="AC44" i="1"/>
  <c r="AB44" i="1" s="1"/>
  <c r="Y44" i="1"/>
  <c r="Y16" i="1"/>
  <c r="AC16" i="1"/>
  <c r="AB16" i="1" s="1"/>
  <c r="Y18" i="1"/>
  <c r="AC18" i="1"/>
  <c r="AB18" i="1" s="1"/>
  <c r="Y20" i="1"/>
  <c r="AC20" i="1"/>
  <c r="AB20" i="1" s="1"/>
  <c r="AC13" i="1"/>
  <c r="AB13" i="1" s="1"/>
  <c r="Y39" i="1"/>
  <c r="AC39" i="1"/>
  <c r="AB39" i="1" s="1"/>
  <c r="Y48" i="1"/>
  <c r="AC48" i="1"/>
  <c r="AB48" i="1" s="1"/>
  <c r="Y50" i="1"/>
  <c r="AC50" i="1"/>
  <c r="AB50" i="1" s="1"/>
  <c r="AC37" i="1"/>
  <c r="AB37" i="1" s="1"/>
  <c r="Y37" i="1"/>
  <c r="AC36" i="1"/>
  <c r="AB36" i="1" s="1"/>
  <c r="Y36" i="1"/>
  <c r="AC35" i="1"/>
  <c r="AB35" i="1" s="1"/>
  <c r="Y35" i="1"/>
  <c r="Y34" i="1"/>
  <c r="Y33" i="1"/>
  <c r="AC33" i="1"/>
  <c r="AB33" i="1" s="1"/>
  <c r="Z32" i="1"/>
  <c r="AD32" i="1" s="1"/>
  <c r="AA32" i="1"/>
  <c r="Y31" i="1"/>
  <c r="AC31" i="1"/>
  <c r="AB31" i="1" s="1"/>
  <c r="Z22" i="1"/>
  <c r="AA22" i="1"/>
  <c r="Y64" i="1"/>
  <c r="Z18" i="1" l="1"/>
  <c r="AD18" i="1" s="1"/>
  <c r="AA18" i="1"/>
  <c r="Z49" i="1"/>
  <c r="AD49" i="1" s="1"/>
  <c r="AA49" i="1"/>
  <c r="Z61" i="1"/>
  <c r="AD61" i="1" s="1"/>
  <c r="AA61" i="1"/>
  <c r="Z42" i="1"/>
  <c r="AD42" i="1" s="1"/>
  <c r="AA42" i="1"/>
  <c r="Z45" i="1"/>
  <c r="AD45" i="1" s="1"/>
  <c r="AA45" i="1"/>
  <c r="Z24" i="1"/>
  <c r="AD24" i="1" s="1"/>
  <c r="AA24" i="1"/>
  <c r="Z19" i="1"/>
  <c r="AD19" i="1" s="1"/>
  <c r="AA19" i="1"/>
  <c r="Z57" i="1"/>
  <c r="AD57" i="1" s="1"/>
  <c r="AA57" i="1"/>
  <c r="Z53" i="1"/>
  <c r="AD53" i="1" s="1"/>
  <c r="AA53" i="1"/>
  <c r="Z50" i="1"/>
  <c r="AD50" i="1" s="1"/>
  <c r="AA50" i="1"/>
  <c r="AA20" i="1"/>
  <c r="Z20" i="1"/>
  <c r="AD20" i="1" s="1"/>
  <c r="AA27" i="1"/>
  <c r="Z27" i="1"/>
  <c r="AD27" i="1" s="1"/>
  <c r="AA40" i="1"/>
  <c r="Z40" i="1"/>
  <c r="Z59" i="1"/>
  <c r="AD59" i="1" s="1"/>
  <c r="AA59" i="1"/>
  <c r="Z46" i="1"/>
  <c r="AA46" i="1"/>
  <c r="Z48" i="1"/>
  <c r="AD48" i="1" s="1"/>
  <c r="AA48" i="1"/>
  <c r="AA60" i="1"/>
  <c r="Z60" i="1"/>
  <c r="AD60" i="1" s="1"/>
  <c r="Z56" i="1"/>
  <c r="AD56" i="1" s="1"/>
  <c r="AA56" i="1"/>
  <c r="Z38" i="1"/>
  <c r="AD38" i="1" s="1"/>
  <c r="AA38" i="1"/>
  <c r="Z39" i="1"/>
  <c r="AD39" i="1" s="1"/>
  <c r="AA39" i="1"/>
  <c r="Z16" i="1"/>
  <c r="AD16" i="1" s="1"/>
  <c r="AA16" i="1"/>
  <c r="AA44" i="1"/>
  <c r="Z44" i="1"/>
  <c r="AD44" i="1" s="1"/>
  <c r="Z62" i="1"/>
  <c r="AD62" i="1" s="1"/>
  <c r="AA62" i="1"/>
  <c r="AA58" i="1"/>
  <c r="Z58" i="1"/>
  <c r="AD58" i="1" s="1"/>
  <c r="Z54" i="1"/>
  <c r="AD54" i="1" s="1"/>
  <c r="AA54" i="1"/>
  <c r="AA43" i="1"/>
  <c r="Z43" i="1"/>
  <c r="AD43" i="1" s="1"/>
  <c r="Z26" i="1"/>
  <c r="AD26" i="1" s="1"/>
  <c r="AA26" i="1"/>
  <c r="Z51" i="1"/>
  <c r="AD51" i="1" s="1"/>
  <c r="AA51" i="1"/>
  <c r="Z21" i="1"/>
  <c r="AD21" i="1" s="1"/>
  <c r="AA21" i="1"/>
  <c r="Z17" i="1"/>
  <c r="AD17" i="1" s="1"/>
  <c r="AA17" i="1"/>
  <c r="Z55" i="1"/>
  <c r="AD55" i="1" s="1"/>
  <c r="AA55" i="1"/>
  <c r="Z25" i="1"/>
  <c r="AD25" i="1" s="1"/>
  <c r="AA25" i="1"/>
  <c r="Z37" i="1"/>
  <c r="AD37" i="1" s="1"/>
  <c r="AA37" i="1"/>
  <c r="AA36" i="1"/>
  <c r="Z36" i="1"/>
  <c r="AD36" i="1" s="1"/>
  <c r="Z35" i="1"/>
  <c r="AD35" i="1" s="1"/>
  <c r="AA35" i="1"/>
  <c r="Z34" i="1"/>
  <c r="AA34" i="1"/>
  <c r="AA33" i="1"/>
  <c r="Z33" i="1"/>
  <c r="AD33" i="1" s="1"/>
  <c r="Z31" i="1"/>
  <c r="AD31" i="1" s="1"/>
  <c r="AA31" i="1"/>
  <c r="Z64" i="1"/>
  <c r="AA64" i="1"/>
  <c r="Y65" i="1" s="1"/>
  <c r="Z65" i="1" s="1"/>
  <c r="AA65" i="1" l="1"/>
  <c r="Y66" i="1" s="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U11" i="1"/>
  <c r="U12" i="1"/>
  <c r="U13" i="1"/>
  <c r="Y13" i="1" s="1"/>
  <c r="U14" i="1"/>
  <c r="Y14" i="1" s="1"/>
  <c r="U15" i="1"/>
  <c r="Y15" i="1" s="1"/>
  <c r="Z14" i="1" l="1"/>
  <c r="AD14" i="1" s="1"/>
  <c r="AA14" i="1"/>
  <c r="Z13" i="1"/>
  <c r="AD13" i="1" s="1"/>
  <c r="AA13" i="1"/>
  <c r="AA15" i="1"/>
  <c r="Z15" i="1"/>
  <c r="AD15" i="1" s="1"/>
  <c r="Z66" i="1"/>
  <c r="AA66" i="1"/>
  <c r="Y67" i="1" s="1"/>
  <c r="Y63" i="1" l="1"/>
  <c r="AA67" i="1"/>
  <c r="Z67" i="1"/>
  <c r="R12" i="1"/>
  <c r="Y12" i="1" l="1"/>
  <c r="AC12" i="1"/>
  <c r="AB12" i="1" s="1"/>
  <c r="Z63" i="1"/>
  <c r="AA63" i="1"/>
  <c r="Y68" i="1"/>
  <c r="Y69" i="1"/>
  <c r="Z10" i="1"/>
  <c r="AA12" i="1" l="1"/>
  <c r="Z12" i="1"/>
  <c r="AD12" i="1" s="1"/>
  <c r="Z69" i="1"/>
  <c r="AA69" i="1"/>
  <c r="Z68" i="1"/>
  <c r="AA68" i="1"/>
  <c r="R11" i="1"/>
  <c r="Y11" i="1" l="1"/>
  <c r="AC11" i="1"/>
  <c r="AB11" i="1" s="1"/>
  <c r="AA10" i="1"/>
  <c r="Z11" i="1" l="1"/>
  <c r="AD11" i="1" s="1"/>
  <c r="AA11" i="1"/>
  <c r="AC66" i="1"/>
  <c r="J47" i="19" l="1"/>
  <c r="V27" i="19"/>
  <c r="AH7" i="19"/>
  <c r="P47" i="19"/>
  <c r="AB27" i="19"/>
  <c r="J17" i="19"/>
  <c r="V47" i="19"/>
  <c r="J37" i="19"/>
  <c r="AB37" i="19"/>
  <c r="J27" i="19"/>
  <c r="V7" i="19"/>
  <c r="AH37" i="19"/>
  <c r="P27" i="19"/>
  <c r="AB7" i="19"/>
  <c r="P17" i="19"/>
  <c r="V17" i="19"/>
  <c r="AH47" i="19"/>
  <c r="P37" i="19"/>
  <c r="AB17" i="19"/>
  <c r="J7" i="19"/>
  <c r="V37" i="19"/>
  <c r="AH17" i="19"/>
  <c r="P7" i="19"/>
  <c r="AH27" i="19"/>
  <c r="AB47" i="19"/>
  <c r="AB65" i="1"/>
  <c r="AB66" i="1"/>
  <c r="AC67" i="1"/>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AB67" i="1"/>
  <c r="AC68" i="1"/>
  <c r="K35" i="19"/>
  <c r="AC25" i="19"/>
  <c r="K45" i="19"/>
  <c r="AI45" i="19"/>
  <c r="W45" i="19"/>
  <c r="Q35" i="19"/>
  <c r="K55" i="19"/>
  <c r="AC15" i="19"/>
  <c r="Q15" i="19"/>
  <c r="AC35" i="19"/>
  <c r="AI35" i="19"/>
  <c r="Q55" i="19"/>
  <c r="AI25" i="19"/>
  <c r="AD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AD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B68" i="1"/>
  <c r="AC69" i="1"/>
  <c r="AB69" i="1" s="1"/>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AD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D69" i="1"/>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D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C63" i="1"/>
  <c r="AB63" i="1" s="1"/>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D63" i="1"/>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X6" i="18" l="1"/>
  <c r="AJ30" i="18"/>
  <c r="R22" i="18"/>
  <c r="L6" i="18"/>
  <c r="R30" i="18"/>
  <c r="X22" i="18"/>
  <c r="X38" i="18"/>
  <c r="AD38" i="18"/>
  <c r="AD22" i="18"/>
  <c r="X14" i="18"/>
  <c r="L30" i="18"/>
  <c r="R38" i="18"/>
  <c r="AJ14" i="18"/>
  <c r="R14" i="18"/>
  <c r="AD6" i="18"/>
  <c r="AD30" i="18"/>
  <c r="AJ38" i="18"/>
  <c r="AJ22" i="18"/>
  <c r="X30" i="18"/>
  <c r="L14" i="18"/>
  <c r="L22" i="18"/>
  <c r="AJ6" i="18"/>
  <c r="L38" i="18"/>
  <c r="AD14" i="18"/>
  <c r="R6" i="18"/>
  <c r="AC64" i="1"/>
  <c r="AB64" i="1" s="1"/>
  <c r="V25" i="19" l="1"/>
  <c r="V45" i="19"/>
  <c r="J15" i="19"/>
  <c r="AB45" i="19"/>
  <c r="AH25" i="19"/>
  <c r="AH55" i="19"/>
  <c r="AB15" i="19"/>
  <c r="P15" i="19"/>
  <c r="P45" i="19"/>
  <c r="V15" i="19"/>
  <c r="J35" i="19"/>
  <c r="AH45" i="19"/>
  <c r="J25" i="19"/>
  <c r="AB35" i="19"/>
  <c r="AH15" i="19"/>
  <c r="V35" i="19"/>
  <c r="J55" i="19"/>
  <c r="AB55" i="19"/>
  <c r="AD64" i="1"/>
  <c r="AB25" i="19"/>
  <c r="AH35" i="19"/>
  <c r="P55" i="19"/>
  <c r="J45" i="19"/>
  <c r="P25" i="19"/>
  <c r="P35" i="19"/>
  <c r="V55" i="19"/>
  <c r="B223" i="13"/>
  <c r="B222" i="13"/>
  <c r="L40" i="1" l="1"/>
  <c r="M40" i="1" s="1"/>
  <c r="L10" i="1"/>
  <c r="M10" i="1" s="1"/>
  <c r="L28" i="1"/>
  <c r="M28" i="1" s="1"/>
  <c r="L22" i="1"/>
  <c r="M22" i="1" s="1"/>
  <c r="L52" i="1"/>
  <c r="M52" i="1" s="1"/>
  <c r="L46" i="1"/>
  <c r="M46" i="1" s="1"/>
  <c r="L34" i="1"/>
  <c r="M34" i="1" s="1"/>
  <c r="L64" i="1"/>
  <c r="M64" i="1" s="1"/>
  <c r="L58" i="1"/>
  <c r="M58" i="1" s="1"/>
  <c r="N58" i="1" l="1"/>
  <c r="O58" i="1"/>
  <c r="Z42" i="18"/>
  <c r="T18" i="18"/>
  <c r="AF34" i="18"/>
  <c r="AF42" i="18"/>
  <c r="N42" i="18"/>
  <c r="Z18" i="18"/>
  <c r="AL10" i="18"/>
  <c r="AL26" i="18"/>
  <c r="AF26" i="18"/>
  <c r="Z10" i="18"/>
  <c r="N18" i="18"/>
  <c r="T26" i="18"/>
  <c r="AF10" i="18"/>
  <c r="T34" i="18"/>
  <c r="N26" i="18"/>
  <c r="AL18" i="18"/>
  <c r="N10" i="18"/>
  <c r="AF18" i="18"/>
  <c r="Z26" i="18"/>
  <c r="AL34" i="18"/>
  <c r="Z34" i="18"/>
  <c r="T10" i="18"/>
  <c r="AL42" i="18"/>
  <c r="N34" i="18"/>
  <c r="T42" i="18"/>
  <c r="O64" i="1"/>
  <c r="N64" i="1"/>
  <c r="AH12" i="18"/>
  <c r="J20" i="18"/>
  <c r="J44" i="18"/>
  <c r="AB28" i="18"/>
  <c r="P28" i="18"/>
  <c r="P12" i="18"/>
  <c r="AH20" i="18"/>
  <c r="P44" i="18"/>
  <c r="AB12" i="18"/>
  <c r="P20" i="18"/>
  <c r="J36" i="18"/>
  <c r="P36" i="18"/>
  <c r="AB44" i="18"/>
  <c r="V44" i="18"/>
  <c r="J28" i="18"/>
  <c r="AH36" i="18"/>
  <c r="V12" i="18"/>
  <c r="V28" i="18"/>
  <c r="AH44" i="18"/>
  <c r="AB20" i="18"/>
  <c r="AB36" i="18"/>
  <c r="AH28" i="18"/>
  <c r="V36" i="18"/>
  <c r="V20" i="18"/>
  <c r="J12" i="18"/>
  <c r="N34" i="1"/>
  <c r="AC34" i="1" s="1"/>
  <c r="AB34" i="1" s="1"/>
  <c r="O34" i="1"/>
  <c r="L16" i="18"/>
  <c r="R24" i="18"/>
  <c r="L8" i="18"/>
  <c r="R32" i="18"/>
  <c r="AJ16" i="18"/>
  <c r="R8" i="18"/>
  <c r="AD24" i="18"/>
  <c r="AJ32" i="18"/>
  <c r="AD8" i="18"/>
  <c r="X40" i="18"/>
  <c r="L32" i="18"/>
  <c r="X8" i="18"/>
  <c r="X24" i="18"/>
  <c r="AJ8" i="18"/>
  <c r="R40" i="18"/>
  <c r="L40" i="18"/>
  <c r="X16" i="18"/>
  <c r="L24" i="18"/>
  <c r="AJ24" i="18"/>
  <c r="X32" i="18"/>
  <c r="AJ40" i="18"/>
  <c r="R16" i="18"/>
  <c r="AD40" i="18"/>
  <c r="AD32" i="18"/>
  <c r="AD16" i="18"/>
  <c r="N46" i="1"/>
  <c r="AC46" i="1" s="1"/>
  <c r="AB46" i="1" s="1"/>
  <c r="O46" i="1"/>
  <c r="J42" i="18"/>
  <c r="P34" i="18"/>
  <c r="AB18" i="18"/>
  <c r="AB42" i="18"/>
  <c r="AH34" i="18"/>
  <c r="P10" i="18"/>
  <c r="V34" i="18"/>
  <c r="P42" i="18"/>
  <c r="V42" i="18"/>
  <c r="AH42" i="18"/>
  <c r="AB26" i="18"/>
  <c r="AH26" i="18"/>
  <c r="V26" i="18"/>
  <c r="AB34" i="18"/>
  <c r="V10" i="18"/>
  <c r="AH18" i="18"/>
  <c r="J34" i="18"/>
  <c r="J10" i="18"/>
  <c r="AB10" i="18"/>
  <c r="J18" i="18"/>
  <c r="P26" i="18"/>
  <c r="J26" i="18"/>
  <c r="AH10" i="18"/>
  <c r="P18" i="18"/>
  <c r="V18" i="18"/>
  <c r="N52" i="1"/>
  <c r="AC52" i="1" s="1"/>
  <c r="AB52" i="1" s="1"/>
  <c r="O52" i="1"/>
  <c r="X42" i="18"/>
  <c r="AD34" i="18"/>
  <c r="AD10" i="18"/>
  <c r="AD26" i="18"/>
  <c r="L10" i="18"/>
  <c r="L42" i="18"/>
  <c r="L26" i="18"/>
  <c r="X18" i="18"/>
  <c r="X34" i="18"/>
  <c r="X10" i="18"/>
  <c r="R18" i="18"/>
  <c r="AJ10" i="18"/>
  <c r="AD42" i="18"/>
  <c r="AJ34" i="18"/>
  <c r="R26" i="18"/>
  <c r="L18" i="18"/>
  <c r="AJ26" i="18"/>
  <c r="AD18" i="18"/>
  <c r="R34" i="18"/>
  <c r="L34" i="18"/>
  <c r="AJ42" i="18"/>
  <c r="R10" i="18"/>
  <c r="R42" i="18"/>
  <c r="X26" i="18"/>
  <c r="AJ18" i="18"/>
  <c r="N22" i="1"/>
  <c r="AC22" i="1" s="1"/>
  <c r="AB22" i="1" s="1"/>
  <c r="O22" i="1"/>
  <c r="T14" i="18"/>
  <c r="AL38" i="18"/>
  <c r="N14" i="18"/>
  <c r="Z6" i="18"/>
  <c r="T38" i="18"/>
  <c r="T22" i="18"/>
  <c r="AL14" i="18"/>
  <c r="N22" i="18"/>
  <c r="AF22" i="18"/>
  <c r="N6" i="18"/>
  <c r="AF6" i="18"/>
  <c r="AF38" i="18"/>
  <c r="N38" i="18"/>
  <c r="AL30" i="18"/>
  <c r="AL22" i="18"/>
  <c r="T6" i="18"/>
  <c r="AF14" i="18"/>
  <c r="AF30" i="18"/>
  <c r="Z22" i="18"/>
  <c r="T30" i="18"/>
  <c r="Z30" i="18"/>
  <c r="AL6" i="18"/>
  <c r="Z14" i="18"/>
  <c r="Z38" i="18"/>
  <c r="N30" i="18"/>
  <c r="N28" i="1"/>
  <c r="AC28" i="1" s="1"/>
  <c r="AB28" i="1" s="1"/>
  <c r="O28" i="1"/>
  <c r="J40" i="18"/>
  <c r="AB40" i="18"/>
  <c r="AH32" i="18"/>
  <c r="AB24" i="18"/>
  <c r="V16" i="18"/>
  <c r="J16" i="18"/>
  <c r="P32" i="18"/>
  <c r="V24" i="18"/>
  <c r="P24" i="18"/>
  <c r="V40" i="18"/>
  <c r="P16" i="18"/>
  <c r="P40" i="18"/>
  <c r="V32" i="18"/>
  <c r="AH16" i="18"/>
  <c r="AB16" i="18"/>
  <c r="V8" i="18"/>
  <c r="AH24" i="18"/>
  <c r="AH8" i="18"/>
  <c r="AH40" i="18"/>
  <c r="J8" i="18"/>
  <c r="AB32" i="18"/>
  <c r="AB8" i="18"/>
  <c r="J24" i="18"/>
  <c r="J32" i="18"/>
  <c r="P8" i="18"/>
  <c r="P14" i="18"/>
  <c r="V22" i="18"/>
  <c r="V14" i="18"/>
  <c r="P22" i="18"/>
  <c r="V38" i="18"/>
  <c r="AH14" i="18"/>
  <c r="AH38" i="18"/>
  <c r="J14" i="18"/>
  <c r="AB22" i="18"/>
  <c r="V30" i="18"/>
  <c r="AB14" i="18"/>
  <c r="AB38" i="18"/>
  <c r="J30" i="18"/>
  <c r="P38" i="18"/>
  <c r="AB6" i="18"/>
  <c r="N10" i="1"/>
  <c r="AC10" i="1" s="1"/>
  <c r="AB10" i="1" s="1"/>
  <c r="AH30" i="18"/>
  <c r="J38" i="18"/>
  <c r="AH6" i="18"/>
  <c r="V6" i="18"/>
  <c r="AB30" i="18"/>
  <c r="J22" i="18"/>
  <c r="J6" i="18"/>
  <c r="P30" i="18"/>
  <c r="AH22" i="18"/>
  <c r="P6" i="18"/>
  <c r="O10" i="1"/>
  <c r="N40" i="1"/>
  <c r="AC40" i="1" s="1"/>
  <c r="AB40" i="1" s="1"/>
  <c r="O40" i="1"/>
  <c r="AF24" i="18"/>
  <c r="AF32" i="18"/>
  <c r="T40" i="18"/>
  <c r="Z40" i="18"/>
  <c r="AL8" i="18"/>
  <c r="AF8" i="18"/>
  <c r="T8" i="18"/>
  <c r="Z16" i="18"/>
  <c r="T24" i="18"/>
  <c r="AL24" i="18"/>
  <c r="Z32" i="18"/>
  <c r="N32" i="18"/>
  <c r="N16" i="18"/>
  <c r="Z8" i="18"/>
  <c r="AL40" i="18"/>
  <c r="N8" i="18"/>
  <c r="N24" i="18"/>
  <c r="T32" i="18"/>
  <c r="T16" i="18"/>
  <c r="AF40" i="18"/>
  <c r="AF16" i="18"/>
  <c r="AL32" i="18"/>
  <c r="N40" i="18"/>
  <c r="Z24" i="18"/>
  <c r="AL16" i="18"/>
  <c r="AD40" i="1" l="1"/>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P16" i="19"/>
  <c r="P6" i="19"/>
  <c r="AH6" i="19"/>
  <c r="V46" i="19"/>
  <c r="AH46" i="19"/>
  <c r="AB46" i="19"/>
  <c r="J6" i="19"/>
  <c r="P46" i="19"/>
  <c r="AB26" i="19"/>
  <c r="AB16" i="19"/>
  <c r="AH26" i="19"/>
  <c r="J16" i="19"/>
  <c r="V26" i="19"/>
  <c r="AH36" i="19"/>
  <c r="P26" i="19"/>
  <c r="V16" i="19"/>
  <c r="V36" i="19"/>
  <c r="AD10" i="1"/>
  <c r="AH16" i="19"/>
  <c r="V6" i="19"/>
  <c r="AB36" i="19"/>
  <c r="AB6" i="19"/>
  <c r="P36" i="19"/>
  <c r="J36" i="19"/>
  <c r="J26" i="19"/>
  <c r="J46" i="19"/>
  <c r="AD28" i="1"/>
  <c r="AB39" i="19"/>
  <c r="AB9" i="19"/>
  <c r="J29" i="19"/>
  <c r="AB49" i="19"/>
  <c r="P19" i="19"/>
  <c r="AH19" i="19"/>
  <c r="AH49" i="19"/>
  <c r="V39" i="19"/>
  <c r="J19" i="19"/>
  <c r="V49" i="19"/>
  <c r="AH29" i="19"/>
  <c r="P39" i="19"/>
  <c r="V9" i="19"/>
  <c r="V29" i="19"/>
  <c r="P49" i="19"/>
  <c r="AH39" i="19"/>
  <c r="AB19" i="19"/>
  <c r="J39" i="19"/>
  <c r="AH9" i="19"/>
  <c r="P29" i="19"/>
  <c r="V19" i="19"/>
  <c r="AB29" i="19"/>
  <c r="P9" i="19"/>
  <c r="J49" i="19"/>
  <c r="J9" i="19"/>
  <c r="AD22" i="1"/>
  <c r="P38" i="19"/>
  <c r="AH38" i="19"/>
  <c r="P48" i="19"/>
  <c r="AB18" i="19"/>
  <c r="J8" i="19"/>
  <c r="J18" i="19"/>
  <c r="V38" i="19"/>
  <c r="V48" i="19"/>
  <c r="AH8" i="19"/>
  <c r="AB48" i="19"/>
  <c r="V8" i="19"/>
  <c r="AH48" i="19"/>
  <c r="AH18" i="19"/>
  <c r="V18" i="19"/>
  <c r="J38" i="19"/>
  <c r="AB38" i="19"/>
  <c r="P18" i="19"/>
  <c r="J28" i="19"/>
  <c r="J48" i="19"/>
  <c r="V28" i="19"/>
  <c r="AB8" i="19"/>
  <c r="P28" i="19"/>
  <c r="AB28" i="19"/>
  <c r="AH28" i="19"/>
  <c r="P8" i="19"/>
  <c r="AD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D46" i="1"/>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AD34" i="1"/>
  <c r="J40" i="19"/>
  <c r="V20" i="19"/>
  <c r="J50" i="19"/>
  <c r="P50" i="19"/>
  <c r="J10" i="19"/>
  <c r="P20" i="19"/>
  <c r="AB30" i="19"/>
  <c r="AB50" i="19"/>
  <c r="V10" i="19"/>
  <c r="V40" i="19"/>
  <c r="V30" i="19"/>
  <c r="AH10" i="19"/>
  <c r="AB40" i="19"/>
  <c r="AB10" i="19"/>
  <c r="AB20" i="19"/>
  <c r="J20" i="19"/>
  <c r="V50" i="19"/>
  <c r="AH40" i="19"/>
  <c r="AH20" i="19"/>
  <c r="P10" i="19"/>
  <c r="P30" i="19"/>
  <c r="AH30" i="19"/>
  <c r="AH50" i="19"/>
  <c r="P40" i="19"/>
  <c r="J30"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<sst xmlns="http://schemas.openxmlformats.org/spreadsheetml/2006/main" count="1858" uniqueCount="694">
  <si>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</si>
  <si>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</si>
  <si>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</si>
  <si>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</si>
  <si>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</si>
  <si>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</si>
  <si>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</si>
  <si>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</si>
  <si>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</si>
  <si>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</si>
  <si>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</si>
  <si>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</si>
  <si>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</si>
  <si>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</si>
  <si>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</si>
  <si>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</si>
  <si>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</si>
  <si>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</si>
  <si>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</si>
  <si>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</si>
  <si>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</si>
  <si>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</si>
  <si>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</si>
  <si>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</si>
  <si>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</si>
  <si>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</si>
  <si>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</si>
  <si>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</si>
  <si>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</si>
  <si>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</si>
  <si>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</si>
  <si>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</si>
  <si>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</si>
  <si>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</si>
  <si>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</si>
  <si>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</si>
  <si>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</si>
  <si>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</si>
  <si>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</si>
  <si>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</si>
  <si>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</si>
  <si>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</si>
  <si>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</si>
  <si>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</si>
  <si>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</si>
  <si>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</si>
  <si>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</si>
  <si>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</si>
  <si>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</si>
  <si>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</si>
  <si>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</si>
  <si>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</si>
  <si>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</si>
  <si>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</si>
  <si>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</si>
  <si>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</si>
  <si>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</si>
  <si>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</si>
  <si>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</si>
  <si>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</si>
  <si>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</si>
  <si>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</si>
  <si>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</si>
  <si>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</si>
  <si>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</si>
  <si>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</si>
  <si>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</si>
  <si>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</si>
  <si>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</si>
  <si>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</si>
  <si>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</si>
  <si>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</si>
  <si>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</si>
  <si>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</si>
  <si>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</si>
  <si>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</si>
  <si>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</si>
  <si>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</si>
  <si>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</si>
  <si>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</si>
  <si>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</si>
  <si>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</si>
  <si>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</si>
  <si>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</si>
  <si>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</si>
  <si>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</si>
  <si>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</si>
  <si>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</si>
  <si>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</si>
  <si>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</si>
  <si>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</si>
  <si>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</si>
  <si>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</si>
  <si>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</si>
  <si>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</si>
  <si>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</si>
  <si>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</si>
  <si>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</si>
  <si>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</si>
  <si>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</si>
  <si>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</si>
  <si>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</si>
  <si>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</si>
  <si>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</si>
  <si>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</si>
  <si>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</si>
  <si>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</si>
  <si>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</si>
  <si>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</si>
  <si>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</si>
  <si>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</si>
  <si>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</si>
  <si>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</si>
  <si>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</si>
  <si>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</si>
  <si>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</si>
  <si>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</si>
  <si>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</si>
  <si>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</si>
  <si>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</si>
  <si>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</si>
  <si>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</si>
  <si>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</si>
  <si>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</si>
  <si>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</si>
  <si>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</si>
  <si>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</si>
  <si>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</si>
  <si>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</si>
  <si>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</si>
  <si>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</si>
  <si>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</si>
  <si>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</si>
  <si>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</si>
  <si>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</si>
  <si>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</si>
  <si>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</si>
  <si>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</si>
  <si>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</si>
  <si>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</si>
  <si>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</si>
  <si>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</si>
  <si>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</si>
  <si>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</si>
  <si>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</si>
  <si>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</si>
  <si>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</si>
  <si>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</si>
  <si>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</si>
  <si>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</si>
  <si>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</si>
  <si>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</si>
  <si>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</si>
  <si>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</si>
  <si>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</si>
  <si>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</si>
  <si>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</si>
  <si>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</si>
  <si>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</si>
  <si>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</si>
  <si>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</si>
  <si>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</si>
  <si>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</si>
  <si>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</si>
  <si>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</si>
  <si>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</si>
  <si>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</si>
  <si>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</si>
  <si>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</si>
  <si>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</si>
  <si>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</si>
  <si>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</si>
  <si>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</si>
  <si>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</si>
  <si>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</si>
  <si>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</si>
  <si>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</si>
  <si>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</si>
  <si>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</si>
  <si>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</si>
  <si>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</si>
  <si>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</si>
  <si>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</si>
  <si>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</si>
  <si>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</si>
  <si>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</si>
  <si>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</si>
  <si>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</si>
  <si>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</si>
  <si>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</si>
  <si>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</si>
  <si>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</si>
  <si>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</si>
  <si>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</si>
  <si>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</si>
  <si>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</si>
  <si>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</si>
  <si>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</si>
  <si>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</si>
  <si>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</si>
  <si>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</si>
  <si>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</si>
  <si>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</si>
  <si>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</si>
  <si>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</si>
  <si>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</si>
  <si>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</si>
  <si>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</si>
  <si>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</si>
  <si>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</si>
  <si>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</si>
  <si>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</si>
  <si>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Fecha</t>
  </si>
  <si>
    <t>IDENTIFICACIÓN DE RIESGOS</t>
  </si>
  <si>
    <t>ANÁLISIS</t>
  </si>
  <si>
    <t>VALORACIÓN</t>
  </si>
  <si>
    <t>TRATAMIENTO</t>
  </si>
  <si>
    <t>Área</t>
  </si>
  <si>
    <t>Causa Inmediata (¿Cómo?)</t>
  </si>
  <si>
    <t>Causa Raíz (¿porqué?</t>
  </si>
  <si>
    <t>Subcausas</t>
  </si>
  <si>
    <t>Frecuencia (veces por año)</t>
  </si>
  <si>
    <t>Impacto Inherente</t>
  </si>
  <si>
    <t>Asignación del Responsable</t>
  </si>
  <si>
    <t>Evaluación Diseño control</t>
  </si>
  <si>
    <t>Evaluación  De La Ejecución De Cada Control</t>
  </si>
  <si>
    <t>ZONA DE RIESGO RESIDUAL</t>
  </si>
  <si>
    <t xml:space="preserve">Plan de Acción </t>
  </si>
  <si>
    <t xml:space="preserve">Responsable </t>
  </si>
  <si>
    <t xml:space="preserve">Fecha Implementación </t>
  </si>
  <si>
    <t xml:space="preserve">Fecha Seguimiento  </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</si>
  <si>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</si>
  <si>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</si>
  <si>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</si>
  <si>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</si>
  <si>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</si>
  <si>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</si>
  <si>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 xml:space="preserve">Evidencia de la ejecución del control.	¿Se deja evidencia o rastro de la ejecución del control que permita a cualquier tercero con la evidencia llegar a la misma conclusión?
	</t>
  </si>
  <si>
    <t>Gestión de Inspección y Vigilancia</t>
  </si>
  <si>
    <t>Dirección Técnica de Inspección y Vigilancia</t>
  </si>
  <si>
    <t>Investigaciones fiscales, disciplinarias, penales</t>
  </si>
  <si>
    <t>Manejo de la información en custodia de investigaciones administrativas de manera indebida</t>
  </si>
  <si>
    <t>No se cuenta con el espacio físico adecuado para tener en custodia la información</t>
  </si>
  <si>
    <t>afectación de la imagen de la entidad a nivel nacional, con efecto publicitario sostenido a nivel país</t>
  </si>
  <si>
    <t>Posibilidad de Investigaciones Penales, Disciplinarias y Fiscales debido a la Aprobación de conceptos con valores ,vigencias y ejecutores errados para favorecer a un tercero en la emisión de un concepto para un proyecto de investigación.</t>
  </si>
  <si>
    <t>Corrupción</t>
  </si>
  <si>
    <t>No se ha presentado en los últimos 5 años</t>
  </si>
  <si>
    <t>Verificar aleatoriamente la existencia de los expedientes de investigaciones administrativas a cargo de los abogados (frecuencia)</t>
  </si>
  <si>
    <t>Asignado</t>
  </si>
  <si>
    <t>Adecuado</t>
  </si>
  <si>
    <t>Oportuna</t>
  </si>
  <si>
    <t>Prevenir</t>
  </si>
  <si>
    <t>Confiable</t>
  </si>
  <si>
    <t>Si</t>
  </si>
  <si>
    <t>Completa</t>
  </si>
  <si>
    <t>FUERTE</t>
  </si>
  <si>
    <t>Reducir-Mitigar</t>
  </si>
  <si>
    <t>Reparto de los expedientes mediante acta de asignación y/o AZ Digital, y Seguimiento a la base de datos de expedientes de investigaciones administrativas</t>
  </si>
  <si>
    <t>DIRECTORA TECNICA DE INSPECCION Y VIGILANCIA</t>
  </si>
  <si>
    <t>cuatrimestral</t>
  </si>
  <si>
    <t>Perdida de confianza y credibilidad institucional</t>
  </si>
  <si>
    <t>Apropiación del recurso pesqueros y acuícolas decomisados en los operativos de control</t>
  </si>
  <si>
    <t>Indebida aplicación de los procedimientos de inspección, vigilancia y control</t>
  </si>
  <si>
    <t>Afectación a la imagen de la entidad internamente, de conocimiento general nivel interno, de junta directiva y accionistas y/o de proveedores.</t>
  </si>
  <si>
    <t>Revisión de la información Tecnica recolectada en los reportes de los operativos de control, sobre la dispocision inmediata de los recursos pesqueros y acuicolas decomisados (frecuencia y responsable)</t>
  </si>
  <si>
    <t>Verificar la informacion tecnica sobre la dispocision inmediata de los recursos pesqueros y acuicolas decomisados en los operativos de control.</t>
  </si>
  <si>
    <t>Gestión de la Información y Generación del Conocimiento</t>
  </si>
  <si>
    <t>Oficina de la Generación del Conocimiento y la Información</t>
  </si>
  <si>
    <t>Investigaciones Penales, Disciplinarias y Fiscales.</t>
  </si>
  <si>
    <t>Aprobación de conceptos con valores ,vigencias y ejecutores errados.</t>
  </si>
  <si>
    <t>Favorecimiento a un tercero en la emisión de un concepto para un proyecto de investigación.</t>
  </si>
  <si>
    <t>comportamiento no etico de los profesionales responsables.</t>
  </si>
  <si>
    <t>1.Revisar y controlar cada uno de los Conceptos emitidos por el personal designado de la OGCI.
2. Verificar que en el Procedimiento de Concepto Técnico PR-IC-002 se garantice el cumplimiento de las actividades establecidas en el.
3. Realizar una verificación aleatoria por parte de segundo profesional para que verifique que el concepto este elaborado en forma imparcial.
4.Fortalecer el concepto técnico involucrando ocasionalmente el visto bueno de un segundo profesional."</t>
  </si>
  <si>
    <t>Socialización anual del procedimiento Concepto Técnico PR-IC-002 en su debida aplicación a los profesionales competentes.</t>
  </si>
  <si>
    <t>OGCI</t>
  </si>
  <si>
    <t>Cuatrimestral</t>
  </si>
  <si>
    <t>Atención al Ciudadano</t>
  </si>
  <si>
    <t>Secretaría General Coordinación Administrativa</t>
  </si>
  <si>
    <t>Vulneración de derechos de los usuarios o partes interesadas</t>
  </si>
  <si>
    <t>La atención de las pqrsd de manera inoportuna</t>
  </si>
  <si>
    <t>Debilidad en el compromiso por parte de los funcionarios y colaboradores.</t>
  </si>
  <si>
    <t xml:space="preserve">Falta de controles </t>
  </si>
  <si>
    <t>Al menos 1 vez en los últimos 2 años</t>
  </si>
  <si>
    <t>Se cuenta con una herramienta, la cual ejerce controles y alertas para el cumplimiento de las respuestas de las pqrsd, y tiene parametizado los termino que indica la Ley (Responsable y frecuencia).</t>
  </si>
  <si>
    <t>10</t>
  </si>
  <si>
    <t>Reporte cuatrimestral</t>
  </si>
  <si>
    <t>Daniel Ariza</t>
  </si>
  <si>
    <t>septiembre de 2022</t>
  </si>
  <si>
    <t>Gestión de Talento Humano</t>
  </si>
  <si>
    <t>Secretaría General Coordinación Talento Humano</t>
  </si>
  <si>
    <t>sanciones y pérdidas económicas</t>
  </si>
  <si>
    <t>Innadecuada verificación de requisitos minimos para el cargo a proveer</t>
  </si>
  <si>
    <t>Por falta de información confiable y veraz en los documentos requeridos para la provisión del cargo.</t>
  </si>
  <si>
    <t>Falta de verificación.
Falta de soportes claros.</t>
  </si>
  <si>
    <t>Posibilidad de sanciones y pérdidas económicas por falta de información confiable y veraz en los documentos requeridos para la provisión del cargo.</t>
  </si>
  <si>
    <t>Formato de verificación de requisitos minimos</t>
  </si>
  <si>
    <t>NO APLICA</t>
  </si>
  <si>
    <t>Gestión Financiera</t>
  </si>
  <si>
    <t>Secretaría General (Coordinación Financiera)</t>
  </si>
  <si>
    <t>Afectacion economica</t>
  </si>
  <si>
    <t xml:space="preserve">gestión de los registros de manera inadecuada </t>
  </si>
  <si>
    <t>Inobservancia de la normas legales, contables y procedimientos establecidos sobre registros, obligación y pagos en beneficio de terceros</t>
  </si>
  <si>
    <t>El area de contabilidad  verificaran los requisitos para los registros, (cuenta por pagar, obligación y pago de las obligaciones), por medio de listas de chequeo formalizadas.</t>
  </si>
  <si>
    <t>Realizar seguimiento a la correcta aplicación de los procedimientos para registro (cuenta por pagar, obligación y pago de las obligaciones).</t>
  </si>
  <si>
    <t>Secretaría General 
Coordinación Financiera</t>
  </si>
  <si>
    <t>Manipulación inadecuada de los usuarios, contraseñas y códigos establecidos en el Manual de Seguridad para el Manejo de la Banca Virtual.</t>
  </si>
  <si>
    <t>Debilidades en protocolos de seguridad de acceso a la banca virtual</t>
  </si>
  <si>
    <t>La coordinacion Financiera realizara control y verificación a los parámetros establecidos en el Manual de Seguridad para el Manejo de la Banca Virtual.</t>
  </si>
  <si>
    <t>Realizar seguimiento a la aplicación del Manual de Seguridad para el Manejo de la Banca Virtual.
Actualizar el Manual de Seguridad para el Manejo de la Baanca Virtual. de acuerdo a los cambios que produzca el proveedor de la Banca.x</t>
  </si>
  <si>
    <t>Secretaría General Coordinación Financiera</t>
  </si>
  <si>
    <t>Alteracion y hurto de la informacion financiera</t>
  </si>
  <si>
    <t>Falta de adecuación de un espacio que brinde confiabilidad y seguridad para el desarrollo de los procesos que se llevan a cabo para la generación de la información financiera.</t>
  </si>
  <si>
    <t>Los funcionarios encargados del area de presupuesto, contabilidad y tesoreria realizara inspeccion a los puestos de trabajo del grupo grupo de gestión financiera para mejorar la custodia de los soportes de información y operaciones financieras de la entidad</t>
  </si>
  <si>
    <t>VALORACIÓN RR CORRUPCIÓN'!A3</t>
  </si>
  <si>
    <t>Verificación de los puestos de trabajo del grupo grupo de gestión financiera.
Mejorar la custodia de los soportes de información y operaciones financieras de la entidad</t>
  </si>
  <si>
    <t>Gestión Documental</t>
  </si>
  <si>
    <t>Favorecimiento de terceros</t>
  </si>
  <si>
    <t>Acceso a los archivos documentales de la entidad no controlado</t>
  </si>
  <si>
    <t>Falta de control para acceder a los archivos documentales de la entidad</t>
  </si>
  <si>
    <t>Falta de controles
Falta de seguimiento a los prestamos documentales</t>
  </si>
  <si>
    <t>Verificar la planilla de prestamos documentales en donde figuren los datos de la persona que solicita el expediente por parte del Profesioal Universitario 11 con funciones de GD y con una frecuencia cuatrimestral.</t>
  </si>
  <si>
    <t>Revisar las acciones de monitoreo con el fin de encontrar fallas en las mismas</t>
  </si>
  <si>
    <t>PROFESIONAL UNIVERSITARIO 11 CON FUNCIONES DE GD</t>
  </si>
  <si>
    <t>CUATRIMESTRAL</t>
  </si>
  <si>
    <t>Sanciones disciplinarias</t>
  </si>
  <si>
    <t>defensa judicial inadecuada</t>
  </si>
  <si>
    <t>Hacer caso omiso en las actuaciones jurídicas en las cuales esta involucrada la entidad a favor de terceros.</t>
  </si>
  <si>
    <t>*Falta de ética profesional. (no se identifica el como)
*Indebida valoración de las pruebas o soportes. 
*Omisiones en las funciones de supervisión.
*Presiones de tipo político o personal. 
*Inadecuada aplicación de la normatividad vigente. 
*Inobservancia de la normatividad.
*Conciliaciones inadecuadas.</t>
  </si>
  <si>
    <t>Revisión de la plataforma EKOGUI-RAMA JUDICIAL y el correo de notificaciones judiciales de la entidad de manera diaria por parte de los abogados de la OAJ.</t>
  </si>
  <si>
    <t>NA</t>
  </si>
  <si>
    <t>Sanciones económicas</t>
  </si>
  <si>
    <t>Manejo interno de los expedientes de manera inadecuada</t>
  </si>
  <si>
    <t>Omisión de los lineamientos y normativas internas y externas en gestión documental en el préstamo de expedientes que reposan en el archivo de la OAJ en favor de terceros</t>
  </si>
  <si>
    <t>Al menos 1 vez en los últimos 5 años</t>
  </si>
  <si>
    <t>Se realiza control interno de los expedientes y archivos, de manera continua por parte del cargo de secretaria ejecutiva de la OAJ.
Publicación en la plataforma EKOGUI-RAMA JUDICIAL de los soportes de los expedientes.</t>
  </si>
  <si>
    <t>Evaluación, Seguimiento y Control</t>
  </si>
  <si>
    <t>Dirección General - Control Interno</t>
  </si>
  <si>
    <t>afectación reputacional</t>
  </si>
  <si>
    <t>por investigaciones de
entes de control</t>
  </si>
  <si>
    <t>tergiversación del procedimiento de auditoría interna</t>
  </si>
  <si>
    <t>deterioro de la integridad del auditor y presiones indebidas</t>
  </si>
  <si>
    <t>posibilidad de que un auditor introduzca sesgos intencionales para desviar un trabajo de auditoría en beneficio privado.</t>
  </si>
  <si>
    <t>Los auditores realizarán los trabajos de manera grupal para mitigar la posibilidad de sesgos intencionales en la determinación de criterios, en el manejo de muestras e información o en los análisis. Si un auditor presenta inconformidad frente al proceder de otro (detección de desviaciones), el asesor de control interno determinará las acciones pertinentes, de lo cual se deja evidencia en los papeles de trabajo.</t>
  </si>
  <si>
    <t>VALORACIÓN RR CORRUPCIÓN'!A4</t>
  </si>
  <si>
    <t>Anualmente, el asesor de control interno si es posible con el apoyo de terceros (función pública, comité sectorial de auditoría interna, universidades, consultores, etc) capacita el equipo de trabajo sobre la política de control interno, el rol de la unidad de auditoría interna, los lineamientos para auditorías internas basadas en riesgos, el estatuto de auditoría interna, el código de ética del auditor interno y las normas internacionales de auditoría interna.</t>
  </si>
  <si>
    <t>asesor de control interno</t>
  </si>
  <si>
    <t>31/01/202x</t>
  </si>
  <si>
    <t>Frente a un trabajo, cada auditor verificará si se encuentra en conflicto de intereses al serle designado o si ello sobreviene durante el trabajo. Si es asi, lo declarará según el procedimiento establecido y el asesor de control interno reasignará el trabajo a un auditor sin impedimento, de lo cual se deja evidencia en los papeles de trabajo. Así mismo, si un auditor detecta que otro se encuentra en posible situción de conflicto de interes así lo comunicará con el debido cuidado profesional al asesor de control interno para que este deternime lo pertinente.</t>
  </si>
  <si>
    <t>Cuando un auditor ingrese al equipo de trabajo, el asesor de control interno asegura que el auditor suscriba su compromiso ético como auditor en manifestación de su voluntad de integridad y transparencia.</t>
  </si>
  <si>
    <t>El asesor de control interno con el apoyo del equipo de trabajo revisan cada informe preliminar antes de ser remitido al auditado para asegurar su objetividad, independencia, precisión, integralidad, oportunidad y aporte de valor. Se realizan los ajustes pertinentes si el equipo presenta objeciones, de lo cual se deja evidencia en los papeles de trabajo.</t>
  </si>
  <si>
    <t>Gestión de Administración y Fomento</t>
  </si>
  <si>
    <t>Dirección Técnica de Administración y Fomento</t>
  </si>
  <si>
    <t xml:space="preserve">- Hallazgos en auditorías internas y externas.
- Investigaciones penales
- Incertidumbre en la gestión y procesos, el cumplimiento del objetivo de los procesos y la misionalidad 
- Enriquecimiento ilicito </t>
  </si>
  <si>
    <t xml:space="preserve">
- Inaplicación de los procedimientos para los diferentes trámites
- Omision del procedimiento</t>
  </si>
  <si>
    <t xml:space="preserve">- Interes economico del funcionario o contratista </t>
  </si>
  <si>
    <t xml:space="preserve">- Beneficio economico personal 
- Falta de etica y valores por parte de la persona quienn comete el hecho </t>
  </si>
  <si>
    <t xml:space="preserve">Posibilidad de cobro por expedir el carné de pesca artesanal o cobro indebido de los trámites registrado, sin la debida revisión documental e incumplimiento de los requisitos por garantizar o acelerar la expedición del carné o trámite, omitiendo el procedimiento o por un interes o beneficio economico </t>
  </si>
  <si>
    <t xml:space="preserve">- Realizacion de instagram live sobre todos los tramites de la AUNAP y sus caracteristicas 
- Divulgación de la información y caracteristicas de los trámites en pagina web </t>
  </si>
  <si>
    <t>No Asignado</t>
  </si>
  <si>
    <t>No existe</t>
  </si>
  <si>
    <t>'VALORACIÓN RR CORRUPCIÓN'!A1</t>
  </si>
  <si>
    <t xml:space="preserve">- Socialización de información  del tramite de carné </t>
  </si>
  <si>
    <t xml:space="preserve">LIDER DTAF </t>
  </si>
  <si>
    <t xml:space="preserve">Abril 
Agosto
Diciembre
</t>
  </si>
  <si>
    <t xml:space="preserve">Activo </t>
  </si>
  <si>
    <t>- Investigaciones disciplinarias y penales
- Perdida de confianza y credibilidad institucional
- Reprocesos 
- Algunas colectividades pierden oportunidad de beneficiarse 
- Transgredir las normas legales y los principios éticos
- Incumplimiento de manera intencionada del principio de imparcialidad y de la Ley</t>
  </si>
  <si>
    <t>- Interés personales,
- Trafico de influencias y sobornos</t>
  </si>
  <si>
    <t xml:space="preserve">- Favorecimiento por algun tipo de interes por parte del funcionario o contratista que realiza la acción
- Falta de etica y valores profesionales 
- Ausencia de compromiso con la Entidad </t>
  </si>
  <si>
    <t xml:space="preserve">- Beneficio economico personal  
- Fragilidad institucional </t>
  </si>
  <si>
    <t xml:space="preserve">Posibilidad de atender a colectividades del programa de fomento, sin el lleno de requisitos estableciendo la selección de los posibles beneficiarios, por parte de las direcciones regionales debido a la omisión de los criterios establecidos por la DTAF </t>
  </si>
  <si>
    <t xml:space="preserve">- Expedicion y socialización de la Reglamentacion vigente 
- Socializacion y publicacion del procedimiento del programa de Fomento </t>
  </si>
  <si>
    <t>VALORACIÓN RR CORRUPCIÓN'!A2</t>
  </si>
  <si>
    <t xml:space="preserve">-Socializaciones y publicacion </t>
  </si>
  <si>
    <t>Posibilidad de expedición de documento invalido por utilización indebida de la firma del Representante legal de la AUNAP debido a un interés económico</t>
  </si>
  <si>
    <t xml:space="preserve">- Expedicion y socialización de la Reglamentacion vigente 
- Socializacion y publicacion del procedimiento </t>
  </si>
  <si>
    <t xml:space="preserve">Posibilidad de pérdida de material biológico en las estaciones a cargo de la AUNAP generando retraso en los procesos biológicos e incapacidad de cobertura para el fomento asi como el detrimento económico, debido a la debilidad en los controles </t>
  </si>
  <si>
    <t xml:space="preserve">- Aplicabilidad de controles 
- Realizar visitas a las estaciones </t>
  </si>
  <si>
    <t>Detectar</t>
  </si>
  <si>
    <t xml:space="preserve">- Visitas y controles </t>
  </si>
  <si>
    <t>Gestión de Control Interno Disciplinario</t>
  </si>
  <si>
    <t>Secretaría General</t>
  </si>
  <si>
    <t>•Perdida de imagen institucional, Pérdida de credibilidad y Vulneracion de derechos..</t>
  </si>
  <si>
    <t>Ausencia de controles o insuficiencia de los mismos. Escaso seguimiento de los superiores.</t>
  </si>
  <si>
    <t>Evaluación inadecuada de la queja o la denuncia en beneficio particular.</t>
  </si>
  <si>
    <t>Autocontrol de proceso
Seguimiento a la evaluación por parte del jefe de la dependencia</t>
  </si>
  <si>
    <t>N/A</t>
  </si>
  <si>
    <t>Insuficiencia de los controles</t>
  </si>
  <si>
    <t>Prescripcion por mora intencional en beneficio particular</t>
  </si>
  <si>
    <t>Autocontrol de proceso
Seguimiento por parte del Jefe de la Dependencia</t>
  </si>
  <si>
    <t>•Perdida de imagen institucional, Pérdida de credibilidad, Vulneracion de derechos y Daño patrimonial al Estado</t>
  </si>
  <si>
    <t>No aplicación del debido proceso, de manera deliberada.
Insuficiencia de los controles</t>
  </si>
  <si>
    <t>Proferir fallos contra derecho en beneficio particular</t>
  </si>
  <si>
    <t>Seguimiento del trabajo del operador.
Capacitación en cultura de la legalidad e Integridad
Capacitación en temas de derecho disciplinario</t>
  </si>
  <si>
    <t>•Perdida de imagen institucional,  Pérdida de credibilidad, Vulneracion de derechos y Daño patrimonial al Estado</t>
  </si>
  <si>
    <t>No aplicación del procedimiento establecido</t>
  </si>
  <si>
    <t>No enviar para registro las sanciones ejecutoriadas</t>
  </si>
  <si>
    <t>Seguimiento al registro de las sanciones ejecutoriadas</t>
  </si>
  <si>
    <t>Dirección General</t>
  </si>
  <si>
    <t>Gestión Jurídica</t>
  </si>
  <si>
    <t>Se realiza control interno de los expedientes y archivos, de manera continua  por parte del cargo de secretaria ejecutiva de la OAJ.
Publicación en la plataforma EKOGUI-RAMA JUDICIAL de los soportes de los expedientes.</t>
  </si>
  <si>
    <t>probabilidad</t>
  </si>
  <si>
    <t>IMPACTO DEL RIESGO</t>
  </si>
  <si>
    <t>ALTA</t>
  </si>
  <si>
    <t>CATASTRÓFICO</t>
  </si>
  <si>
    <t>MEDIA</t>
  </si>
  <si>
    <t>MODERADO</t>
  </si>
  <si>
    <t>BAJA</t>
  </si>
  <si>
    <t>LEVE</t>
  </si>
  <si>
    <t>Riesgo</t>
  </si>
  <si>
    <t>Activo de Información</t>
  </si>
  <si>
    <t>Tipo de activo</t>
  </si>
  <si>
    <t>Amenaza</t>
  </si>
  <si>
    <t>Tipo de Amenaza</t>
  </si>
  <si>
    <t>Probabilidad residual final</t>
  </si>
  <si>
    <t>Impacto residual final</t>
  </si>
  <si>
    <t>Acción</t>
  </si>
  <si>
    <t>Direccionamiento Estratégico</t>
  </si>
  <si>
    <t>Pérdida de la disponibilidad de activos.</t>
  </si>
  <si>
    <t>Información documentada Sistema Integrado de Gestión</t>
  </si>
  <si>
    <t>Información</t>
  </si>
  <si>
    <t>hurto de información</t>
  </si>
  <si>
    <t>falta de políticas de seguridad digital, ausencia de políticas de control de acceso, contraseñas sin protección, autenticación debil.</t>
  </si>
  <si>
    <t>Seguridad de la Información</t>
  </si>
  <si>
    <t xml:space="preserve">Limitar el acceso a los documentos del SIG unicamente usuarios con correo institucional </t>
  </si>
  <si>
    <t>x</t>
  </si>
  <si>
    <t>Con registro</t>
  </si>
  <si>
    <t>No aplica</t>
  </si>
  <si>
    <t>3 a 24</t>
  </si>
  <si>
    <t>Generar solo dos cuentas administradoras en la plataforma intranet con claves para el cargue y administración de los documentos SIG.</t>
  </si>
  <si>
    <t>25 a 500</t>
  </si>
  <si>
    <t>Comunicación Estratégica</t>
  </si>
  <si>
    <t>Pérdida del a Integridad</t>
  </si>
  <si>
    <t xml:space="preserve">Usuario en canales digitales e información institucional </t>
  </si>
  <si>
    <t>Desconocimiento de directrices relacionadas con la seguridad digital</t>
  </si>
  <si>
    <t>Leve</t>
  </si>
  <si>
    <t>Verificación bimestral por parte del equipo de comunicaciones del uso de contraseñas seguras (combinar diferentes caracteres)</t>
  </si>
  <si>
    <t>X</t>
  </si>
  <si>
    <t xml:space="preserve">Realizar un informe que evidencie el desarrollo de cada uno de los controles establecidos para evitar que se efectúe el riesgo. </t>
  </si>
  <si>
    <t>Comunicaciones</t>
  </si>
  <si>
    <t>Noviembre-Diciembre</t>
  </si>
  <si>
    <t>Renovar de manera bimestral por parte del equipo de comunicaciones Periodicamente las contraseñas de los canales digitales</t>
  </si>
  <si>
    <t>Dirección Técnica de
 Inspección y Vigilancia</t>
  </si>
  <si>
    <t>Pérdida de la confidencialidad</t>
  </si>
  <si>
    <t>base de datos de las actuaciones administrativas y soportes actas de asignación de los expedientes (investigaciones administratiovas)</t>
  </si>
  <si>
    <t>Quede la información guardada  en los Responsable al retirarse de la institución.</t>
  </si>
  <si>
    <t>Perdida de la trazabilidad  de la Información</t>
  </si>
  <si>
    <t>Verificar las actas de entrega de expedientes y/Az Digital</t>
  </si>
  <si>
    <t xml:space="preserve"> Reparto aleatorio de los expedientes de investigaciones administrativas mediante acta de asignación y/o Az digital.</t>
  </si>
  <si>
    <t>DIRECTORA TECNICA DE INSPECCIÓN Y VIGILANCIA</t>
  </si>
  <si>
    <t xml:space="preserve">Actualizar la base de datos de expedientes de investigaciones administrativas </t>
  </si>
  <si>
    <t>Resgitro informes tecnico y los soportes.</t>
  </si>
  <si>
    <t xml:space="preserve">Perdida de la información </t>
  </si>
  <si>
    <t>perdida de la información</t>
  </si>
  <si>
    <t>Verificar las actas de decomiso preventivo. (responsable, frecuencia)</t>
  </si>
  <si>
    <t>Verificar las actas y contratos</t>
  </si>
  <si>
    <t>Verificar las actas de donación  (responsable, frecuencia)</t>
  </si>
  <si>
    <t>Verificar las actas venta directa. (responsable, frecuencia)</t>
  </si>
  <si>
    <t>Coordinación Administrativa</t>
  </si>
  <si>
    <t xml:space="preserve">Datos personales </t>
  </si>
  <si>
    <t>Robo de la información</t>
  </si>
  <si>
    <t>Se puede presentar la perdida de los datos personales, en cuanto a falta de seguridad informatica y de copias de seguridad</t>
  </si>
  <si>
    <t>Seguridad de la información</t>
  </si>
  <si>
    <t>Se cuenta con un gestor documental donde se presentan alertas para llevar un control sobre las respuestas de las pqrsd en los términos de ley Az-Diigital</t>
  </si>
  <si>
    <t>Se realizará Verificación manual de la información, ejerciendo un control en los tiempos de respuesta.</t>
  </si>
  <si>
    <t>Sin documentar</t>
  </si>
  <si>
    <t>Coordinación Talento Humano</t>
  </si>
  <si>
    <t>Hojas de vida</t>
  </si>
  <si>
    <t>Perdida de la información custodiada en las hojas de vida</t>
  </si>
  <si>
    <t xml:space="preserve">Perdida de información </t>
  </si>
  <si>
    <t>Listas de chequeo de los documentos básicos que debe tener la hoja de vida</t>
  </si>
  <si>
    <t xml:space="preserve">Control a través de las solicitudes de información </t>
  </si>
  <si>
    <t>Gestión Contratación</t>
  </si>
  <si>
    <t>Coordinación grupo Contractual</t>
  </si>
  <si>
    <t xml:space="preserve">Custodia de los expedientes contractuales </t>
  </si>
  <si>
    <t>Pérdida de la información a cargo del Grupo de Gestión Contractual</t>
  </si>
  <si>
    <t>Hurto de información</t>
  </si>
  <si>
    <t>Implementación procedimiento de préstamo de expedientes contractuales</t>
  </si>
  <si>
    <t>Elaborar e implementar el procedimiento de préstamo de expedientes contractuales</t>
  </si>
  <si>
    <t>Grupo de Gestión Contractual</t>
  </si>
  <si>
    <t>Coordinación grupo financiera</t>
  </si>
  <si>
    <t>base de datos de la informacion contable y financiera</t>
  </si>
  <si>
    <t>Hurto la información contable y financiera</t>
  </si>
  <si>
    <t>Error en el reconocimiento y revelación de las transacciones, los hechos y las operaciones financieras, económicas, sociales y ambientales</t>
  </si>
  <si>
    <t>Los funcionarios encargados de las funcion contables, presupuesto y tesoreria verificaran el procedimiento establecido para el control de la cadena presupuestal de manera mensual</t>
  </si>
  <si>
    <t>Realizar reuniones Internas para para recibir retroalimentación de los controles del Procedimiento de Cadena Presupuestal</t>
  </si>
  <si>
    <t>Secretaría General
Coordinadión Financiera</t>
  </si>
  <si>
    <t>Hurto y alteracion de los soportes financieros</t>
  </si>
  <si>
    <t>Expedir certificados de disponibilidad y registros de compromisos presupestal sin los soportes necesarios</t>
  </si>
  <si>
    <t>El jefe de presupuesto revisara los documentos requeridos para la expedición de CDP y RP</t>
  </si>
  <si>
    <t>Realizar seguimiento a la doocumetación requerida para la expedición de CDP y RP.</t>
  </si>
  <si>
    <t>Expedientes documentales de la entidad</t>
  </si>
  <si>
    <t>Falta de controles de acceso físico</t>
  </si>
  <si>
    <t>Hurto de información/modificación no autorizada</t>
  </si>
  <si>
    <t>Seguridad de Información</t>
  </si>
  <si>
    <t>Control 1. Controles definidos en el préstamo de expedientes</t>
  </si>
  <si>
    <t>Seguimiento a los prestamos de documentos mayores a 15 días y revisión de los documentos del expediente</t>
  </si>
  <si>
    <t>Control 2. Seguimiento a los expedientes en prestamo mayores a 15 días.</t>
  </si>
  <si>
    <t>Control 3. Revisión del expediente luego de ser prestado.</t>
  </si>
  <si>
    <t>Gestión Servicios TIC</t>
  </si>
  <si>
    <t>Hardware y software</t>
  </si>
  <si>
    <t>Hardware</t>
  </si>
  <si>
    <t>pérdida de información
mala prestación del servicio 
incumplimiento en la generación de productos</t>
  </si>
  <si>
    <t>mal funcionamiento del equipo</t>
  </si>
  <si>
    <t>falla tecnológica</t>
  </si>
  <si>
    <t>Establecer un cronograma de mantenimiento anual, por el funcionario grado 11 con funciones de TICS</t>
  </si>
  <si>
    <t>Implementar cronograma de mantenimiento preventivo</t>
  </si>
  <si>
    <t>Hacer seguimiento sobre las carpetas creadas en los servidores y su backup en la infraestructura de hiperconvergenia.</t>
  </si>
  <si>
    <t>Datos 
Recurso humano</t>
  </si>
  <si>
    <t>uso de información confidencial de manera indebida por e recurso humano de la entidad</t>
  </si>
  <si>
    <t>Criminal de la computación</t>
  </si>
  <si>
    <t>fraude interno</t>
  </si>
  <si>
    <t>Mantener control sobre las vigencias y actualizaciones de los servidores y licencias que son de uso de la AUNAP</t>
  </si>
  <si>
    <t>Mantener actualizada la plataforma de servidores, firewall e infraestructura de red.</t>
  </si>
  <si>
    <t>OGCI - TICS</t>
  </si>
  <si>
    <t>Hacer seguimiento de los compromisos de confidencialidad diligenciados por contratistas para el mantenimiento de confidencialidad de la información</t>
  </si>
  <si>
    <t>Complementar los instrumentos que garanticen la seguridad de la información (acuerdo de confidencialidad para contratistas ).</t>
  </si>
  <si>
    <t>Gestión Control Interno Disciplinario</t>
  </si>
  <si>
    <t>Información física o digital</t>
  </si>
  <si>
    <t>Pérdida de expedientes o piezas procesales en beneficio particular o de terceros</t>
  </si>
  <si>
    <t>Seguridad digital y fisica</t>
  </si>
  <si>
    <t>Riesgo de Seguridad de la Información</t>
  </si>
  <si>
    <t>Control 1 Consecución de elementos apropiados para conservar la seguridad de los expedientes</t>
  </si>
  <si>
    <t>Garantizar la seguridad y custodia del archivo de los expedientes .</t>
  </si>
  <si>
    <t>Secretaria General</t>
  </si>
  <si>
    <t>Cutrimestral</t>
  </si>
  <si>
    <t>Activo</t>
  </si>
  <si>
    <t>Control 2 Capacitación en gestión documental a los operadores.</t>
  </si>
  <si>
    <t>Fecha:</t>
  </si>
  <si>
    <t>ATENCIÓN AL CIUDADANO</t>
  </si>
  <si>
    <t>COMUNICACIÓN ESTRATÉGICA</t>
  </si>
  <si>
    <t>Divulgación de comunicaciones oficiales en medios sin la debida apropiación de procedimientos y protocolos para el manejo de la información</t>
  </si>
  <si>
    <t>Deficiencia en la validación técnica previa de la información</t>
  </si>
  <si>
    <t>Posibilidad de perdida reputacional por divulgación de comunicaciones oficiales en medios sin la debida apropiación de procedimientos y protocolos para el manejo de la información debido a la deficiencia en la validación técnica previa de la información</t>
  </si>
  <si>
    <t>El área de comunicación estratégica valida el cumplimiento de procedimiento de comunicaciones PR-CE-001 para evitar la divulgación de información oficial errónea</t>
  </si>
  <si>
    <t>El área de comunicación estratégica realiza doble revisión de los insumos de la información para garantizar la veracidad del material de divulgación oficial</t>
  </si>
  <si>
    <t>Denuncia realizadas por el autor</t>
  </si>
  <si>
    <t>Uso de material audiovisual producido por terceros sin la debida autorización previa del propietario</t>
  </si>
  <si>
    <t>Posibilidad de perdida económica y reputacional por denuncias realizadas por el autor debido al uso de material audiovisual producido por terceros sin la debida autorización previa del propietario</t>
  </si>
  <si>
    <t xml:space="preserve">El área de comunicaciones realiza capacitaciones a todo el personal para evitar usar imágenes audiovisuales con derechos de autor	</t>
  </si>
  <si>
    <t xml:space="preserve">El área de comunicaciones controla a través de doble revisión de los material audiovisual de todos los productos generados para no incurrir en la publicación de material no autorizado	</t>
  </si>
  <si>
    <t>DIRECCIONAMIENTO ESTRATÉGICO</t>
  </si>
  <si>
    <t>Incumplimiento en los estándares de calidad en los documentos del SIG</t>
  </si>
  <si>
    <t>Debilidades en la aplicación de mecanismos de verificación, validación y/o controles a las actividades realizadas por las áreas</t>
  </si>
  <si>
    <t>Posibilidad de pérdida reputacional por incumplimiento en los estándares de calidad en los documentos del SIG debido a debilidades en la aplicación de mecanismos de verificación, validación y/o controles a las actividades realizadas por las áreas</t>
  </si>
  <si>
    <t>Debilidades en la identificación, diseño, seguimiento y evaluación de los riesgos y los controles</t>
  </si>
  <si>
    <t>Profesional Especializado Grado 14 con funciones de planeación realiza actividades de reinducción a las áreas de la entidad en gestión integral del riesgo para garantizar la apropiación de los lineamientos de la metodología que se aplica</t>
  </si>
  <si>
    <t>Inefectividad de las acciones de mejora</t>
  </si>
  <si>
    <t>Debilidad en el diseño y la implementación de los planes de mejoramiento</t>
  </si>
  <si>
    <t>Posibilidad de pérdida reputacional por la inefectividad de las acciones de mejora debido a la debilidad en el diseño y la implementación de los planes de mejoramiento</t>
  </si>
  <si>
    <t>Debilidad en su formulación y estructuración</t>
  </si>
  <si>
    <t>GESTIÓN ADMINISTRATIVA</t>
  </si>
  <si>
    <t>Pérdida de activos</t>
  </si>
  <si>
    <t>GESTIÓN DE CONTRATACIÓN</t>
  </si>
  <si>
    <t>No devolución del recurso no ejecutado por parte del contratista</t>
  </si>
  <si>
    <t>Débil custodia de los expedientes contractuales</t>
  </si>
  <si>
    <t>Indebida revisión de los requisitos legales</t>
  </si>
  <si>
    <t>El Líder del Grupo de Gestión contractual establece puntos de control para la revisión de los contratos desde la etapa precontractual para suscribir el contrato de manera óptima</t>
  </si>
  <si>
    <t>GESTIÓN DE CONTROL INTERNO DISCIPLINARIO</t>
  </si>
  <si>
    <t>Mapa Riesgos de Gestión - AUNAP</t>
  </si>
  <si>
    <t>Posibilidad de pérdida reputacional por la demora en el trámite y/o la inadecuada evaluación de quejas o informes debido a la insuficiencia de personal y/o a un inadecuado seguimiento de la actividad</t>
  </si>
  <si>
    <t>Insuficiencia de personal y/o a un inadecuado seguimiento de la actividad</t>
  </si>
  <si>
    <t>Demora en el trámite y/o la inadecuada evaluación de quejas o informes</t>
  </si>
  <si>
    <t>El Líder de Control Interno Disciplinario - en etapa de instrucción-, verifica la gestión del técnico administrativo en la revisión del ingreso de correspondencia relacionada con quejas o informes para realizar el correspondiente reparto al abogado sustanciador</t>
  </si>
  <si>
    <t>Pérdida de piezas procesales y/o expedientes disciplinarios en físico</t>
  </si>
  <si>
    <t>El abogado especializado de Control Disciplinario Interno, realiza monitoreo periódico a los expedientes, verificando la existencia de todos los activos, y se procura la digitalización de los expedientes nuevos</t>
  </si>
  <si>
    <t>Interés particular y/o en favorecimiento de terceros</t>
  </si>
  <si>
    <t>El Líder Grupo de Control Disciplinario Interno, realiza verificación periódica de los asuntos a cargo de la oficina con el propósito de verificar que se estén adelantando los procesos con apego a la ley; se genera control frente a la emisión de información, y se verifica la existencia de intereses particulares en el trámite y decisión de los procesos</t>
  </si>
  <si>
    <t>GESTIÓN DE INSPECCIÓN Y VIGILANCIA</t>
  </si>
  <si>
    <t>Incremento en las infracciones de la normatividad pesquera y la acuicultura por parte de los grupos de interés</t>
  </si>
  <si>
    <t>La DTIV solicita mensualmente el cronograma de operativos a las Direcciones Regionales y al equipo de apoyo a operativos a Nivel Central, para el seguimiento al cumplimiento de metas del Plan de Acción</t>
  </si>
  <si>
    <t>La DTIV realiza el seguimiento quincenal de los operativos programados y efectivamente desarrollados para validar el cumplimiento del cronograma previamente acordado con las Direcciones Regionales y el equipo de apoyo del nivel central</t>
  </si>
  <si>
    <t>Retrasos en el agotamiento de las etapas procesales de las investigaciones administrativas sancionatorias</t>
  </si>
  <si>
    <t>El Coordinador del grupo interno de trabajo de registro y estadísticas de pesca y acuicultura verifica que el operador haya realizado la capacitación al personal de campo de acuerdo con lo establecido en el MN-IV-007V1 manual operativo, a través del formato FT-IV-051 V2 de seguimiento y medición al desarrollo de la operacion estadística en el componente de entrenamiento de personal, para garantizar la idoneidad y fortalecer los conocimientos de los colectores de campo</t>
  </si>
  <si>
    <t>Generación de datos no continuos, inexactos e inoportunos en la operaciòn estadìstica:desembarcos de las pesquerías industriales en municipios donde existen puertos pesqueros industriales</t>
  </si>
  <si>
    <t xml:space="preserve">El Coordinador del grupo interno de trabajo de registro y estadísticas de pesca y acuicultura verifica que el operador haya realizado la capacitación al personal de campo de acuerdo con lo establecido en el MN-IV-007V1 manual operativo, a través del formato FT-IV-051 V2 de seguimiento y medición al desarrollo de la operacion estadística en el componente de entrenamiento de personal, para garantizar la idoneidad y fortalecer los conocimientos de los colectores de campo	</t>
  </si>
  <si>
    <t>Posibilidad de pérdida reputacional por la expedición errónea de los permisos y/o patentes debido a la inobservancia de los requisitos y procedimientos establecidos en la normatividad vigente</t>
  </si>
  <si>
    <t>GESTIÓN DE LA ADMINISTRACIÓN Y FOMENTO</t>
  </si>
  <si>
    <t>Expedición errónea de los permisos y/o patentes</t>
  </si>
  <si>
    <t>Inobservancia de los requisitos y procedimientos establecidos en la normatividad vigente</t>
  </si>
  <si>
    <t>Posibilidad de pérdida reputacional por el incumplimiento de los tiempos establecidos para cada trámite debido al desconocimiento de la normatividad aplicable y el control pertinente de los tiempos de respuesta</t>
  </si>
  <si>
    <t>Incumplimiento de los tiempos establecidos para cada trámite</t>
  </si>
  <si>
    <t>Desconocimiento de la normatividad aplicable y el control pertinente de los tiempos de respuesta</t>
  </si>
  <si>
    <t xml:space="preserve">La DTAF de acuerdo con la norma en la expedición de los permisos y/o patentes controla, revisa y verifica semanalmente el cumplimiento de los tiempos de respuesta de las diferentes solicitudes a través de la matriz de la asignación de tramites para cumplir los tiempos de oportunidad del servicio	</t>
  </si>
  <si>
    <t>Omisión, inobservancia, falta de intéres, sentido de pertenencia y/o compromiso de parte de las direcciones regionales</t>
  </si>
  <si>
    <t>Inaplicabilidad de los lineamientos impartidos desde la DTAF</t>
  </si>
  <si>
    <t>La DTAF realiza mesas de trabajo y capacitaciones para la definición, prorización y socializaciòn de acciones misionales a travès de memorandos que impartan directrices desde la Direcciòn Tecnica</t>
  </si>
  <si>
    <t>Posibilidad de pérdida economica y reputacional por la emisión de conceptos de investigación sin las condiciones técnicas requeridas debido a debilidades en el análisis técnico de la información por desconocimiento del procedimiento Concepto Técnico PR-IC-00</t>
  </si>
  <si>
    <t>GESTIÓN DE LA INFORMACIÓN Y GENERACIÓN DEL CONOCIMIENTO</t>
  </si>
  <si>
    <t>Emisión de conceptos de investigación sin las condiciones técnicas requeridas</t>
  </si>
  <si>
    <t>Debilidades en el análisis técnico de la información por desconocimiento del procedimiento Concepto Técnico PR-IC-002</t>
  </si>
  <si>
    <t>Incumplimiento de los términos legales ( ley 1755/2015) para responder solicitudes de los conceptos recibidos</t>
  </si>
  <si>
    <t xml:space="preserve">Líder de Proceso y contratista de apoyo diligencia la matriz digital donde se relacionan cada una de las solicitudes de conceptos técnicos que llegan, señalando fecha de llegada, fechas de respuesta, destinatario y descripción del concepto para llevar el registro de las solicitudes y respuestas	</t>
  </si>
  <si>
    <t>El líder del proceso revisa y verifica con el profesional de apoyo a la gestión, el cumplimiento del procedimiento de emisión de conceptos tecnicos para evitar la ocurrencia del riesgo</t>
  </si>
  <si>
    <t>El líder de proceso elabora una carpeta soporte que contenga los conceptos tecnicos emitidos con el fin de soportar el cumplimiento del procedimiento PR_OGCI 01-V2 con el fin de minimizar la ocurrencia del riesgo</t>
  </si>
  <si>
    <t>Incumplimiento de lo establecido en manual se supervisión e interventoría de la entidad</t>
  </si>
  <si>
    <t>El lider de proceso con apoyo del profesional contratista solicita de manera periódica los informes relacionados con la ejecución de las actividades previstas para el cumplimiento del objeto contractual con el fin de verificar los informes allegados por parte del supervisor para poder evidenciar una ejecución adecuada</t>
  </si>
  <si>
    <t>El lider de proceso con el apoyo del profesional contratista socializa a los funcionarios y/o contratistas designados supervisores el manual de supervisión e interventoría de la Entidad y el procedimiento seguimiento a proyectos de investigación con el fin de minimizar la ocurrencia del riesgo</t>
  </si>
  <si>
    <t>Posibilidad de pérdida económica por demandas que se interpongan debido a errores en la liquidación de la nómina y/o prestaciones sociales</t>
  </si>
  <si>
    <t>GESTIÓN DEL TALENTO HUMANO</t>
  </si>
  <si>
    <t>Demandas que se interpongan</t>
  </si>
  <si>
    <t>Errores en la liquidación de la nómina y/o prestaciones sociales</t>
  </si>
  <si>
    <t>El operador disciplinario, o los demás funcionarios influyan indebidamente en las decisiones emitidas, o en la filtración de información bajo reserva</t>
  </si>
  <si>
    <t>GESTIÓN DOCUMENTAL</t>
  </si>
  <si>
    <t>Posibilidad de pérdida económica y reputacional por sanciones económicas generadas por organismos de control o fallo judicial e insatisfacción manifestada por servidores públicos y/o grupos de interés, debido a pérdida de documentos físicos y/o digitales</t>
  </si>
  <si>
    <t>Sanciones económicas generadas por organismos de control o fallo judicial e insatisfacción manifestada por servidores públicos y/o grupos de interés</t>
  </si>
  <si>
    <t>Pérdida de documentos físicos y/o digitales</t>
  </si>
  <si>
    <t>líder del proceso elabora y mantiene actualizado el inventario físico y documental de conformidad con las tablas de retención documental para evitar la pérdida del acervo documental de la entidad</t>
  </si>
  <si>
    <t>Posibilidad de perdida económica por incorrecto diligenciamiento de la información registrada en el liquidador en Excel de las cuentas de cobro y/o facturas a cargo de la Entidad, debido a error involuntario del responsable de realizar las liquidaciones</t>
  </si>
  <si>
    <t>GESTIÓN FINANCIERA</t>
  </si>
  <si>
    <t>Incorrecto diligenciamiento de la información registrada en el liquidador en Excel de las cuentas de cobro y/o facturas a cargo de la Entidad</t>
  </si>
  <si>
    <t>Error involuntario del responsable de realizar las liquidaciones</t>
  </si>
  <si>
    <t>Posibilidad de perdida económica y reputacional por incumplimiento de los tiempos en el registro, presentacion y/o entrega de la informacion financiera y tributaria requerida, debido a inobservancia a los terminos establecidos en la nomatividad vigente y/o fallas en las plataformas tecnologicas</t>
  </si>
  <si>
    <t>Incumplimiento de los tiempos en el registro, presentacion y/o entrega de la informacion financiera y tributaria requerida</t>
  </si>
  <si>
    <t>Inobservancia a los terminos establecidos en la nomatividad vigente y/o fallas en las plataformas tecnologicas</t>
  </si>
  <si>
    <t xml:space="preserve">El grupo de Gestion Financiera elabora anualmente un calendario de las obligaciones financieras y tributarias y realiza seguimiento mensual al mismo, para evitar incurrir en la presentacion extemporanea de la informacion.	</t>
  </si>
  <si>
    <t>Posibilidad de pérdida reputacional por la inasistencia a la audiencia de conciliación extrajudicial debido a error humano y/o deficiencia en la herramienta de seguimiento proceso judicial</t>
  </si>
  <si>
    <t>GESTIÓN JURÍDICA</t>
  </si>
  <si>
    <t>Inasistencia a la audiencia de conciliación extrajudicial</t>
  </si>
  <si>
    <t>Error humano y/o deficiencia en la herramienta de seguimiento proceso judicial</t>
  </si>
  <si>
    <t>Jefe Oficina Asesora Jurídica establece cronograma en herramienta informática con alertas de fechas de audiencias en el proceso defensa judicial para evitar la pérdida de imagen institucional</t>
  </si>
  <si>
    <t>Posibilidad de perdida reputacional por incumplimiento de requisitos legales en la expedición de actos administrativos debido a insuficiente o errada justificación técnica o jurídica</t>
  </si>
  <si>
    <t>Incumplimiento de requisitos legales en la expedición de actos administrativos</t>
  </si>
  <si>
    <t>Insuficiente o errada justificación técnica o jurídica</t>
  </si>
  <si>
    <t>El Jefe de Oficina Asesora Jurídica verifica el contenido integral del acto administrativo de caracter general y dará el visto bueno para firma del Director General</t>
  </si>
  <si>
    <t>Posibilidad de pérdida económica y reputacional, por exposición a vulnerabilidades del software e indisponibilidad de servicios, debido a debilidad en los controles para renovación de licencias</t>
  </si>
  <si>
    <t>GESTIÓN SERVICIOS TIC</t>
  </si>
  <si>
    <t>Exposición a vulnerabilidades del software e indisponibilidad de servicios</t>
  </si>
  <si>
    <t>Debilidad en los controles para renovación de licencias</t>
  </si>
  <si>
    <t xml:space="preserve">El área de sistemas establece plan de seguimiento a la vigencia de las licencias, para evitar vulnerabilidades del software e indisponibilidad de servicios.	</t>
  </si>
  <si>
    <t>Lider de proceso de OGCI</t>
  </si>
  <si>
    <t>Durante el primer cuadrimestre se revisaron las 7 actividades que conforman el procedimiento de concepto tecnico, verificando su cumplimiento. Se anexa link donde se encuentra el soporte:
https://drive.google.com/file/d/1gfEwoxqh0wuCqaH-PlRL7m39o0XDYvex/view?usp=share_link</t>
  </si>
  <si>
    <t>se creo una carperta digital donde se encuentran los archivos de los documentos relacionados con las solicitudes y respuesta de conceptos tecnicos. La cual se puede observar en el siguiente link: https://drive.google.com/drive/folders/1UZ2-R1ZZDOmfBYp89tNx2UBBgPkUrTVN?usp=share_link</t>
  </si>
  <si>
    <t xml:space="preserve">Cumplir con las directrices establecidas en el  Procedimiento Concepto Técnico PR-IC-002 en su debida aplicación.
Elaboración de una carpeta digital soporte  que contenga las solicitudes de conceptos tecnicos y respuestas y/o conceptos tecnicos emitidos.
</t>
  </si>
  <si>
    <t>Durante el primer cuatrimestre del año no han efectudo convenios y/o contratos por supervisar. Por tanto la actividad que con lleva al riesgo no se han realizado</t>
  </si>
  <si>
    <t>En el primer cuatrimestre del año 2023 la activdad que con lleva el riesgo no se ha realizado, porque a la fecha no se han designado supervisores de convenios</t>
  </si>
  <si>
    <t>Lider de proceso OGCI</t>
  </si>
  <si>
    <t>Solicitud de informes de ejecución de actividades</t>
  </si>
  <si>
    <t>Se verifica el cumplimiento de las siete actividades que conforman el procedimiento de concepto tecnico. Escogiendo al azar los conceptos emitidos. Se adjunta Acta de verificación: https://drive.google.com/file/d/1gfEwoxqh0wuCqaH-PlRL7m39o0XDYvex/view?usp=share_link</t>
  </si>
  <si>
    <t>Se creo una matriz en excel donde se relaciona fecha de entrada de la solicitud de concepto tecnico, fecha de salida y respuesta. Se adjunta link matriz: https://docs.google.com/spreadsheets/d/1kd4ZbSLuU5KqJ_CmsWyIhd6LnXOUr4Z0/edit?usp=share_link&amp;ouid=112357973948757235937&amp;rtpof=true&amp;sd=true</t>
  </si>
  <si>
    <t>Matriz en excel donde se relaciona fecha de entrada de la solicitud de concepto tecnico, fecha de salida y respuesta</t>
  </si>
  <si>
    <t>En el mes de Marzo se llevo a cabo sesiones de sensibilización con los equipos de formulación de proyectos de inversión de la AUNAP, en las cuales se capacito sobre la metodología de la MGA para la formulación de proyectos. Los soportes se encuentran en el siguiente link https://drive.google.com/drive/folders/16wMjMU3TPskHYYG9SPbVQedOVSr2KTQt</t>
  </si>
  <si>
    <t xml:space="preserve">Lider de proceso Palneación </t>
  </si>
  <si>
    <t>Respuestas extemporaneas a PQR de los grupos de valor o grupos de interés</t>
  </si>
  <si>
    <t xml:space="preserve">Posibilidad de perdida económica y reputacional por respuestas extemporaneas a PQR de los grupos de valor o grupos de interés, debido a la Deficiente aplicación a los mecanismos de seguimiento y control establecidos </t>
  </si>
  <si>
    <t xml:space="preserve">Deficiente aplicación a los mecanismos de seguimiento y control establecidos </t>
  </si>
  <si>
    <t>El área de atención al ciudadano realiza la oportuna recepción, asignación y respuesta de las PQRSD, y ejerce estrcito control y seguimiento a las mismas a través del aplicativo disupuesto para el efecto, para dar respuesta oportuna y efectiva a las solicitudes de los ciudadanos</t>
  </si>
  <si>
    <t>Profesional Especializado Grado 14 con funciones de planeación, realiza monitoreo y seguimiento al cumplimiento de los estándares de calidad en los documentos del SIG, para garantizar su efectivo uso por parte de los líderes de proceso de la entidad</t>
  </si>
  <si>
    <t>Materialización de riesgos en la entidad que se podrían traducir en sanciones disciplinarias, penales y/o económicas</t>
  </si>
  <si>
    <t>Posibilidad de pérdida reputacional y económica por Materialización de riesgos en la entidad que se podrían traducir en sanciones disciplinarias, penales y/o económicas, debido a debilidades en la identificación, diseño, seguimiento y evaluación de los riesgos y los controles</t>
  </si>
  <si>
    <t xml:space="preserve">Profesional Especializado Grado 14 con funciones de planeación, verifica que se apliquen los lineamientos y/o instrumentos para la administración del riesgo establecidos por el Departamento Administrativo de la Función Pública, así como el Manual Integral de Gestión del Riesgo de la entidad, para garantizar el cumplimiento de la metodología establecida para el efecto. </t>
  </si>
  <si>
    <t>Profesional Especializado Grado 14 con funciones de planeación, monitorea y realiza seguimiento a la elaboración de los planes de mejoramiento de cada área ,para verificar el cumplimiento de los objetivos propuestos en los compromisos</t>
  </si>
  <si>
    <t>Observaciones realizadas por las instancias competentes encargadas de emitir la viabilidad a los proyectos de inversión</t>
  </si>
  <si>
    <t>Posibilidad de pérdida reputacional y económica por las observaciones realizadas por las instancias competentes encargadas de emitir la viabilidad de los proyectos de inversión debido a la debilidad en su formulación y estructuración</t>
  </si>
  <si>
    <t>Profesional Especializado Grado 14 con funciones de planeación, verifica la aplicación de la metodología para los trámites de viabilidad de los proyectos de inversión susceptibles de financiación</t>
  </si>
  <si>
    <t>Profesional Especializado Grado 14 con funciones de planeación, realiza actividades de inducción y reinducción a las áreas de la entidad en cuanto a la metodología de formulación de proyectos para la apropiación del conocimiento</t>
  </si>
  <si>
    <t>En el mes de abril se realizó seguimiento con cada grupo de proyecto de investigación en el que se brinda asesoría para la correcta formulación de los proyectos, así mismo se realizo la revisión en el aplicativo PIIB de los proyectos cargados en la MGA. Los soportes se encuentran en el siguiente enlace. https://drive.google.com/drive/folders/1DMNl8GzfGrxUFLQvX0Q9UneZkCQM2kv9</t>
  </si>
  <si>
    <t>Acompañamiento continuo a las áreas involucradas en los proyectos de inversión, en conjunto con las entidades encargadas de dar el concepto de viabilidad de los proyectos, para asegurar que sean viabilizados</t>
  </si>
  <si>
    <t>Débil control de los activos asignados por parte de los funcionarios.</t>
  </si>
  <si>
    <t>Posibilidad de pérdida económica por la pérdida de activos debido al débil control de los activos asignados por parte de los funcionarios</t>
  </si>
  <si>
    <t>El Area administrativa realiza toma física de inventario a nivel nacional y ejerce control periodico al mismo, para evitar perdida de los activos de la entidad</t>
  </si>
  <si>
    <t>Inoportuna liquidación del contrato</t>
  </si>
  <si>
    <t>Posibilidad de pérdida económica por la no devolución del recurso no ejecutado por parte del contratista debido a la inoportuna liquidación del contrato</t>
  </si>
  <si>
    <t>Líder del Grupo de Gestión Contractual, ejerce control periódico a la liquidación de los contratos que deben realizar los supervisores de los contratos en cumplimiento de los términos legales</t>
  </si>
  <si>
    <t>Debiidad en los instrumentos de control yl seguimiento sobre el préstamo de los mismos</t>
  </si>
  <si>
    <t>Posibilidad de pérdida reputacional por débil custodia de los expedientes contractuales debido a Debiidad en los instrumentos de control y seguimiento sobre el préstamo de los mismos</t>
  </si>
  <si>
    <t>Líder del Grupo de Gestión contractual con su grupo de archivo, digitalizan los expedientes contractuales para dar respuesta a las entidades de control y disminuir la posibilidad de pérdida de información</t>
  </si>
  <si>
    <t>Inobservancia del procedimiento contemplado en la Ley y normas internas en materia contractual</t>
  </si>
  <si>
    <t>Posibilidad de perdida reputacional y económica por indebida revisión de los requisitos legales debido a la inobservancia del procedimiento contemplado en la Ley y normas internas en materia contractual</t>
  </si>
  <si>
    <t>Deficiente verificación de los términos y procedimientos  establecidos en las normas que rigen las diferentes etapas procesales</t>
  </si>
  <si>
    <t>Extemporaneidad en el trámite de procesos disciplinarios</t>
  </si>
  <si>
    <t>Posibilidad de pérdida reputacional por extemporaneidad en el trámite de procesos disciplinarios, debido a la deficiente verificación de los términos y procedimientos  establecidos en las normas que rigen las diferentes etapas procesales</t>
  </si>
  <si>
    <t xml:space="preserve">El Líder de Control Interno Disciplinario, junto con el abogado sustanciador, realizan monitoreo mensual de cada uno de los procesos a cargo, para determinar la etapa, su estado y acciones a seguir. 	</t>
  </si>
  <si>
    <t>Deficiencia en los mecanismos de disposición y custodia de los expedientes disciplinarios</t>
  </si>
  <si>
    <t>Posibilidad de pérdida reputacional por la pérdida de piezas procesales y/o expedientes disciplinarios en físico debido a la deficiencia en los mecanismos de disposición y custodia de los expedientes disciplinarios</t>
  </si>
  <si>
    <t>Posibilidad de pérdida reputacional por el interés particular y/o en favorecimiento de terceros, debido a que el operador disciplinario, o los demás funcionarios influyan indebidamente en las decisiones emitidas, o en la filtración de información bajo reserva</t>
  </si>
  <si>
    <t xml:space="preserve">Deficiencia en la planeación y ejecución de los operativos de control, inspección y vigilancia </t>
  </si>
  <si>
    <t>Posibilidad de pérdida reputacional por incremento en las infracciones de la normatividad pesquera y de la acuicultura, debido a deficiencia en la planeación y ejecución de los operativos de control, inspección y vigilancia</t>
  </si>
  <si>
    <t>Deficiencia en el reporte y actualización de las actuaciones procesales</t>
  </si>
  <si>
    <t>Posibilidad de perdida reputacional por retrasos en el agotamiento de las etapas procesales de las investigaciones administrativas sancionatorias, debido a la deficiencia en el reporte y actualización</t>
  </si>
  <si>
    <t>La DTIV realiza seguimiento y revisión a la gestión de las etapas de los procedimientos administrativos sancionatorios, según las actualizaciones reportadas por los abogados, de cada una de las Regional y Nivel Central, para mantener actualizada la base de datos de los procesos administrativos sancionatorios, donde se refleje el cumplimiento de las etapas procesales</t>
  </si>
  <si>
    <t>Generación de datos no continuos, inexactos e inoportunos en la operaciòn estadística de desembarcos de pesquerías artesanales en sitios de acopio de la producción pesquera</t>
  </si>
  <si>
    <t>Fallas en la veracidad de la información reportada por las fuentes</t>
  </si>
  <si>
    <t>Posibilidad de perdida reputacional por generación de datos no continuos, inexactos e inoportunos en la operaciòn estadìstica de desembarcos de pesquerías artesanales en sitios de acopio de la producción pesquera, debido a fallas en la veracidad de la información reportada por las fuentes</t>
  </si>
  <si>
    <t>El profesional del grupo de estadística verifica que el operador se surta conforme a lo establecido en el MN-IV-007V1 manual operativo,  y del formato FT-IV-051 V2 de seguimiento y medición al desarrollo de la operacion estadística, para garatntizar la calidad en la entrega de información</t>
  </si>
  <si>
    <t>Posibilidad de perdida reputacional por generación de datos no continuos, inexactos e inoportunos en la operaciòn estadìstica:desembarcos de las pesquerías industriales en municipios donde existen puertos pesqueros industriales, debido a fallas en la veracidad de la información reportada por las fuentes</t>
  </si>
  <si>
    <t xml:space="preserve">La DTAF por medio de lista de chequeo verifica el cumplimiento de los requisitos establecidos por la norma en la solicitud de los permisos y/o patentes para mitigar la expedición errónea de los mismos	</t>
  </si>
  <si>
    <t xml:space="preserve">Las Direcciones Regionales verifican a través de lista de chequeo el cumplimiento de los requisitos establecidos por la norma en la solicitud de los permisos y/o patentes antes de radicar la documentación ante la DTAF para mitigar la expedición errónea de los mismos	</t>
  </si>
  <si>
    <t>Posibilidad de pérdida reputacional por omisión, inobservancia, falta de interés, sentido de pertenencia y/o compromiso de parte de las Direcciones Regionales debido a la inaplicabilidad de los lineamientos impartidos desde la DTAF</t>
  </si>
  <si>
    <t>Respuesta extemporánea de las solicitudes de conceptos técnicos</t>
  </si>
  <si>
    <t>Posibilidad de perdida reputacional por la respuesta extemporánea de las solicitudes de conceptos tecnico, debido al incumplimiento de los términos legales (Ley 1755/2015) para responder solicitudes de los conceptos recibidos</t>
  </si>
  <si>
    <t>aplicación incorrecto del procedimiento de Seguimiento a los Proyectos de Investigación</t>
  </si>
  <si>
    <t>Posibilidad de pérdida economica y reputacional por incumplimiento de lo establecido en manual de supervisión e interventoría de la entidad, debido a la aplicación incorrecta del procedimiento de Seguimiento a los Proyectos de Investigación</t>
  </si>
  <si>
    <t>Lider de procedimiento junto con Lider del proceso de Talento Humano, realizan doble revisión a la liquidación de los diferentes factores relacionados con la nómina para evitar diferencias entre la base de cotización y lo liquidado</t>
  </si>
  <si>
    <t>El Grupo de Gestión Financiera verifica mediante lista de chequeo y control de cadena presupuestal la informacion de los contratos suscritos con la Aunap, para mitigar el incumplimiento de los requesitos de los documentos exigidos para el pago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</si>
</sst>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dd/mm/yyyy"/>
  </numFmts>
  <fonts count="103"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u/>
      <sz val="11"/>
      <color theme="10"/>
      <name val="Calibri"/>
      <family val="2"/>
      <scheme val="minor"/>
    </font>
    <font>
      <b/>
      <sz val="11"/>
      <color indexed="16"/>
      <name val="Arial"/>
      <family val="2"/>
    </font>
    <font>
      <sz val="11"/>
      <color indexed="8"/>
      <name val="Arial"/>
      <family val="2"/>
    </font>
    <font>
      <b/>
      <sz val="11"/>
      <color indexed="8"/>
      <name val="Arial"/>
      <family val="2"/>
    </font>
    <font>
      <b/>
      <sz val="11"/>
      <color indexed="63"/>
      <name val="Arial"/>
      <family val="2"/>
    </font>
    <font>
      <b/>
      <sz val="11"/>
      <color indexed="9"/>
      <name val="Arial"/>
      <family val="2"/>
    </font>
    <font>
      <b/>
      <sz val="8"/>
      <color rgb="FF2888F7"/>
      <name val="Arial"/>
      <family val="2"/>
    </font>
    <font>
      <b/>
      <sz val="11"/>
      <color rgb="FF2888F7"/>
      <name val="Calibri Light"/>
      <family val="2"/>
    </font>
    <font>
      <sz val="11"/>
      <color rgb="FF2888F7"/>
      <name val="Calibri Light"/>
      <family val="2"/>
    </font>
    <font>
      <b/>
      <sz val="9"/>
      <color rgb="FF2888F7"/>
      <name val="Calibri Light"/>
      <family val="2"/>
    </font>
    <font>
      <sz val="11"/>
      <color indexed="8"/>
      <name val="Calibri"/>
      <family val="2"/>
    </font>
    <font>
      <b/>
      <sz val="9"/>
      <color indexed="16"/>
      <name val="Arial"/>
      <family val="2"/>
    </font>
    <font>
      <sz val="11"/>
      <color theme="0"/>
      <name val="Arial"/>
      <family val="2"/>
    </font>
    <font>
      <sz val="11"/>
      <color theme="1"/>
      <name val="Arial"/>
      <family val="2"/>
    </font>
    <font>
      <sz val="10"/>
      <color theme="1"/>
      <name val="Arial"/>
      <family val="2"/>
    </font>
    <font>
      <sz val="16"/>
      <color theme="1"/>
      <name val="Arial"/>
      <family val="2"/>
    </font>
    <font>
      <sz val="11"/>
      <color rgb="FF000000"/>
      <name val="Arial"/>
      <family val="2"/>
    </font>
    <font>
      <b/>
      <sz val="9"/>
      <color theme="1"/>
      <name val="Arial"/>
      <family val="2"/>
    </font>
    <font>
      <u/>
      <sz val="11"/>
      <color rgb="FF0000FF"/>
      <name val="Calibri"/>
      <family val="2"/>
      <scheme val="minor"/>
    </font>
    <font>
      <sz val="11"/>
      <name val="Arial"/>
      <family val="2"/>
    </font>
    <font>
      <b/>
      <sz val="9"/>
      <name val="Arial"/>
      <family val="2"/>
    </font>
    <font>
      <sz val="10"/>
      <color indexed="8"/>
      <name val="Arial"/>
      <family val="2"/>
    </font>
    <font>
      <sz val="16"/>
      <name val="Arial"/>
      <family val="2"/>
    </font>
    <font>
      <sz val="11"/>
      <color theme="1"/>
      <name val="Calibri"/>
      <family val="2"/>
    </font>
    <font>
      <u/>
      <sz val="11"/>
      <color theme="10"/>
      <name val="Calibri"/>
      <family val="2"/>
    </font>
    <font>
      <sz val="12"/>
      <color indexed="8"/>
      <name val="Arial"/>
      <family val="2"/>
    </font>
    <font>
      <sz val="11"/>
      <color rgb="FF000000"/>
      <name val="Arial"/>
      <family val="2"/>
    </font>
    <font>
      <sz val="16"/>
      <color theme="1"/>
      <name val="Arial"/>
      <family val="2"/>
    </font>
    <font>
      <sz val="11"/>
      <name val="Calibri"/>
      <family val="2"/>
    </font>
    <font>
      <sz val="11"/>
      <name val="Calibri"/>
      <family val="2"/>
    </font>
    <font>
      <b/>
      <sz val="11"/>
      <color theme="0"/>
      <name val="Arial Narrow"/>
      <family val="2"/>
    </font>
    <font>
      <b/>
      <sz val="11"/>
      <color theme="0"/>
      <name val="Arial"/>
      <family val="2"/>
    </font>
    <font>
      <sz val="11"/>
      <color theme="0"/>
      <name val="Arial Narrow"/>
      <family val="2"/>
    </font>
    <font>
      <b/>
      <sz val="22"/>
      <color theme="0"/>
      <name val="Arial Narrow"/>
      <family val="2"/>
    </font>
    <font>
      <b/>
      <sz val="18"/>
      <color theme="0"/>
      <name val="Arial Narrow"/>
      <family val="2"/>
    </font>
    <font>
      <b/>
      <sz val="14"/>
      <color theme="0"/>
      <name val="Arial Narrow"/>
      <family val="2"/>
    </font>
    <font>
      <sz val="14"/>
      <name val="Arial Narrow"/>
      <family val="2"/>
    </font>
    <font>
      <i/>
      <sz val="11"/>
      <color rgb="FFC00000"/>
      <name val="Arial Narrow"/>
      <family val="2"/>
    </font>
    <font>
      <b/>
      <i/>
      <sz val="11"/>
      <name val="Arial Narrow"/>
      <family val="2"/>
    </font>
    <font>
      <sz val="8"/>
      <color theme="1"/>
      <name val="Arial Narrow"/>
      <family val="2"/>
    </font>
    <font>
      <sz val="9"/>
      <color theme="1"/>
      <name val="Arial Narrow"/>
      <family val="2"/>
    </font>
    <font>
      <i/>
      <sz val="11"/>
      <name val="Arial Narrow"/>
      <family val="2"/>
    </font>
    <font>
      <i/>
      <sz val="10"/>
      <name val="Arial Narrow"/>
      <family val="2"/>
    </font>
    <font>
      <i/>
      <sz val="8"/>
      <name val="Arial Narrow"/>
      <family val="2"/>
    </font>
    <font>
      <sz val="11"/>
      <color rgb="FFFF0000"/>
      <name val="Arial Narrow"/>
      <family val="2"/>
    </font>
  </fonts>
  <fills count="2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indexed="9"/>
        <bgColor indexed="64"/>
      </patternFill>
    </fill>
    <fill>
      <patternFill patternType="solid">
        <fgColor rgb="FF2888F7"/>
        <bgColor indexed="64"/>
      </patternFill>
    </fill>
    <fill>
      <patternFill patternType="solid">
        <fgColor rgb="FFFFFFFF"/>
        <bgColor indexed="64"/>
      </patternFill>
    </fill>
    <fill>
      <patternFill patternType="solid">
        <fgColor rgb="FF63BE7B"/>
        <bgColor indexed="64"/>
      </patternFill>
    </fill>
    <fill>
      <patternFill patternType="solid">
        <fgColor rgb="FFE36C09"/>
        <bgColor indexed="64"/>
      </patternFill>
    </fill>
    <fill>
      <patternFill patternType="solid">
        <fgColor rgb="FFFFFFFF"/>
        <bgColor rgb="FFFFFFFF"/>
      </patternFill>
    </fill>
    <fill>
      <patternFill patternType="solid">
        <fgColor rgb="FF00FF00"/>
        <bgColor indexed="64"/>
      </patternFill>
    </fill>
    <fill>
      <patternFill patternType="solid">
        <fgColor indexed="11"/>
        <bgColor indexed="64"/>
      </patternFill>
    </fill>
    <fill>
      <patternFill patternType="solid">
        <fgColor rgb="FF00FF00"/>
        <bgColor rgb="FF00FF00"/>
      </patternFill>
    </fill>
    <fill>
      <patternFill patternType="solid">
        <fgColor theme="0"/>
        <bgColor theme="0"/>
      </patternFill>
    </fill>
    <fill>
      <patternFill patternType="solid">
        <fgColor theme="0"/>
        <bgColor rgb="FFFFFFFF"/>
      </patternFill>
    </fill>
  </fills>
  <borders count="81">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rgb="FF2888F7"/>
      </left>
      <right style="thin">
        <color rgb="FF2888F7"/>
      </right>
      <top style="thin">
        <color rgb="FF2888F7"/>
      </top>
      <bottom style="thin">
        <color rgb="FF2888F7"/>
      </bottom>
      <diagonal/>
    </border>
    <border>
      <left style="thin">
        <color rgb="FF2888F7"/>
      </left>
      <right/>
      <top style="thin">
        <color rgb="FF2888F7"/>
      </top>
      <bottom style="thin">
        <color rgb="FF2888F7"/>
      </bottom>
      <diagonal/>
    </border>
    <border>
      <left/>
      <right/>
      <top style="thin">
        <color rgb="FF2888F7"/>
      </top>
      <bottom style="thin">
        <color rgb="FF2888F7"/>
      </bottom>
      <diagonal/>
    </border>
    <border>
      <left/>
      <right style="thin">
        <color rgb="FF2888F7"/>
      </right>
      <top style="thin">
        <color rgb="FF2888F7"/>
      </top>
      <bottom style="thin">
        <color rgb="FF2888F7"/>
      </bottom>
      <diagonal/>
    </border>
    <border>
      <left style="thin">
        <color rgb="FF2888F7"/>
      </left>
      <right style="thin">
        <color rgb="FF2888F7"/>
      </right>
      <top style="thin">
        <color rgb="FF2888F7"/>
      </top>
      <bottom/>
      <diagonal/>
    </border>
    <border>
      <left style="thin">
        <color rgb="FF2888F7"/>
      </left>
      <right style="thin">
        <color rgb="FF2888F7"/>
      </right>
      <top/>
      <bottom style="thin">
        <color rgb="FF2888F7"/>
      </bottom>
      <diagonal/>
    </border>
    <border>
      <left style="thin">
        <color rgb="FF2888F7"/>
      </left>
      <right style="thin">
        <color rgb="FF2888F7"/>
      </right>
      <top/>
      <bottom/>
      <diagonal/>
    </border>
    <border>
      <left style="medium">
        <color rgb="FF2888F7"/>
      </left>
      <right style="medium">
        <color rgb="FF2888F7"/>
      </right>
      <top style="medium">
        <color rgb="FF2888F7"/>
      </top>
      <bottom/>
      <diagonal/>
    </border>
    <border>
      <left style="medium">
        <color rgb="FF2888F7"/>
      </left>
      <right style="medium">
        <color rgb="FF2888F7"/>
      </right>
      <top/>
      <bottom/>
      <diagonal/>
    </border>
    <border>
      <left style="medium">
        <color rgb="FF2888F7"/>
      </left>
      <right style="medium">
        <color rgb="FF2888F7"/>
      </right>
      <top/>
      <bottom style="medium">
        <color rgb="FF2888F7"/>
      </bottom>
      <diagonal/>
    </border>
    <border>
      <left style="medium">
        <color rgb="FFCCCCCC"/>
      </left>
      <right style="medium">
        <color rgb="FF2888F7"/>
      </right>
      <top style="medium">
        <color rgb="FFCCCCCC"/>
      </top>
      <bottom style="medium">
        <color rgb="FFCCCCCC"/>
      </bottom>
      <diagonal/>
    </border>
    <border>
      <left style="medium">
        <color rgb="FF2888F7"/>
      </left>
      <right style="medium">
        <color rgb="FF2888F7"/>
      </right>
      <top style="medium">
        <color rgb="FFCCCCCC"/>
      </top>
      <bottom/>
      <diagonal/>
    </border>
    <border>
      <left style="medium">
        <color rgb="FF2888F7"/>
      </left>
      <right style="medium">
        <color rgb="FF2888F7"/>
      </right>
      <top style="medium">
        <color rgb="FF2888F7"/>
      </top>
      <bottom style="medium">
        <color rgb="FF2888F7"/>
      </bottom>
      <diagonal/>
    </border>
    <border>
      <left style="medium">
        <color rgb="FF2888F7"/>
      </left>
      <right style="medium">
        <color rgb="FF2888F7"/>
      </right>
      <top style="medium">
        <color rgb="FFCCCCCC"/>
      </top>
      <bottom style="medium">
        <color rgb="FF2888F7"/>
      </bottom>
      <diagonal/>
    </border>
    <border>
      <left style="dashed">
        <color rgb="FF2888F7"/>
      </left>
      <right style="dashed">
        <color rgb="FF2888F7"/>
      </right>
      <top style="dashed">
        <color rgb="FF2888F7"/>
      </top>
      <bottom style="dashed">
        <color rgb="FF2888F7"/>
      </bottom>
      <diagonal/>
    </border>
    <border>
      <left style="dashed">
        <color rgb="FF2888F7"/>
      </left>
      <right style="dashed">
        <color rgb="FF2888F7"/>
      </right>
      <top style="dashed">
        <color rgb="FF2888F7"/>
      </top>
      <bottom/>
      <diagonal/>
    </border>
    <border>
      <left style="dashed">
        <color rgb="FF2888F7"/>
      </left>
      <right style="dashed">
        <color rgb="FF2888F7"/>
      </right>
      <top/>
      <bottom style="dashed">
        <color rgb="FF2888F7"/>
      </bottom>
      <diagonal/>
    </border>
    <border>
      <left style="dashed">
        <color rgb="FF2888F7"/>
      </left>
      <right/>
      <top style="dashed">
        <color rgb="FF2888F7"/>
      </top>
      <bottom style="dashed">
        <color rgb="FF2888F7"/>
      </bottom>
      <diagonal/>
    </border>
    <border>
      <left/>
      <right/>
      <top style="dashed">
        <color rgb="FF2888F7"/>
      </top>
      <bottom style="dashed">
        <color rgb="FF2888F7"/>
      </bottom>
      <diagonal/>
    </border>
    <border>
      <left/>
      <right style="dashed">
        <color rgb="FF2888F7"/>
      </right>
      <top style="dashed">
        <color rgb="FF2888F7"/>
      </top>
      <bottom style="dashed">
        <color rgb="FF2888F7"/>
      </bottom>
      <diagonal/>
    </border>
  </borders>
  <cellStyleXfs count="7">
    <xf numFmtId="0" fontId="0" fillId="0" borderId="0"/>
    <xf numFmtId="9" fontId="15" fillId="0" borderId="0" applyFont="0" applyFill="0" applyBorder="0" applyAlignment="0" applyProtection="0"/>
    <xf numFmtId="0" fontId="47" fillId="0" borderId="0"/>
    <xf numFmtId="0" fontId="48" fillId="0" borderId="0"/>
    <xf numFmtId="0" fontId="5" fillId="0" borderId="0"/>
    <xf numFmtId="0" fontId="58" fillId="0" borderId="0" applyNumberFormat="0" applyFill="0" applyBorder="0" applyAlignment="0" applyProtection="0"/>
    <xf numFmtId="9" fontId="68" fillId="0" borderId="0" applyFont="0" applyFill="0" applyBorder="0" applyAlignment="0" applyProtection="0"/>
  </cellStyleXfs>
  <cellXfs count="596">
    <xf numFmtId="0" fontId="0" fillId="0" borderId="0" xfId="0"/>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2" xfId="0" applyFont="1" applyFill="1" applyBorder="1" applyAlignment="1">
      <alignment horizontal="center" vertical="center" wrapText="1" readingOrder="1"/>
    </xf>
    <xf numFmtId="0" fontId="11" fillId="0" borderId="2" xfId="0" applyFont="1" applyBorder="1" applyAlignment="1">
      <alignment horizontal="justify" vertical="center" wrapText="1" readingOrder="1"/>
    </xf>
    <xf numFmtId="9" fontId="11" fillId="0" borderId="2"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28" fillId="0" borderId="0" xfId="0" applyFont="1" applyAlignment="1">
      <alignment vertical="center"/>
    </xf>
    <xf numFmtId="0" fontId="29" fillId="0" borderId="0" xfId="0" applyFont="1"/>
    <xf numFmtId="0" fontId="27" fillId="0" borderId="0" xfId="0" applyFont="1"/>
    <xf numFmtId="0" fontId="0" fillId="0" borderId="0" xfId="0" pivotButton="1"/>
    <xf numFmtId="0" fontId="13" fillId="0" borderId="0" xfId="0" applyFont="1" applyAlignment="1">
      <alignment horizontal="justify" vertical="center" wrapText="1" readingOrder="1"/>
    </xf>
    <xf numFmtId="0" fontId="30" fillId="0" borderId="0" xfId="0" applyFont="1"/>
    <xf numFmtId="0" fontId="32" fillId="6" borderId="0" xfId="0" applyFont="1" applyFill="1" applyAlignment="1">
      <alignment horizontal="center" vertical="center" wrapText="1" readingOrder="1"/>
    </xf>
    <xf numFmtId="0" fontId="33" fillId="0" borderId="2" xfId="0" applyFont="1" applyBorder="1" applyAlignment="1">
      <alignment horizontal="justify" vertical="center" wrapText="1" readingOrder="1"/>
    </xf>
    <xf numFmtId="0" fontId="33" fillId="0" borderId="1" xfId="0" applyFont="1" applyBorder="1" applyAlignment="1">
      <alignment horizontal="justify" vertical="center" wrapText="1" readingOrder="1"/>
    </xf>
    <xf numFmtId="0" fontId="33" fillId="5" borderId="2" xfId="0" applyFont="1" applyFill="1" applyBorder="1" applyAlignment="1">
      <alignment horizontal="center" vertical="center" wrapText="1" readingOrder="1"/>
    </xf>
    <xf numFmtId="0" fontId="33" fillId="7" borderId="1" xfId="0" applyFont="1" applyFill="1" applyBorder="1" applyAlignment="1">
      <alignment horizontal="center" vertical="center" wrapText="1" readingOrder="1"/>
    </xf>
    <xf numFmtId="0" fontId="33" fillId="4" borderId="1" xfId="0" applyFont="1" applyFill="1" applyBorder="1" applyAlignment="1">
      <alignment horizontal="center" vertical="center" wrapText="1" readingOrder="1"/>
    </xf>
    <xf numFmtId="0" fontId="33" fillId="8" borderId="1" xfId="0" applyFont="1" applyFill="1" applyBorder="1" applyAlignment="1">
      <alignment horizontal="center" vertical="center" wrapText="1" readingOrder="1"/>
    </xf>
    <xf numFmtId="0" fontId="34" fillId="9" borderId="1" xfId="0" applyFont="1" applyFill="1" applyBorder="1" applyAlignment="1">
      <alignment horizontal="center" vertical="center" wrapText="1" readingOrder="1"/>
    </xf>
    <xf numFmtId="0" fontId="33" fillId="0" borderId="2" xfId="0" applyFont="1" applyBorder="1" applyAlignment="1">
      <alignment horizontal="center" vertical="center" wrapText="1" readingOrder="1"/>
    </xf>
    <xf numFmtId="0" fontId="33" fillId="0" borderId="1" xfId="0" applyFont="1" applyBorder="1" applyAlignment="1">
      <alignment horizontal="center" vertical="center" wrapText="1" readingOrder="1"/>
    </xf>
    <xf numFmtId="0" fontId="20" fillId="11" borderId="3"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1" borderId="4" xfId="0" applyFont="1" applyFill="1" applyBorder="1" applyAlignment="1" applyProtection="1">
      <alignment horizontal="center" vertical="center" wrapText="1" readingOrder="1"/>
      <protection hidden="1"/>
    </xf>
    <xf numFmtId="0" fontId="20" fillId="12" borderId="3"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4" xfId="0" applyFont="1" applyFill="1" applyBorder="1" applyAlignment="1" applyProtection="1">
      <alignment horizont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1" borderId="7" xfId="0" applyFont="1" applyFill="1" applyBorder="1" applyAlignment="1" applyProtection="1">
      <alignment horizontal="center" vertical="center" wrapText="1" readingOrder="1"/>
      <protection hidden="1"/>
    </xf>
    <xf numFmtId="0" fontId="20" fillId="11" borderId="9" xfId="0" applyFont="1" applyFill="1" applyBorder="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3" borderId="3"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4"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5" borderId="3"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4" xfId="0" applyFont="1" applyFill="1" applyBorder="1" applyAlignment="1" applyProtection="1">
      <alignment horizontal="center" wrapText="1" readingOrder="1"/>
      <protection hidden="1"/>
    </xf>
    <xf numFmtId="0" fontId="20" fillId="5" borderId="5"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0" fillId="5" borderId="7"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4" fillId="13" borderId="10" xfId="0" applyFont="1" applyFill="1" applyBorder="1" applyAlignment="1" applyProtection="1">
      <alignment horizontal="center" wrapText="1" readingOrder="1"/>
      <protection hidden="1"/>
    </xf>
    <xf numFmtId="0" fontId="0" fillId="3" borderId="0" xfId="0" applyFill="1"/>
    <xf numFmtId="0" fontId="49" fillId="3" borderId="37" xfId="2" applyFont="1" applyFill="1" applyBorder="1"/>
    <xf numFmtId="0" fontId="49" fillId="3" borderId="38" xfId="2" applyFont="1" applyFill="1" applyBorder="1"/>
    <xf numFmtId="0" fontId="49" fillId="3" borderId="39" xfId="2" applyFont="1" applyFill="1" applyBorder="1"/>
    <xf numFmtId="0" fontId="17" fillId="3" borderId="0" xfId="0" applyFont="1" applyFill="1" applyAlignment="1">
      <alignment vertical="center"/>
    </xf>
    <xf numFmtId="0" fontId="5" fillId="3" borderId="0" xfId="0" applyFont="1" applyFill="1"/>
    <xf numFmtId="0" fontId="36" fillId="3" borderId="0" xfId="0" applyFont="1" applyFill="1"/>
    <xf numFmtId="0" fontId="37" fillId="3" borderId="20" xfId="0" applyFont="1" applyFill="1" applyBorder="1" applyAlignment="1">
      <alignment horizontal="center" vertical="center" wrapText="1" readingOrder="1"/>
    </xf>
    <xf numFmtId="0" fontId="38" fillId="3" borderId="20" xfId="0" applyFont="1" applyFill="1" applyBorder="1" applyAlignment="1">
      <alignment horizontal="justify" vertical="center" wrapText="1" readingOrder="1"/>
    </xf>
    <xf numFmtId="9" fontId="37" fillId="3" borderId="29" xfId="0" applyNumberFormat="1" applyFont="1" applyFill="1" applyBorder="1" applyAlignment="1">
      <alignment horizontal="center" vertical="center" wrapText="1" readingOrder="1"/>
    </xf>
    <xf numFmtId="0" fontId="37" fillId="3" borderId="19" xfId="0" applyFont="1" applyFill="1" applyBorder="1" applyAlignment="1">
      <alignment horizontal="center" vertical="center" wrapText="1" readingOrder="1"/>
    </xf>
    <xf numFmtId="0" fontId="38" fillId="3" borderId="19" xfId="0" applyFont="1" applyFill="1" applyBorder="1" applyAlignment="1">
      <alignment horizontal="justify" vertical="center" wrapText="1" readingOrder="1"/>
    </xf>
    <xf numFmtId="9" fontId="37" fillId="3" borderId="24" xfId="0" applyNumberFormat="1" applyFont="1" applyFill="1" applyBorder="1" applyAlignment="1">
      <alignment horizontal="center" vertical="center" wrapText="1" readingOrder="1"/>
    </xf>
    <xf numFmtId="0" fontId="38" fillId="3" borderId="24" xfId="0"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8" fillId="3" borderId="26" xfId="0" applyFont="1" applyFill="1" applyBorder="1" applyAlignment="1">
      <alignment horizontal="justify" vertical="center" wrapText="1" readingOrder="1"/>
    </xf>
    <xf numFmtId="0" fontId="38" fillId="3" borderId="27" xfId="0" applyFont="1" applyFill="1" applyBorder="1" applyAlignment="1">
      <alignment horizontal="center" vertical="center" wrapText="1" readingOrder="1"/>
    </xf>
    <xf numFmtId="0" fontId="46" fillId="3" borderId="0" xfId="0" applyFont="1" applyFill="1"/>
    <xf numFmtId="0" fontId="37" fillId="15" borderId="31" xfId="0" applyFont="1" applyFill="1" applyBorder="1" applyAlignment="1">
      <alignment horizontal="center" vertical="center" wrapText="1" readingOrder="1"/>
    </xf>
    <xf numFmtId="0" fontId="37" fillId="15" borderId="32" xfId="0" applyFont="1" applyFill="1" applyBorder="1" applyAlignment="1">
      <alignment horizontal="center" vertical="center" wrapText="1" readingOrder="1"/>
    </xf>
    <xf numFmtId="0" fontId="14" fillId="3" borderId="0" xfId="0" applyFont="1" applyFill="1"/>
    <xf numFmtId="0" fontId="31"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49" fillId="3" borderId="5" xfId="2" applyFont="1" applyFill="1" applyBorder="1"/>
    <xf numFmtId="0" fontId="54" fillId="3" borderId="0" xfId="0" applyFont="1" applyFill="1" applyAlignment="1">
      <alignment horizontal="left" vertical="center" wrapText="1"/>
    </xf>
    <xf numFmtId="0" fontId="55" fillId="3" borderId="0" xfId="0" applyFont="1" applyFill="1" applyAlignment="1">
      <alignment horizontal="left" vertical="top" wrapText="1"/>
    </xf>
    <xf numFmtId="0" fontId="49" fillId="3" borderId="0" xfId="2" applyFont="1" applyFill="1"/>
    <xf numFmtId="0" fontId="49" fillId="3" borderId="6" xfId="2" applyFont="1" applyFill="1" applyBorder="1"/>
    <xf numFmtId="0" fontId="49" fillId="3" borderId="7" xfId="2" applyFont="1" applyFill="1" applyBorder="1"/>
    <xf numFmtId="0" fontId="49" fillId="3" borderId="9" xfId="2" applyFont="1" applyFill="1" applyBorder="1"/>
    <xf numFmtId="0" fontId="49" fillId="3" borderId="8" xfId="2" applyFont="1" applyFill="1" applyBorder="1"/>
    <xf numFmtId="0" fontId="53" fillId="3" borderId="0" xfId="2" applyFont="1" applyFill="1" applyAlignment="1">
      <alignment horizontal="left" vertical="center" wrapText="1"/>
    </xf>
    <xf numFmtId="0" fontId="49" fillId="3" borderId="0" xfId="2" applyFont="1" applyFill="1" applyAlignment="1">
      <alignment horizontal="left" vertical="center" wrapText="1"/>
    </xf>
    <xf numFmtId="0" fontId="49" fillId="3" borderId="0" xfId="2" quotePrefix="1" applyFont="1" applyFill="1" applyAlignment="1">
      <alignment horizontal="left" vertical="center" wrapText="1"/>
    </xf>
    <xf numFmtId="0" fontId="51" fillId="3" borderId="5" xfId="2" quotePrefix="1" applyFont="1" applyFill="1" applyBorder="1" applyAlignment="1">
      <alignment horizontal="left" vertical="top" wrapText="1"/>
    </xf>
    <xf numFmtId="0" fontId="52" fillId="3" borderId="0" xfId="2" quotePrefix="1" applyFont="1" applyFill="1" applyAlignment="1">
      <alignment horizontal="left" vertical="top" wrapText="1"/>
    </xf>
    <xf numFmtId="0" fontId="52" fillId="3" borderId="6" xfId="2" quotePrefix="1" applyFont="1" applyFill="1" applyBorder="1" applyAlignment="1">
      <alignment horizontal="left" vertical="top" wrapText="1"/>
    </xf>
    <xf numFmtId="0" fontId="59" fillId="16" borderId="0" xfId="0" applyFont="1" applyFill="1" applyAlignment="1">
      <alignment horizontal="center" vertical="center" wrapText="1"/>
    </xf>
    <xf numFmtId="0" fontId="60" fillId="16" borderId="0" xfId="0" applyFont="1" applyFill="1" applyAlignment="1">
      <alignment horizontal="center" vertical="center" wrapText="1"/>
    </xf>
    <xf numFmtId="0" fontId="60" fillId="16" borderId="0" xfId="0" applyFont="1" applyFill="1" applyAlignment="1">
      <alignment vertical="center" wrapText="1"/>
    </xf>
    <xf numFmtId="0" fontId="61" fillId="16" borderId="0" xfId="0" applyFont="1" applyFill="1" applyAlignment="1">
      <alignment horizontal="left" vertical="center" wrapText="1"/>
    </xf>
    <xf numFmtId="0" fontId="62" fillId="16" borderId="0" xfId="0" applyFont="1" applyFill="1" applyAlignment="1">
      <alignment horizontal="left" vertical="center" wrapText="1"/>
    </xf>
    <xf numFmtId="0" fontId="60" fillId="0" borderId="0" xfId="0" applyFont="1" applyAlignment="1">
      <alignment horizontal="center" vertical="center" wrapText="1"/>
    </xf>
    <xf numFmtId="0" fontId="61" fillId="16" borderId="0" xfId="0" applyFont="1" applyFill="1" applyAlignment="1">
      <alignment horizontal="center" vertical="center" wrapText="1"/>
    </xf>
    <xf numFmtId="14" fontId="61" fillId="16" borderId="0" xfId="0" applyNumberFormat="1" applyFont="1" applyFill="1" applyAlignment="1">
      <alignment horizontal="center" vertical="center" wrapText="1"/>
    </xf>
    <xf numFmtId="0" fontId="65" fillId="0" borderId="61" xfId="0" applyFont="1" applyBorder="1" applyAlignment="1">
      <alignment horizontal="center" vertical="center" wrapText="1"/>
    </xf>
    <xf numFmtId="0" fontId="65" fillId="0" borderId="62" xfId="0" applyFont="1" applyBorder="1" applyAlignment="1">
      <alignment horizontal="center" vertical="center" wrapText="1"/>
    </xf>
    <xf numFmtId="0" fontId="65" fillId="0" borderId="62" xfId="0" applyFont="1" applyBorder="1" applyAlignment="1">
      <alignment vertical="center" wrapText="1"/>
    </xf>
    <xf numFmtId="0" fontId="65" fillId="0" borderId="63" xfId="0" applyFont="1" applyBorder="1" applyAlignment="1">
      <alignment vertical="center" wrapText="1"/>
    </xf>
    <xf numFmtId="0" fontId="65" fillId="0" borderId="64" xfId="0" applyFont="1" applyBorder="1" applyAlignment="1">
      <alignment vertical="center" wrapText="1"/>
    </xf>
    <xf numFmtId="0" fontId="67" fillId="0" borderId="61" xfId="0" applyFont="1" applyBorder="1" applyAlignment="1">
      <alignment horizontal="center" vertical="center" wrapText="1"/>
    </xf>
    <xf numFmtId="0" fontId="59" fillId="16" borderId="65" xfId="0" applyFont="1" applyFill="1" applyBorder="1" applyAlignment="1">
      <alignment horizontal="center" vertical="center" wrapText="1"/>
    </xf>
    <xf numFmtId="9" fontId="59" fillId="16" borderId="65" xfId="6" applyFont="1" applyFill="1" applyBorder="1" applyAlignment="1">
      <alignment horizontal="center" vertical="center" wrapText="1"/>
    </xf>
    <xf numFmtId="0" fontId="69" fillId="16" borderId="65" xfId="0" applyFont="1" applyFill="1" applyBorder="1" applyAlignment="1">
      <alignment horizontal="center" vertical="center" wrapText="1"/>
    </xf>
    <xf numFmtId="0" fontId="60" fillId="16" borderId="65" xfId="0" applyFont="1" applyFill="1" applyBorder="1" applyAlignment="1">
      <alignment horizontal="center" vertical="center" wrapText="1"/>
    </xf>
    <xf numFmtId="0" fontId="70" fillId="18" borderId="62" xfId="0" applyFont="1" applyFill="1" applyBorder="1" applyAlignment="1">
      <alignment horizontal="center" vertical="center" wrapText="1"/>
    </xf>
    <xf numFmtId="0" fontId="71" fillId="18" borderId="61" xfId="0" applyFont="1" applyFill="1" applyBorder="1" applyAlignment="1">
      <alignment horizontal="center" vertical="center" wrapText="1"/>
    </xf>
    <xf numFmtId="0" fontId="71" fillId="18" borderId="61" xfId="0" applyFont="1" applyFill="1" applyBorder="1" applyAlignment="1">
      <alignment vertical="center" wrapText="1"/>
    </xf>
    <xf numFmtId="0" fontId="60" fillId="16" borderId="61" xfId="0" applyFont="1" applyFill="1" applyBorder="1" applyAlignment="1">
      <alignment horizontal="center" vertical="center" wrapText="1"/>
    </xf>
    <xf numFmtId="0" fontId="71" fillId="19" borderId="61" xfId="0" applyFont="1" applyFill="1" applyBorder="1" applyAlignment="1">
      <alignment horizontal="center" vertical="center" wrapText="1"/>
    </xf>
    <xf numFmtId="0" fontId="71" fillId="20" borderId="61" xfId="0" applyFont="1" applyFill="1" applyBorder="1" applyAlignment="1">
      <alignment horizontal="center" vertical="center" wrapText="1"/>
    </xf>
    <xf numFmtId="0" fontId="0" fillId="20" borderId="61" xfId="0" applyFill="1" applyBorder="1" applyAlignment="1">
      <alignment horizontal="center" vertical="center" wrapText="1"/>
    </xf>
    <xf numFmtId="0" fontId="72" fillId="3" borderId="61" xfId="0" applyFont="1" applyFill="1" applyBorder="1" applyAlignment="1">
      <alignment vertical="center" wrapText="1"/>
    </xf>
    <xf numFmtId="0" fontId="73" fillId="18" borderId="61" xfId="0" applyFont="1" applyFill="1" applyBorder="1" applyAlignment="1">
      <alignment horizontal="center" vertical="center" wrapText="1"/>
    </xf>
    <xf numFmtId="0" fontId="73" fillId="18" borderId="61" xfId="0" applyFont="1" applyFill="1" applyBorder="1" applyAlignment="1">
      <alignment vertical="center" wrapText="1"/>
    </xf>
    <xf numFmtId="0" fontId="74" fillId="21" borderId="61" xfId="0" applyFont="1" applyFill="1" applyBorder="1" applyAlignment="1">
      <alignment vertical="center" wrapText="1"/>
    </xf>
    <xf numFmtId="0" fontId="60" fillId="16" borderId="61" xfId="0" applyFont="1" applyFill="1" applyBorder="1" applyAlignment="1">
      <alignment vertical="center" wrapText="1"/>
    </xf>
    <xf numFmtId="0" fontId="71" fillId="18" borderId="61" xfId="0" applyFont="1" applyFill="1" applyBorder="1" applyAlignment="1">
      <alignment horizontal="right" vertical="center" wrapText="1"/>
    </xf>
    <xf numFmtId="0" fontId="58" fillId="0" borderId="61" xfId="5" quotePrefix="1" applyBorder="1" applyAlignment="1">
      <alignment horizontal="center" vertical="center"/>
    </xf>
    <xf numFmtId="0" fontId="75" fillId="22" borderId="61" xfId="0" applyFont="1" applyFill="1" applyBorder="1" applyAlignment="1">
      <alignment horizontal="center" vertical="center" wrapText="1"/>
    </xf>
    <xf numFmtId="15" fontId="71" fillId="18" borderId="61" xfId="0" applyNumberFormat="1" applyFont="1" applyFill="1" applyBorder="1" applyAlignment="1">
      <alignment horizontal="center" vertical="center" wrapText="1"/>
    </xf>
    <xf numFmtId="0" fontId="71" fillId="9" borderId="61" xfId="0" applyFont="1" applyFill="1" applyBorder="1" applyAlignment="1">
      <alignment horizontal="center" vertical="center" wrapText="1"/>
    </xf>
    <xf numFmtId="0" fontId="76" fillId="13" borderId="61" xfId="0" applyFont="1" applyFill="1" applyBorder="1" applyAlignment="1">
      <alignment horizontal="center" vertical="center" wrapText="1"/>
    </xf>
    <xf numFmtId="14" fontId="71" fillId="18" borderId="61" xfId="0" applyNumberFormat="1" applyFont="1" applyFill="1" applyBorder="1" applyAlignment="1">
      <alignment horizontal="center" vertical="center" wrapText="1"/>
    </xf>
    <xf numFmtId="0" fontId="77" fillId="16" borderId="61" xfId="0" applyFont="1" applyFill="1" applyBorder="1" applyAlignment="1">
      <alignment horizontal="center" vertical="center" wrapText="1"/>
    </xf>
    <xf numFmtId="0" fontId="71" fillId="4" borderId="61" xfId="0" applyFont="1" applyFill="1" applyBorder="1" applyAlignment="1">
      <alignment horizontal="center" vertical="center" wrapText="1"/>
    </xf>
    <xf numFmtId="0" fontId="72" fillId="3" borderId="61" xfId="0" applyFont="1" applyFill="1" applyBorder="1" applyAlignment="1">
      <alignment horizontal="center" vertical="center" wrapText="1"/>
    </xf>
    <xf numFmtId="0" fontId="0" fillId="18" borderId="61" xfId="0" applyFill="1" applyBorder="1" applyAlignment="1">
      <alignment vertical="center" wrapText="1"/>
    </xf>
    <xf numFmtId="0" fontId="71" fillId="18" borderId="61" xfId="0" applyFont="1" applyFill="1" applyBorder="1" applyAlignment="1">
      <alignment horizontal="left" vertical="center" wrapText="1"/>
    </xf>
    <xf numFmtId="0" fontId="78" fillId="23" borderId="61" xfId="0" applyFont="1" applyFill="1" applyBorder="1" applyAlignment="1">
      <alignment horizontal="center" vertical="center" wrapText="1"/>
    </xf>
    <xf numFmtId="0" fontId="70" fillId="16" borderId="62" xfId="0" applyFont="1" applyFill="1" applyBorder="1" applyAlignment="1">
      <alignment horizontal="center" vertical="center" wrapText="1"/>
    </xf>
    <xf numFmtId="0" fontId="60" fillId="3" borderId="61" xfId="0" applyFont="1" applyFill="1" applyBorder="1" applyAlignment="1">
      <alignment horizontal="center" vertical="center" wrapText="1"/>
    </xf>
    <xf numFmtId="0" fontId="79" fillId="3" borderId="61" xfId="0" applyFont="1" applyFill="1" applyBorder="1" applyAlignment="1">
      <alignment vertical="center" wrapText="1"/>
    </xf>
    <xf numFmtId="0" fontId="80" fillId="16" borderId="61" xfId="0" applyFont="1" applyFill="1" applyBorder="1" applyAlignment="1">
      <alignment horizontal="center" vertical="center" wrapText="1"/>
    </xf>
    <xf numFmtId="0" fontId="80" fillId="16" borderId="61" xfId="0" applyFont="1" applyFill="1" applyBorder="1" applyAlignment="1">
      <alignment vertical="center" wrapText="1"/>
    </xf>
    <xf numFmtId="0" fontId="60" fillId="0" borderId="61" xfId="0" applyFont="1" applyBorder="1" applyAlignment="1">
      <alignment horizontal="center" vertical="center" wrapText="1"/>
    </xf>
    <xf numFmtId="0" fontId="77" fillId="18" borderId="61" xfId="0" applyFont="1" applyFill="1" applyBorder="1" applyAlignment="1">
      <alignment vertical="center" wrapText="1"/>
    </xf>
    <xf numFmtId="0" fontId="60" fillId="9" borderId="61" xfId="0" applyFont="1" applyFill="1" applyBorder="1" applyAlignment="1">
      <alignment horizontal="center" vertical="center" wrapText="1"/>
    </xf>
    <xf numFmtId="0" fontId="80" fillId="0" borderId="61" xfId="0" applyFont="1" applyBorder="1" applyAlignment="1">
      <alignment horizontal="center" vertical="center" wrapText="1"/>
    </xf>
    <xf numFmtId="0" fontId="80" fillId="0" borderId="61" xfId="0" applyFont="1" applyBorder="1" applyAlignment="1">
      <alignment vertical="center" wrapText="1"/>
    </xf>
    <xf numFmtId="0" fontId="60" fillId="0" borderId="61" xfId="0" applyFont="1" applyBorder="1" applyAlignment="1">
      <alignment vertical="center" wrapText="1"/>
    </xf>
    <xf numFmtId="0" fontId="58" fillId="0" borderId="61" xfId="5" quotePrefix="1" applyFill="1" applyBorder="1" applyAlignment="1">
      <alignment horizontal="center" vertical="center"/>
    </xf>
    <xf numFmtId="0" fontId="74" fillId="21" borderId="61" xfId="0" applyFont="1" applyFill="1" applyBorder="1" applyAlignment="1">
      <alignment horizontal="center" vertical="center" wrapText="1"/>
    </xf>
    <xf numFmtId="0" fontId="71" fillId="21" borderId="61" xfId="0" applyFont="1" applyFill="1" applyBorder="1" applyAlignment="1">
      <alignment horizontal="center" vertical="center" wrapText="1"/>
    </xf>
    <xf numFmtId="0" fontId="71" fillId="19" borderId="61" xfId="0" applyFont="1" applyFill="1" applyBorder="1" applyAlignment="1">
      <alignment vertical="center" wrapText="1"/>
    </xf>
    <xf numFmtId="0" fontId="81" fillId="0" borderId="61" xfId="0" applyFont="1" applyBorder="1" applyAlignment="1">
      <alignment horizontal="center" vertical="center"/>
    </xf>
    <xf numFmtId="0" fontId="73" fillId="21" borderId="61" xfId="0" applyFont="1" applyFill="1" applyBorder="1" applyAlignment="1">
      <alignment horizontal="center" vertical="center" wrapText="1"/>
    </xf>
    <xf numFmtId="0" fontId="73" fillId="21" borderId="61" xfId="0" applyFont="1" applyFill="1" applyBorder="1" applyAlignment="1">
      <alignment vertical="center" wrapText="1"/>
    </xf>
    <xf numFmtId="0" fontId="82" fillId="0" borderId="61" xfId="0" applyFont="1" applyBorder="1" applyAlignment="1">
      <alignment horizontal="center" vertical="center"/>
    </xf>
    <xf numFmtId="0" fontId="75" fillId="24" borderId="61" xfId="0" applyFont="1" applyFill="1" applyBorder="1" applyAlignment="1">
      <alignment horizontal="center" vertical="center" wrapText="1"/>
    </xf>
    <xf numFmtId="0" fontId="74" fillId="25" borderId="61" xfId="0" applyFont="1" applyFill="1" applyBorder="1" applyAlignment="1">
      <alignment horizontal="center" vertical="center" wrapText="1"/>
    </xf>
    <xf numFmtId="165" fontId="74" fillId="25" borderId="61" xfId="0" applyNumberFormat="1" applyFont="1" applyFill="1" applyBorder="1" applyAlignment="1">
      <alignment horizontal="center" vertical="center" wrapText="1"/>
    </xf>
    <xf numFmtId="0" fontId="82" fillId="0" borderId="61" xfId="0" quotePrefix="1" applyFont="1" applyBorder="1" applyAlignment="1">
      <alignment horizontal="center" vertical="center"/>
    </xf>
    <xf numFmtId="0" fontId="0" fillId="3" borderId="61" xfId="0" applyFill="1" applyBorder="1" applyAlignment="1">
      <alignment horizontal="center" vertical="center" wrapText="1"/>
    </xf>
    <xf numFmtId="0" fontId="0" fillId="3" borderId="61" xfId="0" applyFill="1" applyBorder="1" applyAlignment="1">
      <alignment horizontal="justify" vertical="center"/>
    </xf>
    <xf numFmtId="0" fontId="0" fillId="3" borderId="61" xfId="0" applyFill="1" applyBorder="1" applyAlignment="1">
      <alignment horizontal="justify" vertical="center" wrapText="1"/>
    </xf>
    <xf numFmtId="0" fontId="60" fillId="3" borderId="61" xfId="0" applyFont="1" applyFill="1" applyBorder="1" applyAlignment="1">
      <alignment vertical="center" wrapText="1"/>
    </xf>
    <xf numFmtId="0" fontId="83" fillId="16" borderId="0" xfId="0" applyFont="1" applyFill="1" applyAlignment="1">
      <alignment horizontal="justify" wrapText="1"/>
    </xf>
    <xf numFmtId="0" fontId="79" fillId="16" borderId="0" xfId="0" applyFont="1" applyFill="1" applyAlignment="1">
      <alignment horizontal="center" vertical="center" wrapText="1"/>
    </xf>
    <xf numFmtId="9" fontId="60" fillId="16" borderId="0" xfId="6" applyFont="1" applyFill="1" applyAlignment="1">
      <alignment horizontal="center" vertical="center" wrapText="1"/>
    </xf>
    <xf numFmtId="0" fontId="77" fillId="16" borderId="0" xfId="0" applyFont="1" applyFill="1" applyAlignment="1">
      <alignment horizontal="center" vertical="center" wrapText="1"/>
    </xf>
    <xf numFmtId="2" fontId="60" fillId="16" borderId="0" xfId="0" applyNumberFormat="1" applyFont="1" applyFill="1" applyAlignment="1">
      <alignment vertical="center" wrapText="1"/>
    </xf>
    <xf numFmtId="2" fontId="67" fillId="0" borderId="61" xfId="0" applyNumberFormat="1" applyFont="1" applyBorder="1" applyAlignment="1">
      <alignment horizontal="center" vertical="center" wrapText="1"/>
    </xf>
    <xf numFmtId="0" fontId="59" fillId="16" borderId="61" xfId="0" applyFont="1" applyFill="1" applyBorder="1" applyAlignment="1">
      <alignment horizontal="center" vertical="center" wrapText="1"/>
    </xf>
    <xf numFmtId="2" fontId="59" fillId="16" borderId="61" xfId="0" applyNumberFormat="1" applyFont="1" applyFill="1" applyBorder="1" applyAlignment="1">
      <alignment horizontal="center" vertical="center" wrapText="1"/>
    </xf>
    <xf numFmtId="9" fontId="59" fillId="16" borderId="61" xfId="6" applyFont="1" applyFill="1" applyBorder="1" applyAlignment="1">
      <alignment horizontal="center" vertical="center" wrapText="1"/>
    </xf>
    <xf numFmtId="0" fontId="69" fillId="16" borderId="61" xfId="0" applyFont="1" applyFill="1" applyBorder="1" applyAlignment="1">
      <alignment horizontal="center" vertical="center" wrapText="1"/>
    </xf>
    <xf numFmtId="2" fontId="69" fillId="16" borderId="61" xfId="0" applyNumberFormat="1" applyFont="1" applyFill="1" applyBorder="1" applyAlignment="1">
      <alignment horizontal="center" vertical="center" wrapText="1"/>
    </xf>
    <xf numFmtId="2" fontId="60" fillId="16" borderId="61" xfId="6" applyNumberFormat="1" applyFont="1" applyFill="1" applyBorder="1" applyAlignment="1">
      <alignment horizontal="center" vertical="center" wrapText="1"/>
    </xf>
    <xf numFmtId="2" fontId="60" fillId="16" borderId="61" xfId="0" applyNumberFormat="1" applyFont="1" applyFill="1" applyBorder="1" applyAlignment="1">
      <alignment horizontal="center" vertical="center" wrapText="1"/>
    </xf>
    <xf numFmtId="0" fontId="74" fillId="3" borderId="61" xfId="0" applyFont="1" applyFill="1" applyBorder="1" applyAlignment="1">
      <alignment vertical="center" wrapText="1"/>
    </xf>
    <xf numFmtId="0" fontId="85" fillId="21" borderId="61" xfId="0" applyFont="1" applyFill="1" applyBorder="1" applyAlignment="1">
      <alignment horizontal="center" vertical="center" wrapText="1"/>
    </xf>
    <xf numFmtId="0" fontId="84" fillId="21" borderId="61" xfId="0" applyFont="1" applyFill="1" applyBorder="1" applyAlignment="1">
      <alignment horizontal="center" vertical="center" wrapText="1"/>
    </xf>
    <xf numFmtId="0" fontId="74" fillId="25" borderId="61" xfId="0" applyFont="1" applyFill="1" applyBorder="1" applyAlignment="1">
      <alignment vertical="center" wrapText="1"/>
    </xf>
    <xf numFmtId="0" fontId="84" fillId="25" borderId="61" xfId="0" applyFont="1" applyFill="1" applyBorder="1" applyAlignment="1">
      <alignment vertical="center" wrapText="1"/>
    </xf>
    <xf numFmtId="0" fontId="60" fillId="3" borderId="0" xfId="0" applyFont="1" applyFill="1" applyAlignment="1">
      <alignment horizontal="center" vertical="center" wrapText="1"/>
    </xf>
    <xf numFmtId="0" fontId="60" fillId="3" borderId="65" xfId="0" applyFont="1" applyFill="1" applyBorder="1" applyAlignment="1">
      <alignment horizontal="center" vertical="center" wrapText="1"/>
    </xf>
    <xf numFmtId="0" fontId="60" fillId="3" borderId="67" xfId="0" applyFont="1" applyFill="1" applyBorder="1" applyAlignment="1">
      <alignment horizontal="center" vertical="center" wrapText="1"/>
    </xf>
    <xf numFmtId="0" fontId="60" fillId="3" borderId="66" xfId="0" applyFont="1" applyFill="1" applyBorder="1" applyAlignment="1">
      <alignment horizontal="center" vertical="center" wrapText="1"/>
    </xf>
    <xf numFmtId="0" fontId="71" fillId="3" borderId="71" xfId="0" applyFont="1" applyFill="1" applyBorder="1" applyAlignment="1">
      <alignment horizontal="center" vertical="center" wrapText="1"/>
    </xf>
    <xf numFmtId="0" fontId="71" fillId="18" borderId="73" xfId="0" applyFont="1" applyFill="1" applyBorder="1" applyAlignment="1">
      <alignment vertical="center" wrapText="1"/>
    </xf>
    <xf numFmtId="0" fontId="71" fillId="18" borderId="74" xfId="0" applyFont="1" applyFill="1" applyBorder="1" applyAlignment="1">
      <alignment vertical="center" wrapText="1"/>
    </xf>
    <xf numFmtId="2" fontId="60" fillId="16" borderId="0" xfId="0" applyNumberFormat="1" applyFont="1" applyFill="1" applyAlignment="1">
      <alignment horizontal="center" vertical="center" wrapText="1"/>
    </xf>
    <xf numFmtId="0" fontId="1" fillId="3" borderId="75" xfId="0" applyFont="1" applyFill="1" applyBorder="1"/>
    <xf numFmtId="0" fontId="1" fillId="0" borderId="75" xfId="0" applyFont="1" applyBorder="1"/>
    <xf numFmtId="0" fontId="1" fillId="0" borderId="75" xfId="0" applyFont="1" applyBorder="1" applyAlignment="1">
      <alignment wrapText="1"/>
    </xf>
    <xf numFmtId="0" fontId="1" fillId="3" borderId="75" xfId="0" applyFont="1" applyFill="1" applyBorder="1" applyAlignment="1">
      <alignment horizontal="center" vertical="center"/>
    </xf>
    <xf numFmtId="0" fontId="1" fillId="3" borderId="75" xfId="0" applyFont="1" applyFill="1" applyBorder="1" applyAlignment="1">
      <alignment horizontal="center"/>
    </xf>
    <xf numFmtId="0" fontId="90" fillId="3" borderId="75" xfId="0" applyFont="1" applyFill="1" applyBorder="1"/>
    <xf numFmtId="0" fontId="90" fillId="0" borderId="75" xfId="0" applyFont="1" applyBorder="1"/>
    <xf numFmtId="0" fontId="88" fillId="17" borderId="75" xfId="0" applyFont="1" applyFill="1" applyBorder="1" applyAlignment="1">
      <alignment horizontal="center" vertical="center" textRotation="90"/>
    </xf>
    <xf numFmtId="0" fontId="4" fillId="3" borderId="75" xfId="0" applyFont="1" applyFill="1" applyBorder="1" applyAlignment="1">
      <alignment horizontal="center" vertical="center"/>
    </xf>
    <xf numFmtId="0" fontId="4" fillId="2" borderId="75" xfId="0" applyFont="1" applyFill="1" applyBorder="1" applyAlignment="1">
      <alignment horizontal="center" vertical="center"/>
    </xf>
    <xf numFmtId="0" fontId="1" fillId="0" borderId="75" xfId="0" applyFont="1" applyBorder="1" applyAlignment="1">
      <alignment horizontal="center" vertical="center" wrapText="1"/>
    </xf>
    <xf numFmtId="0" fontId="1" fillId="0" borderId="75" xfId="0" applyFont="1" applyBorder="1" applyAlignment="1">
      <alignment horizontal="center" vertical="center"/>
    </xf>
    <xf numFmtId="0" fontId="1" fillId="0" borderId="75" xfId="0" applyFont="1" applyBorder="1" applyAlignment="1" applyProtection="1">
      <alignment horizontal="center" vertical="center" wrapText="1"/>
      <protection locked="0"/>
    </xf>
    <xf numFmtId="0" fontId="2" fillId="0" borderId="75" xfId="0" applyFont="1" applyBorder="1" applyAlignment="1" applyProtection="1">
      <alignment horizontal="center" vertical="center" wrapText="1"/>
      <protection locked="0"/>
    </xf>
    <xf numFmtId="0" fontId="1" fillId="0" borderId="75" xfId="0" applyFont="1" applyBorder="1" applyAlignment="1" applyProtection="1">
      <alignment horizontal="center" vertical="center"/>
      <protection locked="0"/>
    </xf>
    <xf numFmtId="0" fontId="4" fillId="0" borderId="75" xfId="0" applyFont="1" applyBorder="1" applyAlignment="1" applyProtection="1">
      <alignment horizontal="center" vertical="center" wrapText="1"/>
      <protection hidden="1"/>
    </xf>
    <xf numFmtId="9" fontId="1" fillId="0" borderId="75" xfId="0" applyNumberFormat="1" applyFont="1" applyBorder="1" applyAlignment="1" applyProtection="1">
      <alignment horizontal="center" vertical="center" wrapText="1"/>
      <protection hidden="1"/>
    </xf>
    <xf numFmtId="9" fontId="1" fillId="0" borderId="75" xfId="0" applyNumberFormat="1" applyFont="1" applyBorder="1" applyAlignment="1" applyProtection="1">
      <alignment horizontal="center" vertical="center" wrapText="1"/>
      <protection locked="0"/>
    </xf>
    <xf numFmtId="0" fontId="4" fillId="0" borderId="75" xfId="0" applyFont="1" applyBorder="1" applyAlignment="1" applyProtection="1">
      <alignment horizontal="center" vertical="center"/>
      <protection hidden="1"/>
    </xf>
    <xf numFmtId="0" fontId="6" fillId="0" borderId="75" xfId="0" applyFont="1" applyBorder="1" applyAlignment="1" applyProtection="1">
      <alignment horizontal="center" vertical="center" wrapText="1"/>
      <protection locked="0"/>
    </xf>
    <xf numFmtId="0" fontId="1" fillId="0" borderId="75" xfId="0" applyFont="1" applyBorder="1" applyAlignment="1" applyProtection="1">
      <alignment horizontal="center" vertical="center"/>
      <protection hidden="1"/>
    </xf>
    <xf numFmtId="0" fontId="1" fillId="0" borderId="75" xfId="0" applyFont="1" applyBorder="1" applyAlignment="1" applyProtection="1">
      <alignment horizontal="center" vertical="center" textRotation="90"/>
      <protection locked="0"/>
    </xf>
    <xf numFmtId="9" fontId="1" fillId="0" borderId="75" xfId="0" applyNumberFormat="1" applyFont="1" applyBorder="1" applyAlignment="1" applyProtection="1">
      <alignment horizontal="center" vertical="center"/>
      <protection hidden="1"/>
    </xf>
    <xf numFmtId="164" fontId="1" fillId="0" borderId="75" xfId="1" applyNumberFormat="1" applyFont="1" applyBorder="1" applyAlignment="1">
      <alignment horizontal="center" vertical="center"/>
    </xf>
    <xf numFmtId="0" fontId="4" fillId="0" borderId="75" xfId="0" applyFont="1" applyBorder="1" applyAlignment="1" applyProtection="1">
      <alignment horizontal="center" vertical="center" textRotation="90" wrapText="1"/>
      <protection hidden="1"/>
    </xf>
    <xf numFmtId="0" fontId="4" fillId="0" borderId="75" xfId="0" applyFont="1" applyBorder="1" applyAlignment="1" applyProtection="1">
      <alignment horizontal="center" vertical="center" textRotation="90"/>
      <protection hidden="1"/>
    </xf>
    <xf numFmtId="14" fontId="1" fillId="0" borderId="75" xfId="0" applyNumberFormat="1" applyFont="1" applyBorder="1" applyAlignment="1" applyProtection="1">
      <alignment horizontal="center" vertical="center"/>
      <protection locked="0"/>
    </xf>
    <xf numFmtId="0" fontId="4" fillId="0" borderId="75" xfId="0" applyFont="1" applyBorder="1" applyAlignment="1">
      <alignment horizontal="center" vertical="center"/>
    </xf>
    <xf numFmtId="0" fontId="1" fillId="0" borderId="76" xfId="0" applyFont="1" applyBorder="1" applyAlignment="1" applyProtection="1">
      <alignment horizontal="center" vertical="center"/>
      <protection locked="0"/>
    </xf>
    <xf numFmtId="9" fontId="1" fillId="0" borderId="76" xfId="0" applyNumberFormat="1" applyFont="1" applyBorder="1" applyAlignment="1" applyProtection="1">
      <alignment horizontal="center" vertical="center" wrapText="1"/>
      <protection locked="0"/>
    </xf>
    <xf numFmtId="0" fontId="95" fillId="0" borderId="75" xfId="0" applyFont="1" applyBorder="1" applyAlignment="1">
      <alignment horizontal="center" vertical="center"/>
    </xf>
    <xf numFmtId="0" fontId="95" fillId="3" borderId="75" xfId="0" applyFont="1" applyFill="1" applyBorder="1" applyAlignment="1">
      <alignment horizontal="center" vertical="center"/>
    </xf>
    <xf numFmtId="0" fontId="97" fillId="0" borderId="75" xfId="0" applyFont="1" applyBorder="1" applyAlignment="1" applyProtection="1">
      <alignment horizontal="center" vertical="center" wrapText="1"/>
      <protection locked="0"/>
    </xf>
    <xf numFmtId="0" fontId="99" fillId="0" borderId="75" xfId="0" applyFont="1" applyBorder="1" applyAlignment="1" applyProtection="1">
      <alignment horizontal="center" vertical="center"/>
      <protection locked="0"/>
    </xf>
    <xf numFmtId="0" fontId="96" fillId="0" borderId="75" xfId="0" applyFont="1" applyBorder="1" applyAlignment="1" applyProtection="1">
      <alignment horizontal="center" vertical="center" wrapText="1"/>
      <protection hidden="1"/>
    </xf>
    <xf numFmtId="9" fontId="99" fillId="0" borderId="75" xfId="0" applyNumberFormat="1" applyFont="1" applyBorder="1" applyAlignment="1" applyProtection="1">
      <alignment horizontal="center" vertical="center" wrapText="1"/>
      <protection hidden="1"/>
    </xf>
    <xf numFmtId="9" fontId="99" fillId="0" borderId="75" xfId="0" applyNumberFormat="1" applyFont="1" applyBorder="1" applyAlignment="1" applyProtection="1">
      <alignment horizontal="center" vertical="center" wrapText="1"/>
      <protection locked="0"/>
    </xf>
    <xf numFmtId="0" fontId="96" fillId="0" borderId="75" xfId="0" applyFont="1" applyBorder="1" applyAlignment="1" applyProtection="1">
      <alignment horizontal="center" vertical="center"/>
      <protection hidden="1"/>
    </xf>
    <xf numFmtId="0" fontId="99" fillId="0" borderId="75" xfId="0" applyFont="1" applyBorder="1" applyAlignment="1">
      <alignment horizontal="center" vertical="center"/>
    </xf>
    <xf numFmtId="0" fontId="100" fillId="0" borderId="75" xfId="0" applyFont="1" applyBorder="1" applyAlignment="1" applyProtection="1">
      <alignment horizontal="center" vertical="center" wrapText="1"/>
      <protection locked="0"/>
    </xf>
    <xf numFmtId="0" fontId="99" fillId="0" borderId="75" xfId="0" applyFont="1" applyBorder="1" applyAlignment="1" applyProtection="1">
      <alignment horizontal="center" vertical="center"/>
      <protection hidden="1"/>
    </xf>
    <xf numFmtId="0" fontId="99" fillId="0" borderId="75" xfId="0" applyFont="1" applyBorder="1" applyAlignment="1" applyProtection="1">
      <alignment horizontal="center" vertical="center" textRotation="90"/>
      <protection locked="0"/>
    </xf>
    <xf numFmtId="9" fontId="99" fillId="0" borderId="75" xfId="0" applyNumberFormat="1" applyFont="1" applyBorder="1" applyAlignment="1" applyProtection="1">
      <alignment horizontal="center" vertical="center"/>
      <protection hidden="1"/>
    </xf>
    <xf numFmtId="164" fontId="99" fillId="0" borderId="75" xfId="1" applyNumberFormat="1" applyFont="1" applyBorder="1" applyAlignment="1">
      <alignment horizontal="center" vertical="center"/>
    </xf>
    <xf numFmtId="0" fontId="96" fillId="0" borderId="75" xfId="0" applyFont="1" applyBorder="1" applyAlignment="1" applyProtection="1">
      <alignment horizontal="center" vertical="center" textRotation="90" wrapText="1"/>
      <protection hidden="1"/>
    </xf>
    <xf numFmtId="0" fontId="96" fillId="0" borderId="75" xfId="0" applyFont="1" applyBorder="1" applyAlignment="1" applyProtection="1">
      <alignment horizontal="center" vertical="center" textRotation="90"/>
      <protection hidden="1"/>
    </xf>
    <xf numFmtId="0" fontId="101" fillId="0" borderId="75" xfId="0" applyFont="1" applyBorder="1" applyAlignment="1" applyProtection="1">
      <alignment horizontal="center" vertical="center" wrapText="1"/>
      <protection locked="0"/>
    </xf>
    <xf numFmtId="0" fontId="99" fillId="0" borderId="75" xfId="0" applyFont="1" applyBorder="1" applyAlignment="1" applyProtection="1">
      <alignment horizontal="center" vertical="center" wrapText="1"/>
      <protection locked="0"/>
    </xf>
    <xf numFmtId="14" fontId="99" fillId="0" borderId="75" xfId="0" applyNumberFormat="1" applyFont="1" applyBorder="1" applyAlignment="1" applyProtection="1">
      <alignment horizontal="center" vertical="center"/>
      <protection locked="0"/>
    </xf>
    <xf numFmtId="0" fontId="99" fillId="0" borderId="76" xfId="0" applyFont="1" applyBorder="1" applyAlignment="1" applyProtection="1">
      <alignment horizontal="center" vertical="center"/>
      <protection locked="0"/>
    </xf>
    <xf numFmtId="9" fontId="2" fillId="0" borderId="76" xfId="0" applyNumberFormat="1" applyFont="1" applyBorder="1" applyAlignment="1" applyProtection="1">
      <alignment horizontal="center" vertical="center" wrapText="1"/>
      <protection locked="0"/>
    </xf>
    <xf numFmtId="0" fontId="49" fillId="0" borderId="75" xfId="0" applyFont="1" applyBorder="1" applyAlignment="1" applyProtection="1">
      <alignment horizontal="center" vertical="center" wrapText="1"/>
      <protection locked="0"/>
    </xf>
    <xf numFmtId="0" fontId="2" fillId="0" borderId="75" xfId="0" applyFont="1" applyBorder="1" applyAlignment="1" applyProtection="1">
      <alignment horizontal="center" vertical="center"/>
      <protection hidden="1"/>
    </xf>
    <xf numFmtId="0" fontId="102" fillId="0" borderId="75" xfId="0" applyFont="1" applyBorder="1" applyAlignment="1">
      <alignment horizontal="center" vertical="center" wrapText="1"/>
    </xf>
    <xf numFmtId="0" fontId="102" fillId="0" borderId="75" xfId="0" applyFont="1" applyBorder="1" applyAlignment="1">
      <alignment horizontal="center" vertical="center"/>
    </xf>
    <xf numFmtId="0" fontId="102" fillId="0" borderId="75" xfId="0" applyFont="1" applyBorder="1" applyAlignment="1" applyProtection="1">
      <alignment horizontal="center" vertical="center" wrapText="1"/>
      <protection locked="0"/>
    </xf>
    <xf numFmtId="0" fontId="102" fillId="0" borderId="75" xfId="0" applyFont="1" applyBorder="1" applyAlignment="1" applyProtection="1">
      <alignment horizontal="center" vertical="center"/>
      <protection locked="0"/>
    </xf>
    <xf numFmtId="0" fontId="55" fillId="3" borderId="50" xfId="2" applyFont="1" applyFill="1" applyBorder="1" applyAlignment="1">
      <alignment horizontal="justify" vertical="center" wrapText="1"/>
    </xf>
    <xf numFmtId="0" fontId="55" fillId="3" borderId="51" xfId="2" applyFont="1" applyFill="1" applyBorder="1" applyAlignment="1">
      <alignment horizontal="justify" vertical="center" wrapText="1"/>
    </xf>
    <xf numFmtId="0" fontId="54" fillId="3" borderId="57" xfId="0" applyFont="1" applyFill="1" applyBorder="1" applyAlignment="1">
      <alignment horizontal="left" vertical="center" wrapText="1"/>
    </xf>
    <xf numFmtId="0" fontId="54" fillId="3" borderId="58" xfId="0" applyFont="1" applyFill="1" applyBorder="1" applyAlignment="1">
      <alignment horizontal="left" vertical="center" wrapText="1"/>
    </xf>
    <xf numFmtId="0" fontId="54" fillId="3" borderId="44" xfId="3" applyFont="1" applyFill="1" applyBorder="1" applyAlignment="1">
      <alignment horizontal="left" vertical="top" wrapText="1" readingOrder="1"/>
    </xf>
    <xf numFmtId="0" fontId="54" fillId="3" borderId="45" xfId="3" applyFont="1" applyFill="1" applyBorder="1" applyAlignment="1">
      <alignment horizontal="left" vertical="top" wrapText="1" readingOrder="1"/>
    </xf>
    <xf numFmtId="0" fontId="55" fillId="3" borderId="46" xfId="2" applyFont="1" applyFill="1" applyBorder="1" applyAlignment="1">
      <alignment horizontal="justify" vertical="center" wrapText="1"/>
    </xf>
    <xf numFmtId="0" fontId="55" fillId="3" borderId="47" xfId="2" applyFont="1" applyFill="1" applyBorder="1" applyAlignment="1">
      <alignment horizontal="justify" vertical="center" wrapText="1"/>
    </xf>
    <xf numFmtId="0" fontId="54" fillId="3" borderId="48" xfId="0" applyFont="1" applyFill="1" applyBorder="1" applyAlignment="1">
      <alignment horizontal="left" vertical="center" wrapText="1"/>
    </xf>
    <xf numFmtId="0" fontId="54" fillId="3" borderId="49" xfId="0" applyFont="1" applyFill="1" applyBorder="1" applyAlignment="1">
      <alignment horizontal="left" vertical="center" wrapText="1"/>
    </xf>
    <xf numFmtId="0" fontId="49" fillId="3" borderId="5" xfId="2" applyFont="1" applyFill="1" applyBorder="1" applyAlignment="1">
      <alignment horizontal="left" vertical="top" wrapText="1"/>
    </xf>
    <xf numFmtId="0" fontId="49" fillId="3" borderId="0" xfId="2" applyFont="1" applyFill="1" applyAlignment="1">
      <alignment horizontal="left" vertical="top" wrapText="1"/>
    </xf>
    <xf numFmtId="0" fontId="49" fillId="3" borderId="6" xfId="2" applyFont="1" applyFill="1" applyBorder="1" applyAlignment="1">
      <alignment horizontal="left" vertical="top" wrapText="1"/>
    </xf>
    <xf numFmtId="0" fontId="54" fillId="3" borderId="59" xfId="0" applyFont="1" applyFill="1" applyBorder="1" applyAlignment="1">
      <alignment horizontal="left" vertical="center" wrapText="1"/>
    </xf>
    <xf numFmtId="0" fontId="54" fillId="3" borderId="60" xfId="0" applyFont="1" applyFill="1" applyBorder="1" applyAlignment="1">
      <alignment horizontal="left" vertical="center" wrapText="1"/>
    </xf>
    <xf numFmtId="0" fontId="55" fillId="3" borderId="52" xfId="0" applyFont="1" applyFill="1" applyBorder="1" applyAlignment="1">
      <alignment horizontal="justify" vertical="center" wrapText="1"/>
    </xf>
    <xf numFmtId="0" fontId="55" fillId="3" borderId="53" xfId="0" applyFont="1" applyFill="1" applyBorder="1" applyAlignment="1">
      <alignment horizontal="justify" vertical="center" wrapText="1"/>
    </xf>
    <xf numFmtId="0" fontId="50" fillId="14" borderId="34" xfId="2" applyFont="1" applyFill="1" applyBorder="1" applyAlignment="1">
      <alignment horizontal="center" vertical="center" wrapText="1"/>
    </xf>
    <xf numFmtId="0" fontId="50" fillId="14" borderId="35" xfId="2" applyFont="1" applyFill="1" applyBorder="1" applyAlignment="1">
      <alignment horizontal="center" vertical="center" wrapText="1"/>
    </xf>
    <xf numFmtId="0" fontId="50" fillId="14" borderId="36" xfId="2" applyFont="1" applyFill="1" applyBorder="1" applyAlignment="1">
      <alignment horizontal="center" vertical="center" wrapText="1"/>
    </xf>
    <xf numFmtId="0" fontId="49" fillId="0" borderId="5" xfId="2" quotePrefix="1" applyFont="1" applyBorder="1" applyAlignment="1">
      <alignment horizontal="left" vertical="center" wrapText="1"/>
    </xf>
    <xf numFmtId="0" fontId="49" fillId="0" borderId="0" xfId="2" quotePrefix="1" applyFont="1" applyAlignment="1">
      <alignment horizontal="left" vertical="center" wrapText="1"/>
    </xf>
    <xf numFmtId="0" fontId="49" fillId="0" borderId="6" xfId="2" quotePrefix="1" applyFont="1" applyBorder="1" applyAlignment="1">
      <alignment horizontal="left" vertical="center" wrapText="1"/>
    </xf>
    <xf numFmtId="0" fontId="49" fillId="0" borderId="54" xfId="2" quotePrefix="1" applyFont="1" applyBorder="1" applyAlignment="1">
      <alignment horizontal="left" vertical="center" wrapText="1"/>
    </xf>
    <xf numFmtId="0" fontId="49" fillId="0" borderId="55" xfId="2" quotePrefix="1" applyFont="1" applyBorder="1" applyAlignment="1">
      <alignment horizontal="left" vertical="center" wrapText="1"/>
    </xf>
    <xf numFmtId="0" fontId="49" fillId="0" borderId="56" xfId="2" quotePrefix="1" applyFont="1" applyBorder="1" applyAlignment="1">
      <alignment horizontal="left" vertical="center" wrapText="1"/>
    </xf>
    <xf numFmtId="0" fontId="51" fillId="3" borderId="37" xfId="2" quotePrefix="1" applyFont="1" applyFill="1" applyBorder="1" applyAlignment="1">
      <alignment horizontal="left" vertical="top" wrapText="1"/>
    </xf>
    <xf numFmtId="0" fontId="52" fillId="3" borderId="38" xfId="2" quotePrefix="1" applyFont="1" applyFill="1" applyBorder="1" applyAlignment="1">
      <alignment horizontal="left" vertical="top" wrapText="1"/>
    </xf>
    <xf numFmtId="0" fontId="52" fillId="3" borderId="39" xfId="2" quotePrefix="1" applyFont="1" applyFill="1" applyBorder="1" applyAlignment="1">
      <alignment horizontal="left" vertical="top" wrapText="1"/>
    </xf>
    <xf numFmtId="0" fontId="49" fillId="0" borderId="5" xfId="2" quotePrefix="1" applyFont="1" applyBorder="1" applyAlignment="1">
      <alignment horizontal="left" vertical="top" wrapText="1"/>
    </xf>
    <xf numFmtId="0" fontId="49" fillId="0" borderId="0" xfId="2" quotePrefix="1" applyFont="1" applyAlignment="1">
      <alignment horizontal="left" vertical="top" wrapText="1"/>
    </xf>
    <xf numFmtId="0" fontId="49" fillId="0" borderId="6" xfId="2" quotePrefix="1" applyFont="1" applyBorder="1" applyAlignment="1">
      <alignment horizontal="left" vertical="top" wrapText="1"/>
    </xf>
    <xf numFmtId="0" fontId="54" fillId="14" borderId="40" xfId="3" applyFont="1" applyFill="1" applyBorder="1" applyAlignment="1">
      <alignment horizontal="center" vertical="center" wrapText="1"/>
    </xf>
    <xf numFmtId="0" fontId="54" fillId="14" borderId="41" xfId="3" applyFont="1" applyFill="1" applyBorder="1" applyAlignment="1">
      <alignment horizontal="center" vertical="center" wrapText="1"/>
    </xf>
    <xf numFmtId="0" fontId="54" fillId="14" borderId="42" xfId="2" applyFont="1" applyFill="1" applyBorder="1" applyAlignment="1">
      <alignment horizontal="center" vertical="center"/>
    </xf>
    <xf numFmtId="0" fontId="54" fillId="14" borderId="43" xfId="2" applyFont="1" applyFill="1" applyBorder="1" applyAlignment="1">
      <alignment horizontal="center" vertical="center"/>
    </xf>
    <xf numFmtId="0" fontId="2" fillId="3" borderId="54" xfId="2" quotePrefix="1" applyFont="1" applyFill="1" applyBorder="1" applyAlignment="1">
      <alignment horizontal="justify" vertical="center" wrapText="1"/>
    </xf>
    <xf numFmtId="0" fontId="2" fillId="3" borderId="55" xfId="2" quotePrefix="1" applyFont="1" applyFill="1" applyBorder="1" applyAlignment="1">
      <alignment horizontal="justify" vertical="center" wrapText="1"/>
    </xf>
    <xf numFmtId="0" fontId="2" fillId="3" borderId="56" xfId="2" quotePrefix="1" applyFont="1" applyFill="1" applyBorder="1" applyAlignment="1">
      <alignment horizontal="justify" vertical="center" wrapText="1"/>
    </xf>
    <xf numFmtId="14" fontId="94" fillId="3" borderId="75" xfId="0" applyNumberFormat="1" applyFont="1" applyFill="1" applyBorder="1" applyAlignment="1" applyProtection="1">
      <alignment horizontal="left" vertical="center"/>
      <protection locked="0"/>
    </xf>
    <xf numFmtId="0" fontId="94" fillId="3" borderId="75" xfId="0" applyFont="1" applyFill="1" applyBorder="1" applyAlignment="1" applyProtection="1">
      <alignment horizontal="left" vertical="center"/>
      <protection locked="0"/>
    </xf>
    <xf numFmtId="0" fontId="1" fillId="3" borderId="75" xfId="0" applyFont="1" applyFill="1" applyBorder="1" applyAlignment="1">
      <alignment horizontal="left" vertical="center"/>
    </xf>
    <xf numFmtId="0" fontId="89" fillId="17" borderId="75" xfId="0" applyFont="1" applyFill="1" applyBorder="1" applyAlignment="1">
      <alignment horizontal="center" vertical="center" wrapText="1"/>
    </xf>
    <xf numFmtId="0" fontId="88" fillId="17" borderId="75" xfId="0" applyFont="1" applyFill="1" applyBorder="1" applyAlignment="1">
      <alignment horizontal="center" vertical="center"/>
    </xf>
    <xf numFmtId="0" fontId="1" fillId="0" borderId="78" xfId="0" applyFont="1" applyBorder="1" applyAlignment="1">
      <alignment horizontal="center" vertical="center" wrapText="1"/>
    </xf>
    <xf numFmtId="0" fontId="1" fillId="0" borderId="79" xfId="0" applyFont="1" applyBorder="1" applyAlignment="1">
      <alignment horizontal="center" vertical="center" wrapText="1"/>
    </xf>
    <xf numFmtId="0" fontId="1" fillId="0" borderId="80" xfId="0" applyFont="1" applyBorder="1" applyAlignment="1">
      <alignment horizontal="center" vertical="center" wrapText="1"/>
    </xf>
    <xf numFmtId="0" fontId="98" fillId="0" borderId="76" xfId="0" applyFont="1" applyBorder="1" applyAlignment="1" applyProtection="1">
      <alignment horizontal="center" vertical="center" wrapText="1"/>
      <protection locked="0"/>
    </xf>
    <xf numFmtId="0" fontId="98" fillId="0" borderId="77" xfId="0" applyFont="1" applyBorder="1" applyAlignment="1" applyProtection="1">
      <alignment horizontal="center" vertical="center" wrapText="1"/>
      <protection locked="0"/>
    </xf>
    <xf numFmtId="0" fontId="1" fillId="0" borderId="76" xfId="0" applyFont="1" applyBorder="1" applyAlignment="1" applyProtection="1">
      <alignment horizontal="center" vertical="center" wrapText="1"/>
      <protection locked="0"/>
    </xf>
    <xf numFmtId="0" fontId="1" fillId="0" borderId="77" xfId="0" applyFont="1" applyBorder="1" applyAlignment="1" applyProtection="1">
      <alignment horizontal="center" vertical="center" wrapText="1"/>
      <protection locked="0"/>
    </xf>
    <xf numFmtId="0" fontId="99" fillId="0" borderId="76" xfId="0" applyFont="1" applyBorder="1" applyAlignment="1" applyProtection="1">
      <alignment horizontal="center" vertical="center" wrapText="1"/>
      <protection locked="0"/>
    </xf>
    <xf numFmtId="0" fontId="99" fillId="0" borderId="77" xfId="0" applyFont="1" applyBorder="1" applyAlignment="1" applyProtection="1">
      <alignment horizontal="center" vertical="center" wrapText="1"/>
      <protection locked="0"/>
    </xf>
    <xf numFmtId="0" fontId="88" fillId="17" borderId="75" xfId="0" applyFont="1" applyFill="1" applyBorder="1" applyAlignment="1">
      <alignment horizontal="center" vertical="center" wrapText="1"/>
    </xf>
    <xf numFmtId="0" fontId="25" fillId="2" borderId="75" xfId="0" applyFont="1" applyFill="1" applyBorder="1" applyAlignment="1">
      <alignment horizontal="left" vertical="center"/>
    </xf>
    <xf numFmtId="0" fontId="93" fillId="17" borderId="75" xfId="0" applyFont="1" applyFill="1" applyBorder="1" applyAlignment="1">
      <alignment horizontal="center" vertical="center" textRotation="90"/>
    </xf>
    <xf numFmtId="0" fontId="88" fillId="17" borderId="75" xfId="0" applyFont="1" applyFill="1" applyBorder="1" applyAlignment="1">
      <alignment horizontal="center" vertical="center" textRotation="90" wrapText="1"/>
    </xf>
    <xf numFmtId="0" fontId="8" fillId="3" borderId="75" xfId="0" applyFont="1" applyFill="1" applyBorder="1" applyAlignment="1" applyProtection="1">
      <alignment horizontal="left" vertical="center"/>
      <protection locked="0"/>
    </xf>
    <xf numFmtId="0" fontId="8" fillId="3" borderId="75" xfId="0" applyFont="1" applyFill="1" applyBorder="1" applyAlignment="1" applyProtection="1">
      <alignment horizontal="left" vertical="center" wrapText="1"/>
      <protection locked="0"/>
    </xf>
    <xf numFmtId="0" fontId="92" fillId="17" borderId="75" xfId="0" applyFont="1" applyFill="1" applyBorder="1" applyAlignment="1">
      <alignment horizontal="center" vertical="center"/>
    </xf>
    <xf numFmtId="0" fontId="91" fillId="17" borderId="75" xfId="0" applyFont="1" applyFill="1" applyBorder="1" applyAlignment="1">
      <alignment horizontal="center" vertical="center"/>
    </xf>
    <xf numFmtId="0" fontId="1" fillId="0" borderId="75" xfId="0" applyFont="1" applyBorder="1" applyAlignment="1" applyProtection="1">
      <alignment horizontal="center" vertical="center" wrapText="1"/>
      <protection locked="0"/>
    </xf>
    <xf numFmtId="0" fontId="2" fillId="0" borderId="75" xfId="0" applyFont="1" applyBorder="1" applyAlignment="1" applyProtection="1">
      <alignment horizontal="center" vertical="center" wrapText="1"/>
      <protection locked="0"/>
    </xf>
    <xf numFmtId="0" fontId="1" fillId="0" borderId="75" xfId="0" applyFont="1" applyBorder="1" applyAlignment="1">
      <alignment horizontal="center" vertical="center"/>
    </xf>
    <xf numFmtId="0" fontId="1" fillId="0" borderId="75" xfId="0" applyFont="1" applyBorder="1" applyAlignment="1">
      <alignment horizontal="center" vertical="center" wrapText="1"/>
    </xf>
    <xf numFmtId="0" fontId="2" fillId="0" borderId="76" xfId="0" applyFont="1" applyBorder="1" applyAlignment="1" applyProtection="1">
      <alignment horizontal="center" vertical="center" wrapText="1"/>
      <protection locked="0"/>
    </xf>
    <xf numFmtId="0" fontId="2" fillId="0" borderId="77" xfId="0" applyFont="1" applyBorder="1" applyAlignment="1" applyProtection="1">
      <alignment horizontal="center" vertical="center" wrapText="1"/>
      <protection locked="0"/>
    </xf>
    <xf numFmtId="0" fontId="2" fillId="0" borderId="76" xfId="0" applyFont="1" applyBorder="1" applyAlignment="1">
      <alignment horizontal="center" vertical="center"/>
    </xf>
    <xf numFmtId="0" fontId="2" fillId="0" borderId="77" xfId="0" applyFont="1" applyBorder="1" applyAlignment="1">
      <alignment horizontal="center" vertical="center"/>
    </xf>
    <xf numFmtId="0" fontId="2" fillId="0" borderId="76" xfId="0" applyFont="1" applyBorder="1" applyAlignment="1">
      <alignment horizontal="center" vertical="center" wrapText="1"/>
    </xf>
    <xf numFmtId="0" fontId="2" fillId="0" borderId="77" xfId="0" applyFont="1" applyBorder="1" applyAlignment="1">
      <alignment horizontal="center" vertical="center" wrapText="1"/>
    </xf>
    <xf numFmtId="0" fontId="1" fillId="0" borderId="76" xfId="0" applyFont="1" applyBorder="1" applyAlignment="1">
      <alignment horizontal="center" vertical="center" wrapText="1"/>
    </xf>
    <xf numFmtId="0" fontId="1" fillId="0" borderId="77" xfId="0" applyFont="1" applyBorder="1" applyAlignment="1">
      <alignment horizontal="center" vertical="center" wrapText="1"/>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99" fillId="0" borderId="76" xfId="0" applyFont="1" applyBorder="1" applyAlignment="1">
      <alignment horizontal="center" vertical="center"/>
    </xf>
    <xf numFmtId="0" fontId="99" fillId="0" borderId="77" xfId="0" applyFont="1" applyBorder="1" applyAlignment="1">
      <alignment horizontal="center" vertical="center"/>
    </xf>
    <xf numFmtId="0" fontId="99" fillId="0" borderId="76" xfId="0" applyFont="1" applyBorder="1" applyAlignment="1">
      <alignment horizontal="center" vertical="center" wrapText="1"/>
    </xf>
    <xf numFmtId="0" fontId="99" fillId="0" borderId="77" xfId="0" applyFont="1" applyBorder="1" applyAlignment="1">
      <alignment horizontal="center" vertical="center" wrapText="1"/>
    </xf>
    <xf numFmtId="0" fontId="63" fillId="17" borderId="62" xfId="0" applyFont="1" applyFill="1" applyBorder="1" applyAlignment="1">
      <alignment horizontal="center" vertical="center" wrapText="1"/>
    </xf>
    <xf numFmtId="0" fontId="63" fillId="17" borderId="63" xfId="0" applyFont="1" applyFill="1" applyBorder="1" applyAlignment="1">
      <alignment horizontal="center" vertical="center" wrapText="1"/>
    </xf>
    <xf numFmtId="0" fontId="63" fillId="17" borderId="64" xfId="0" applyFont="1" applyFill="1" applyBorder="1" applyAlignment="1">
      <alignment horizontal="center" vertical="center" wrapText="1"/>
    </xf>
    <xf numFmtId="0" fontId="64" fillId="0" borderId="61" xfId="0" applyFont="1" applyBorder="1" applyAlignment="1">
      <alignment horizontal="center" vertical="center" textRotation="45" wrapText="1"/>
    </xf>
    <xf numFmtId="0" fontId="64" fillId="0" borderId="65" xfId="0" applyFont="1" applyBorder="1" applyAlignment="1">
      <alignment horizontal="center" vertical="center" textRotation="45" wrapText="1"/>
    </xf>
    <xf numFmtId="0" fontId="64" fillId="0" borderId="66" xfId="0" applyFont="1" applyBorder="1" applyAlignment="1">
      <alignment horizontal="center" vertical="center" textRotation="45" wrapText="1"/>
    </xf>
    <xf numFmtId="0" fontId="65" fillId="0" borderId="61" xfId="0" applyFont="1" applyBorder="1" applyAlignment="1">
      <alignment horizontal="center" vertical="center" wrapText="1"/>
    </xf>
    <xf numFmtId="0" fontId="59" fillId="0" borderId="0" xfId="0" applyFont="1" applyAlignment="1">
      <alignment horizontal="center" vertical="center" wrapText="1"/>
    </xf>
    <xf numFmtId="0" fontId="63" fillId="17" borderId="61" xfId="0" applyFont="1" applyFill="1" applyBorder="1" applyAlignment="1">
      <alignment horizontal="center" vertical="center" wrapText="1"/>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64" xfId="0" applyFont="1" applyBorder="1" applyAlignment="1">
      <alignment horizontal="center" vertical="center" wrapText="1"/>
    </xf>
    <xf numFmtId="0" fontId="65" fillId="0" borderId="65" xfId="0" applyFont="1" applyBorder="1" applyAlignment="1">
      <alignment horizontal="center" vertical="center" wrapText="1"/>
    </xf>
    <xf numFmtId="0" fontId="65" fillId="0" borderId="66" xfId="0" applyFont="1" applyBorder="1" applyAlignment="1">
      <alignment horizontal="center" vertical="center" wrapText="1"/>
    </xf>
    <xf numFmtId="0" fontId="66" fillId="16" borderId="65" xfId="0" applyFont="1" applyFill="1" applyBorder="1" applyAlignment="1">
      <alignment horizontal="center" vertical="center" wrapText="1"/>
    </xf>
    <xf numFmtId="0" fontId="66" fillId="16" borderId="66" xfId="0" applyFont="1" applyFill="1" applyBorder="1" applyAlignment="1">
      <alignment horizontal="center" vertical="center" wrapText="1"/>
    </xf>
    <xf numFmtId="0" fontId="67" fillId="0" borderId="62" xfId="0" applyFont="1" applyBorder="1" applyAlignment="1">
      <alignment horizontal="center" vertical="center" wrapText="1"/>
    </xf>
    <xf numFmtId="0" fontId="67" fillId="0" borderId="64" xfId="0" applyFont="1" applyBorder="1" applyAlignment="1">
      <alignment horizontal="center" vertical="center" wrapText="1"/>
    </xf>
    <xf numFmtId="0" fontId="66" fillId="0" borderId="65" xfId="0" applyFont="1" applyBorder="1" applyAlignment="1">
      <alignment horizontal="center" vertical="center"/>
    </xf>
    <xf numFmtId="0" fontId="66" fillId="0" borderId="66" xfId="0" applyFont="1" applyBorder="1" applyAlignment="1">
      <alignment horizontal="center" vertical="center"/>
    </xf>
    <xf numFmtId="0" fontId="71" fillId="18" borderId="61" xfId="0" applyFont="1" applyFill="1" applyBorder="1" applyAlignment="1">
      <alignment horizontal="center" vertical="center" wrapText="1"/>
    </xf>
    <xf numFmtId="0" fontId="77" fillId="18" borderId="61" xfId="0" applyFont="1" applyFill="1" applyBorder="1" applyAlignment="1">
      <alignment horizontal="center" vertical="center" wrapText="1"/>
    </xf>
    <xf numFmtId="0" fontId="60" fillId="16" borderId="61" xfId="0" applyFont="1" applyFill="1" applyBorder="1" applyAlignment="1">
      <alignment horizontal="center" vertical="center" wrapText="1"/>
    </xf>
    <xf numFmtId="0" fontId="71" fillId="19" borderId="61" xfId="0" applyFont="1" applyFill="1" applyBorder="1" applyAlignment="1">
      <alignment horizontal="center" vertical="center" wrapText="1"/>
    </xf>
    <xf numFmtId="0" fontId="70" fillId="18" borderId="62" xfId="0" applyFont="1" applyFill="1" applyBorder="1" applyAlignment="1">
      <alignment horizontal="center" vertical="center" wrapText="1"/>
    </xf>
    <xf numFmtId="0" fontId="73" fillId="18" borderId="61" xfId="0" applyFont="1" applyFill="1" applyBorder="1" applyAlignment="1">
      <alignment horizontal="center" vertical="center" wrapText="1"/>
    </xf>
    <xf numFmtId="0" fontId="74" fillId="21" borderId="61" xfId="0" applyFont="1" applyFill="1" applyBorder="1" applyAlignment="1">
      <alignment horizontal="center" vertical="center" wrapText="1"/>
    </xf>
    <xf numFmtId="0" fontId="71" fillId="4" borderId="61" xfId="0" applyFont="1" applyFill="1" applyBorder="1" applyAlignment="1">
      <alignment horizontal="center" vertical="center" wrapText="1"/>
    </xf>
    <xf numFmtId="0" fontId="0" fillId="20" borderId="61" xfId="0" applyFill="1" applyBorder="1" applyAlignment="1">
      <alignment horizontal="center" vertical="center" wrapText="1"/>
    </xf>
    <xf numFmtId="0" fontId="73" fillId="18" borderId="61" xfId="0" quotePrefix="1" applyFont="1" applyFill="1" applyBorder="1" applyAlignment="1">
      <alignment horizontal="center" vertical="center" wrapText="1"/>
    </xf>
    <xf numFmtId="17" fontId="71" fillId="18" borderId="61" xfId="0" applyNumberFormat="1" applyFont="1" applyFill="1" applyBorder="1" applyAlignment="1">
      <alignment horizontal="center" vertical="center" wrapText="1"/>
    </xf>
    <xf numFmtId="0" fontId="75" fillId="22" borderId="61" xfId="0" applyFont="1" applyFill="1" applyBorder="1" applyAlignment="1">
      <alignment horizontal="center" vertical="center" wrapText="1"/>
    </xf>
    <xf numFmtId="0" fontId="62" fillId="16" borderId="0" xfId="0" applyFont="1" applyFill="1" applyAlignment="1">
      <alignment horizontal="left" vertical="center" wrapText="1"/>
    </xf>
    <xf numFmtId="0" fontId="60" fillId="16" borderId="65" xfId="0" applyFont="1" applyFill="1" applyBorder="1" applyAlignment="1">
      <alignment horizontal="center" vertical="center" wrapText="1"/>
    </xf>
    <xf numFmtId="0" fontId="60" fillId="16" borderId="67" xfId="0" applyFont="1" applyFill="1" applyBorder="1" applyAlignment="1">
      <alignment horizontal="center" vertical="center" wrapText="1"/>
    </xf>
    <xf numFmtId="0" fontId="60" fillId="16" borderId="66" xfId="0" applyFont="1" applyFill="1" applyBorder="1" applyAlignment="1">
      <alignment horizontal="center" vertical="center" wrapText="1"/>
    </xf>
    <xf numFmtId="0" fontId="60" fillId="3" borderId="65" xfId="0" applyFont="1" applyFill="1" applyBorder="1" applyAlignment="1">
      <alignment horizontal="center" vertical="center" wrapText="1"/>
    </xf>
    <xf numFmtId="0" fontId="60" fillId="3" borderId="67" xfId="0" applyFont="1" applyFill="1" applyBorder="1" applyAlignment="1">
      <alignment horizontal="center" vertical="center" wrapText="1"/>
    </xf>
    <xf numFmtId="0" fontId="60" fillId="3" borderId="66" xfId="0" applyFont="1" applyFill="1" applyBorder="1" applyAlignment="1">
      <alignment horizontal="center" vertical="center" wrapText="1"/>
    </xf>
    <xf numFmtId="0" fontId="78" fillId="23" borderId="65" xfId="0" applyFont="1" applyFill="1" applyBorder="1" applyAlignment="1">
      <alignment horizontal="center" vertical="center" wrapText="1"/>
    </xf>
    <xf numFmtId="0" fontId="78" fillId="23" borderId="67" xfId="0" applyFont="1" applyFill="1" applyBorder="1" applyAlignment="1">
      <alignment horizontal="center" vertical="center" wrapText="1"/>
    </xf>
    <xf numFmtId="0" fontId="78" fillId="23" borderId="66" xfId="0" applyFont="1" applyFill="1" applyBorder="1" applyAlignment="1">
      <alignment horizontal="center" vertical="center" wrapText="1"/>
    </xf>
    <xf numFmtId="0" fontId="70" fillId="16" borderId="65" xfId="0" applyFont="1" applyFill="1" applyBorder="1" applyAlignment="1">
      <alignment horizontal="center" vertical="center" wrapText="1"/>
    </xf>
    <xf numFmtId="0" fontId="70" fillId="16" borderId="67" xfId="0" applyFont="1" applyFill="1" applyBorder="1" applyAlignment="1">
      <alignment horizontal="center" vertical="center" wrapText="1"/>
    </xf>
    <xf numFmtId="0" fontId="70" fillId="16" borderId="66" xfId="0" applyFont="1" applyFill="1" applyBorder="1" applyAlignment="1">
      <alignment horizontal="center" vertical="center" wrapText="1"/>
    </xf>
    <xf numFmtId="0" fontId="64" fillId="0" borderId="67" xfId="0" applyFont="1" applyBorder="1" applyAlignment="1">
      <alignment horizontal="center" vertical="center" textRotation="45" wrapText="1"/>
    </xf>
    <xf numFmtId="0" fontId="0" fillId="0" borderId="65" xfId="0" applyBorder="1" applyAlignment="1">
      <alignment horizontal="center" vertical="center"/>
    </xf>
    <xf numFmtId="0" fontId="0" fillId="0" borderId="67" xfId="0" applyBorder="1" applyAlignment="1">
      <alignment horizontal="center" vertical="center"/>
    </xf>
    <xf numFmtId="0" fontId="77" fillId="16" borderId="65" xfId="0" applyFont="1" applyFill="1" applyBorder="1" applyAlignment="1">
      <alignment horizontal="center" vertical="center" wrapText="1"/>
    </xf>
    <xf numFmtId="0" fontId="77" fillId="16" borderId="67" xfId="0" applyFont="1" applyFill="1" applyBorder="1" applyAlignment="1">
      <alignment horizontal="center" vertical="center" wrapText="1"/>
    </xf>
    <xf numFmtId="0" fontId="77" fillId="16" borderId="66" xfId="0" applyFont="1" applyFill="1" applyBorder="1" applyAlignment="1">
      <alignment horizontal="center" vertical="center" wrapText="1"/>
    </xf>
    <xf numFmtId="0" fontId="64" fillId="0" borderId="67" xfId="0" applyFont="1" applyBorder="1" applyAlignment="1">
      <alignment horizontal="center" vertical="center" textRotation="45"/>
    </xf>
    <xf numFmtId="0" fontId="64" fillId="0" borderId="66" xfId="0" applyFont="1" applyBorder="1" applyAlignment="1">
      <alignment horizontal="center" vertical="center" textRotation="45"/>
    </xf>
    <xf numFmtId="0" fontId="84" fillId="21" borderId="65" xfId="0" applyFont="1" applyFill="1" applyBorder="1" applyAlignment="1">
      <alignment horizontal="center" vertical="center" wrapText="1"/>
    </xf>
    <xf numFmtId="0" fontId="86" fillId="0" borderId="67" xfId="0" applyFont="1" applyBorder="1"/>
    <xf numFmtId="0" fontId="86" fillId="0" borderId="66" xfId="0" applyFont="1" applyBorder="1"/>
    <xf numFmtId="0" fontId="74" fillId="26" borderId="65" xfId="0" applyFont="1" applyFill="1" applyBorder="1" applyAlignment="1">
      <alignment horizontal="center" vertical="center" wrapText="1"/>
    </xf>
    <xf numFmtId="0" fontId="86" fillId="3" borderId="67" xfId="0" applyFont="1" applyFill="1" applyBorder="1"/>
    <xf numFmtId="0" fontId="86" fillId="3" borderId="66" xfId="0" applyFont="1" applyFill="1" applyBorder="1"/>
    <xf numFmtId="0" fontId="84" fillId="26" borderId="65" xfId="0" applyFont="1" applyFill="1" applyBorder="1" applyAlignment="1">
      <alignment horizontal="center" vertical="center" wrapText="1"/>
    </xf>
    <xf numFmtId="0" fontId="77" fillId="21" borderId="65" xfId="0" applyFont="1" applyFill="1" applyBorder="1" applyAlignment="1">
      <alignment horizontal="center" vertical="center" wrapText="1"/>
    </xf>
    <xf numFmtId="0" fontId="87" fillId="0" borderId="67" xfId="0" applyFont="1" applyBorder="1"/>
    <xf numFmtId="0" fontId="87" fillId="0" borderId="66" xfId="0" applyFont="1" applyBorder="1"/>
    <xf numFmtId="0" fontId="84" fillId="25" borderId="65" xfId="0" applyFont="1" applyFill="1" applyBorder="1" applyAlignment="1">
      <alignment horizontal="center" vertical="center" wrapText="1"/>
    </xf>
    <xf numFmtId="16" fontId="84" fillId="25" borderId="65" xfId="0" applyNumberFormat="1" applyFont="1" applyFill="1" applyBorder="1" applyAlignment="1">
      <alignment horizontal="center" vertical="center" wrapText="1"/>
    </xf>
    <xf numFmtId="0" fontId="78" fillId="3" borderId="65" xfId="0" applyFont="1" applyFill="1" applyBorder="1" applyAlignment="1">
      <alignment horizontal="center" vertical="center" wrapText="1"/>
    </xf>
    <xf numFmtId="0" fontId="78" fillId="3" borderId="67" xfId="0" applyFont="1" applyFill="1" applyBorder="1" applyAlignment="1">
      <alignment horizontal="center" vertical="center" wrapText="1"/>
    </xf>
    <xf numFmtId="0" fontId="78" fillId="3" borderId="66" xfId="0" applyFont="1" applyFill="1" applyBorder="1" applyAlignment="1">
      <alignment horizontal="center" vertical="center" wrapText="1"/>
    </xf>
    <xf numFmtId="0" fontId="71" fillId="4" borderId="68" xfId="0" applyFont="1" applyFill="1" applyBorder="1" applyAlignment="1">
      <alignment horizontal="center" vertical="center" wrapText="1"/>
    </xf>
    <xf numFmtId="0" fontId="71" fillId="4" borderId="69" xfId="0" applyFont="1" applyFill="1" applyBorder="1" applyAlignment="1">
      <alignment horizontal="center" vertical="center" wrapText="1"/>
    </xf>
    <xf numFmtId="0" fontId="71" fillId="4" borderId="70" xfId="0" applyFont="1" applyFill="1" applyBorder="1" applyAlignment="1">
      <alignment horizontal="center" vertical="center" wrapText="1"/>
    </xf>
    <xf numFmtId="14" fontId="60" fillId="3" borderId="65" xfId="0" applyNumberFormat="1" applyFont="1" applyFill="1" applyBorder="1" applyAlignment="1">
      <alignment horizontal="center" vertical="center" wrapText="1"/>
    </xf>
    <xf numFmtId="0" fontId="71" fillId="3" borderId="68" xfId="0" applyFont="1" applyFill="1" applyBorder="1" applyAlignment="1">
      <alignment horizontal="center" vertical="center" wrapText="1"/>
    </xf>
    <xf numFmtId="0" fontId="71" fillId="3" borderId="69" xfId="0" applyFont="1" applyFill="1" applyBorder="1" applyAlignment="1">
      <alignment horizontal="center" vertical="center" wrapText="1"/>
    </xf>
    <xf numFmtId="0" fontId="71" fillId="3" borderId="70" xfId="0" applyFont="1" applyFill="1" applyBorder="1" applyAlignment="1">
      <alignment horizontal="center" vertical="center" wrapText="1"/>
    </xf>
    <xf numFmtId="14" fontId="71" fillId="3" borderId="68" xfId="0" applyNumberFormat="1" applyFont="1" applyFill="1" applyBorder="1" applyAlignment="1">
      <alignment horizontal="center" vertical="center" wrapText="1"/>
    </xf>
    <xf numFmtId="14" fontId="71" fillId="3" borderId="69" xfId="0" applyNumberFormat="1" applyFont="1" applyFill="1" applyBorder="1" applyAlignment="1">
      <alignment horizontal="center" vertical="center" wrapText="1"/>
    </xf>
    <xf numFmtId="14" fontId="71" fillId="3" borderId="70" xfId="0" applyNumberFormat="1" applyFont="1" applyFill="1" applyBorder="1" applyAlignment="1">
      <alignment horizontal="center" vertical="center" wrapText="1"/>
    </xf>
    <xf numFmtId="0" fontId="71" fillId="5" borderId="68" xfId="0" applyFont="1" applyFill="1" applyBorder="1" applyAlignment="1">
      <alignment horizontal="center" vertical="center" wrapText="1"/>
    </xf>
    <xf numFmtId="0" fontId="71" fillId="5" borderId="69" xfId="0" applyFont="1" applyFill="1" applyBorder="1" applyAlignment="1">
      <alignment horizontal="center" vertical="center" wrapText="1"/>
    </xf>
    <xf numFmtId="0" fontId="71" fillId="5" borderId="70" xfId="0" applyFont="1" applyFill="1" applyBorder="1" applyAlignment="1">
      <alignment horizontal="center" vertical="center" wrapText="1"/>
    </xf>
    <xf numFmtId="17" fontId="71" fillId="3" borderId="68" xfId="0" applyNumberFormat="1" applyFont="1" applyFill="1" applyBorder="1" applyAlignment="1">
      <alignment horizontal="center" vertical="center" wrapText="1"/>
    </xf>
    <xf numFmtId="17" fontId="71" fillId="3" borderId="69" xfId="0" applyNumberFormat="1" applyFont="1" applyFill="1" applyBorder="1" applyAlignment="1">
      <alignment horizontal="center" vertical="center" wrapText="1"/>
    </xf>
    <xf numFmtId="17" fontId="71" fillId="3" borderId="70" xfId="0" applyNumberFormat="1" applyFont="1" applyFill="1" applyBorder="1" applyAlignment="1">
      <alignment horizontal="center" vertical="center" wrapText="1"/>
    </xf>
    <xf numFmtId="0" fontId="0" fillId="3" borderId="68" xfId="0" applyFill="1" applyBorder="1" applyAlignment="1">
      <alignment horizontal="center" vertical="center" wrapText="1"/>
    </xf>
    <xf numFmtId="0" fontId="0" fillId="3" borderId="69" xfId="0" applyFill="1" applyBorder="1" applyAlignment="1">
      <alignment horizontal="center" vertical="center" wrapText="1"/>
    </xf>
    <xf numFmtId="0" fontId="0" fillId="3" borderId="70" xfId="0" applyFill="1" applyBorder="1" applyAlignment="1">
      <alignment horizontal="center" vertical="center" wrapText="1"/>
    </xf>
    <xf numFmtId="0" fontId="75" fillId="3" borderId="68" xfId="0" applyFont="1" applyFill="1" applyBorder="1" applyAlignment="1">
      <alignment horizontal="center" vertical="center" wrapText="1"/>
    </xf>
    <xf numFmtId="0" fontId="75" fillId="3" borderId="69" xfId="0" applyFont="1" applyFill="1" applyBorder="1" applyAlignment="1">
      <alignment horizontal="center" vertical="center" wrapText="1"/>
    </xf>
    <xf numFmtId="0" fontId="75" fillId="3" borderId="70" xfId="0" applyFont="1" applyFill="1" applyBorder="1" applyAlignment="1">
      <alignment horizontal="center" vertical="center" wrapText="1"/>
    </xf>
    <xf numFmtId="0" fontId="0" fillId="3" borderId="68" xfId="0" applyFill="1" applyBorder="1" applyAlignment="1">
      <alignment vertical="center" wrapText="1"/>
    </xf>
    <xf numFmtId="0" fontId="0" fillId="3" borderId="69" xfId="0" applyFill="1" applyBorder="1" applyAlignment="1">
      <alignment vertical="center" wrapText="1"/>
    </xf>
    <xf numFmtId="0" fontId="0" fillId="3" borderId="70" xfId="0" applyFill="1" applyBorder="1" applyAlignment="1">
      <alignment vertical="center" wrapText="1"/>
    </xf>
    <xf numFmtId="0" fontId="71" fillId="7" borderId="68" xfId="0" applyFont="1" applyFill="1" applyBorder="1" applyAlignment="1">
      <alignment horizontal="center" vertical="center" wrapText="1"/>
    </xf>
    <xf numFmtId="0" fontId="71" fillId="7" borderId="69" xfId="0" applyFont="1" applyFill="1" applyBorder="1" applyAlignment="1">
      <alignment horizontal="center" vertical="center" wrapText="1"/>
    </xf>
    <xf numFmtId="0" fontId="71" fillId="7" borderId="70" xfId="0" applyFont="1" applyFill="1" applyBorder="1" applyAlignment="1">
      <alignment horizontal="center" vertical="center" wrapText="1"/>
    </xf>
    <xf numFmtId="0" fontId="71" fillId="18" borderId="68" xfId="0" applyFont="1" applyFill="1" applyBorder="1" applyAlignment="1">
      <alignment horizontal="center" vertical="center" wrapText="1"/>
    </xf>
    <xf numFmtId="0" fontId="71" fillId="18" borderId="69" xfId="0" applyFont="1" applyFill="1" applyBorder="1" applyAlignment="1">
      <alignment horizontal="center" vertical="center" wrapText="1"/>
    </xf>
    <xf numFmtId="0" fontId="71" fillId="18" borderId="70" xfId="0" applyFont="1" applyFill="1" applyBorder="1" applyAlignment="1">
      <alignment horizontal="center" vertical="center" wrapText="1"/>
    </xf>
    <xf numFmtId="14" fontId="71" fillId="18" borderId="68" xfId="0" applyNumberFormat="1" applyFont="1" applyFill="1" applyBorder="1" applyAlignment="1">
      <alignment horizontal="center" vertical="center" wrapText="1"/>
    </xf>
    <xf numFmtId="14" fontId="71" fillId="18" borderId="69" xfId="0" applyNumberFormat="1" applyFont="1" applyFill="1" applyBorder="1" applyAlignment="1">
      <alignment horizontal="center" vertical="center" wrapText="1"/>
    </xf>
    <xf numFmtId="14" fontId="71" fillId="18" borderId="70" xfId="0" applyNumberFormat="1" applyFont="1" applyFill="1" applyBorder="1" applyAlignment="1">
      <alignment horizontal="center" vertical="center" wrapText="1"/>
    </xf>
    <xf numFmtId="0" fontId="71" fillId="3" borderId="72" xfId="0" applyFont="1" applyFill="1" applyBorder="1" applyAlignment="1">
      <alignment horizontal="center" vertical="center" wrapText="1"/>
    </xf>
    <xf numFmtId="14" fontId="0" fillId="3" borderId="68" xfId="0" applyNumberFormat="1" applyFill="1" applyBorder="1" applyAlignment="1">
      <alignment vertical="center" wrapText="1"/>
    </xf>
    <xf numFmtId="14" fontId="0" fillId="3" borderId="69" xfId="0" applyNumberFormat="1" applyFill="1" applyBorder="1" applyAlignment="1">
      <alignment vertical="center" wrapText="1"/>
    </xf>
    <xf numFmtId="14" fontId="0" fillId="3" borderId="70" xfId="0" applyNumberFormat="1" applyFill="1" applyBorder="1" applyAlignment="1">
      <alignment vertical="center" wrapText="1"/>
    </xf>
    <xf numFmtId="0" fontId="19" fillId="10" borderId="0" xfId="0" applyFont="1" applyFill="1" applyAlignment="1">
      <alignment horizontal="center" vertical="center" textRotation="90" wrapText="1" readingOrder="1"/>
    </xf>
    <xf numFmtId="0" fontId="19" fillId="10" borderId="6" xfId="0" applyFont="1" applyFill="1" applyBorder="1" applyAlignment="1">
      <alignment horizontal="center" vertical="center" textRotation="90" wrapText="1" readingOrder="1"/>
    </xf>
    <xf numFmtId="0" fontId="22" fillId="12" borderId="11" xfId="0" applyFont="1" applyFill="1" applyBorder="1" applyAlignment="1">
      <alignment horizontal="center" vertical="center" wrapText="1" readingOrder="1"/>
    </xf>
    <xf numFmtId="0" fontId="22" fillId="12" borderId="12" xfId="0" applyFont="1" applyFill="1" applyBorder="1" applyAlignment="1">
      <alignment horizontal="center" vertical="center" wrapText="1" readingOrder="1"/>
    </xf>
    <xf numFmtId="0" fontId="22" fillId="12" borderId="13" xfId="0" applyFont="1" applyFill="1" applyBorder="1" applyAlignment="1">
      <alignment horizontal="center" vertical="center" wrapText="1" readingOrder="1"/>
    </xf>
    <xf numFmtId="0" fontId="22" fillId="12" borderId="14"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15" xfId="0" applyFont="1" applyFill="1" applyBorder="1" applyAlignment="1">
      <alignment horizontal="center" vertical="center" wrapText="1" readingOrder="1"/>
    </xf>
    <xf numFmtId="0" fontId="22" fillId="12" borderId="16" xfId="0" applyFont="1" applyFill="1" applyBorder="1" applyAlignment="1">
      <alignment horizontal="center" vertical="center" wrapText="1" readingOrder="1"/>
    </xf>
    <xf numFmtId="0" fontId="22" fillId="12" borderId="17" xfId="0" applyFont="1" applyFill="1" applyBorder="1" applyAlignment="1">
      <alignment horizontal="center" vertical="center" wrapText="1" readingOrder="1"/>
    </xf>
    <xf numFmtId="0" fontId="22" fillId="12" borderId="18" xfId="0" applyFont="1" applyFill="1" applyBorder="1" applyAlignment="1">
      <alignment horizontal="center" vertical="center" wrapText="1" readingOrder="1"/>
    </xf>
    <xf numFmtId="0" fontId="22" fillId="11" borderId="11" xfId="0" applyFont="1" applyFill="1" applyBorder="1" applyAlignment="1">
      <alignment horizontal="center" vertical="center" wrapText="1" readingOrder="1"/>
    </xf>
    <xf numFmtId="0" fontId="22" fillId="11" borderId="12" xfId="0" applyFont="1" applyFill="1" applyBorder="1" applyAlignment="1">
      <alignment horizontal="center" vertical="center" wrapText="1" readingOrder="1"/>
    </xf>
    <xf numFmtId="0" fontId="22" fillId="11" borderId="13" xfId="0" applyFont="1" applyFill="1" applyBorder="1" applyAlignment="1">
      <alignment horizontal="center" vertical="center" wrapText="1" readingOrder="1"/>
    </xf>
    <xf numFmtId="0" fontId="22" fillId="11" borderId="14"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15" xfId="0" applyFont="1" applyFill="1" applyBorder="1" applyAlignment="1">
      <alignment horizontal="center" vertical="center" wrapText="1" readingOrder="1"/>
    </xf>
    <xf numFmtId="0" fontId="22" fillId="11" borderId="16" xfId="0" applyFont="1" applyFill="1" applyBorder="1" applyAlignment="1">
      <alignment horizontal="center" vertical="center" wrapText="1" readingOrder="1"/>
    </xf>
    <xf numFmtId="0" fontId="22" fillId="11" borderId="17" xfId="0" applyFont="1" applyFill="1" applyBorder="1" applyAlignment="1">
      <alignment horizontal="center" vertical="center" wrapText="1" readingOrder="1"/>
    </xf>
    <xf numFmtId="0" fontId="22" fillId="11" borderId="18" xfId="0" applyFont="1" applyFill="1" applyBorder="1" applyAlignment="1">
      <alignment horizontal="center" vertical="center" wrapText="1" readingOrder="1"/>
    </xf>
    <xf numFmtId="0" fontId="22" fillId="13" borderId="11" xfId="0" applyFont="1" applyFill="1" applyBorder="1" applyAlignment="1">
      <alignment horizontal="center" vertical="center" wrapText="1" readingOrder="1"/>
    </xf>
    <xf numFmtId="0" fontId="22" fillId="13" borderId="12" xfId="0" applyFont="1" applyFill="1" applyBorder="1" applyAlignment="1">
      <alignment horizontal="center" vertical="center" wrapText="1" readingOrder="1"/>
    </xf>
    <xf numFmtId="0" fontId="22" fillId="13" borderId="13" xfId="0" applyFont="1" applyFill="1" applyBorder="1" applyAlignment="1">
      <alignment horizontal="center" vertical="center" wrapText="1" readingOrder="1"/>
    </xf>
    <xf numFmtId="0" fontId="22" fillId="13" borderId="14"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15" xfId="0" applyFont="1" applyFill="1" applyBorder="1" applyAlignment="1">
      <alignment horizontal="center" vertical="center" wrapText="1" readingOrder="1"/>
    </xf>
    <xf numFmtId="0" fontId="22" fillId="13" borderId="16" xfId="0" applyFont="1" applyFill="1" applyBorder="1" applyAlignment="1">
      <alignment horizontal="center" vertical="center" wrapText="1" readingOrder="1"/>
    </xf>
    <xf numFmtId="0" fontId="22" fillId="13" borderId="17" xfId="0" applyFont="1" applyFill="1" applyBorder="1" applyAlignment="1">
      <alignment horizontal="center" vertical="center" wrapText="1" readingOrder="1"/>
    </xf>
    <xf numFmtId="0" fontId="22" fillId="13" borderId="18" xfId="0" applyFont="1" applyFill="1" applyBorder="1" applyAlignment="1">
      <alignment horizontal="center" vertical="center" wrapText="1" readingOrder="1"/>
    </xf>
    <xf numFmtId="0" fontId="22" fillId="5" borderId="11" xfId="0" applyFont="1" applyFill="1" applyBorder="1" applyAlignment="1">
      <alignment horizontal="center" vertical="center" wrapText="1" readingOrder="1"/>
    </xf>
    <xf numFmtId="0" fontId="22" fillId="5" borderId="12" xfId="0" applyFont="1" applyFill="1" applyBorder="1" applyAlignment="1">
      <alignment horizontal="center" vertical="center" wrapText="1" readingOrder="1"/>
    </xf>
    <xf numFmtId="0" fontId="22" fillId="5" borderId="13" xfId="0" applyFont="1" applyFill="1" applyBorder="1" applyAlignment="1">
      <alignment horizontal="center" vertical="center" wrapText="1" readingOrder="1"/>
    </xf>
    <xf numFmtId="0" fontId="22" fillId="5" borderId="14"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15" xfId="0" applyFont="1" applyFill="1" applyBorder="1" applyAlignment="1">
      <alignment horizontal="center" vertical="center" wrapText="1" readingOrder="1"/>
    </xf>
    <xf numFmtId="0" fontId="22" fillId="5" borderId="16" xfId="0" applyFont="1" applyFill="1" applyBorder="1" applyAlignment="1">
      <alignment horizontal="center" vertical="center" wrapText="1" readingOrder="1"/>
    </xf>
    <xf numFmtId="0" fontId="22" fillId="5" borderId="17" xfId="0" applyFont="1" applyFill="1" applyBorder="1" applyAlignment="1">
      <alignment horizontal="center" vertical="center" wrapText="1" readingOrder="1"/>
    </xf>
    <xf numFmtId="0" fontId="22" fillId="5" borderId="18" xfId="0" applyFont="1" applyFill="1" applyBorder="1" applyAlignment="1">
      <alignment horizontal="center" vertical="center" wrapText="1" readingOrder="1"/>
    </xf>
    <xf numFmtId="0" fontId="18" fillId="0" borderId="3" xfId="0" applyFont="1" applyBorder="1" applyAlignment="1">
      <alignment horizontal="center" vertical="center" wrapText="1"/>
    </xf>
    <xf numFmtId="0" fontId="18" fillId="0" borderId="10"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9" xfId="0" applyFont="1" applyBorder="1" applyAlignment="1">
      <alignment horizontal="center" vertical="center"/>
    </xf>
    <xf numFmtId="0" fontId="18" fillId="0" borderId="8"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6" xfId="0" applyFont="1" applyFill="1" applyBorder="1" applyAlignment="1" applyProtection="1">
      <alignment horizontal="center" vertical="center" wrapText="1" readingOrder="1"/>
      <protection hidden="1"/>
    </xf>
    <xf numFmtId="0" fontId="21" fillId="11" borderId="3" xfId="0" applyFont="1" applyFill="1" applyBorder="1" applyAlignment="1" applyProtection="1">
      <alignment horizontal="center" vertical="center" wrapText="1" readingOrder="1"/>
      <protection hidden="1"/>
    </xf>
    <xf numFmtId="0" fontId="21" fillId="11" borderId="10" xfId="0" applyFont="1" applyFill="1" applyBorder="1" applyAlignment="1" applyProtection="1">
      <alignment horizontal="center" vertical="center" wrapText="1" readingOrder="1"/>
      <protection hidden="1"/>
    </xf>
    <xf numFmtId="0" fontId="21" fillId="11" borderId="5" xfId="0" applyFont="1" applyFill="1" applyBorder="1" applyAlignment="1" applyProtection="1">
      <alignment horizontal="center" vertical="center" wrapText="1" readingOrder="1"/>
      <protection hidden="1"/>
    </xf>
    <xf numFmtId="0" fontId="21" fillId="11" borderId="4"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0" xfId="0" applyFont="1" applyBorder="1" applyAlignment="1">
      <alignment horizontal="center" vertical="center" wrapText="1"/>
    </xf>
    <xf numFmtId="0" fontId="21" fillId="11" borderId="7" xfId="0" applyFont="1" applyFill="1" applyBorder="1" applyAlignment="1" applyProtection="1">
      <alignment horizontal="center" vertical="center" wrapText="1" readingOrder="1"/>
      <protection hidden="1"/>
    </xf>
    <xf numFmtId="0" fontId="21" fillId="11" borderId="9" xfId="0" applyFont="1" applyFill="1" applyBorder="1" applyAlignment="1" applyProtection="1">
      <alignment horizontal="center" vertical="center" wrapText="1" readingOrder="1"/>
      <protection hidden="1"/>
    </xf>
    <xf numFmtId="0" fontId="21" fillId="11" borderId="8" xfId="0" applyFont="1" applyFill="1" applyBorder="1" applyAlignment="1" applyProtection="1">
      <alignment horizontal="center" vertical="center" wrapText="1" readingOrder="1"/>
      <protection hidden="1"/>
    </xf>
    <xf numFmtId="0" fontId="21" fillId="12" borderId="5"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6" xfId="0" applyFont="1" applyFill="1" applyBorder="1" applyAlignment="1" applyProtection="1">
      <alignment horizontal="center" wrapText="1" readingOrder="1"/>
      <protection hidden="1"/>
    </xf>
    <xf numFmtId="0" fontId="21" fillId="12" borderId="7" xfId="0" applyFont="1" applyFill="1" applyBorder="1" applyAlignment="1" applyProtection="1">
      <alignment horizontal="center" wrapText="1" readingOrder="1"/>
      <protection hidden="1"/>
    </xf>
    <xf numFmtId="0" fontId="21" fillId="12" borderId="9" xfId="0" applyFont="1" applyFill="1" applyBorder="1" applyAlignment="1" applyProtection="1">
      <alignment horizontal="center" wrapText="1" readingOrder="1"/>
      <protection hidden="1"/>
    </xf>
    <xf numFmtId="0" fontId="21" fillId="12" borderId="8" xfId="0" applyFont="1" applyFill="1" applyBorder="1" applyAlignment="1" applyProtection="1">
      <alignment horizontal="center" wrapText="1" readingOrder="1"/>
      <protection hidden="1"/>
    </xf>
    <xf numFmtId="0" fontId="21" fillId="12" borderId="3" xfId="0" applyFont="1" applyFill="1" applyBorder="1" applyAlignment="1" applyProtection="1">
      <alignment horizontal="center" wrapText="1" readingOrder="1"/>
      <protection hidden="1"/>
    </xf>
    <xf numFmtId="0" fontId="21" fillId="12" borderId="10" xfId="0" applyFont="1" applyFill="1" applyBorder="1" applyAlignment="1" applyProtection="1">
      <alignment horizontal="center" wrapText="1" readingOrder="1"/>
      <protection hidden="1"/>
    </xf>
    <xf numFmtId="0" fontId="21" fillId="12" borderId="4" xfId="0" applyFont="1" applyFill="1" applyBorder="1" applyAlignment="1" applyProtection="1">
      <alignment horizontal="center" wrapText="1" readingOrder="1"/>
      <protection hidden="1"/>
    </xf>
    <xf numFmtId="0" fontId="21" fillId="13" borderId="5"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6" xfId="0" applyFont="1" applyFill="1" applyBorder="1" applyAlignment="1" applyProtection="1">
      <alignment horizontal="center" wrapText="1" readingOrder="1"/>
      <protection hidden="1"/>
    </xf>
    <xf numFmtId="0" fontId="21" fillId="13" borderId="7" xfId="0" applyFont="1" applyFill="1" applyBorder="1" applyAlignment="1" applyProtection="1">
      <alignment horizontal="center" wrapText="1" readingOrder="1"/>
      <protection hidden="1"/>
    </xf>
    <xf numFmtId="0" fontId="21" fillId="13" borderId="9" xfId="0" applyFont="1" applyFill="1" applyBorder="1" applyAlignment="1" applyProtection="1">
      <alignment horizontal="center" wrapText="1" readingOrder="1"/>
      <protection hidden="1"/>
    </xf>
    <xf numFmtId="0" fontId="21" fillId="13" borderId="8" xfId="0" applyFont="1" applyFill="1" applyBorder="1" applyAlignment="1" applyProtection="1">
      <alignment horizontal="center" wrapText="1" readingOrder="1"/>
      <protection hidden="1"/>
    </xf>
    <xf numFmtId="0" fontId="21" fillId="13" borderId="3" xfId="0" applyFont="1" applyFill="1" applyBorder="1" applyAlignment="1" applyProtection="1">
      <alignment horizontal="center" wrapText="1" readingOrder="1"/>
      <protection hidden="1"/>
    </xf>
    <xf numFmtId="0" fontId="21" fillId="13" borderId="10" xfId="0" applyFont="1" applyFill="1" applyBorder="1" applyAlignment="1" applyProtection="1">
      <alignment horizontal="center" wrapText="1" readingOrder="1"/>
      <protection hidden="1"/>
    </xf>
    <xf numFmtId="0" fontId="21" fillId="13" borderId="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6" xfId="0" applyFont="1" applyFill="1" applyBorder="1" applyAlignment="1" applyProtection="1">
      <alignment horizontal="center" wrapText="1" readingOrder="1"/>
      <protection hidden="1"/>
    </xf>
    <xf numFmtId="0" fontId="21" fillId="5" borderId="5" xfId="0" applyFont="1" applyFill="1" applyBorder="1" applyAlignment="1" applyProtection="1">
      <alignment horizontal="center" wrapText="1" readingOrder="1"/>
      <protection hidden="1"/>
    </xf>
    <xf numFmtId="0" fontId="21" fillId="5" borderId="7" xfId="0" applyFont="1" applyFill="1" applyBorder="1" applyAlignment="1" applyProtection="1">
      <alignment horizontal="center" wrapText="1" readingOrder="1"/>
      <protection hidden="1"/>
    </xf>
    <xf numFmtId="0" fontId="21" fillId="5" borderId="9" xfId="0" applyFont="1" applyFill="1" applyBorder="1" applyAlignment="1" applyProtection="1">
      <alignment horizontal="center" wrapText="1" readingOrder="1"/>
      <protection hidden="1"/>
    </xf>
    <xf numFmtId="0" fontId="21" fillId="5" borderId="8" xfId="0" applyFont="1" applyFill="1" applyBorder="1" applyAlignment="1" applyProtection="1">
      <alignment horizontal="center" wrapText="1" readingOrder="1"/>
      <protection hidden="1"/>
    </xf>
    <xf numFmtId="0" fontId="21" fillId="5" borderId="3" xfId="0" applyFont="1" applyFill="1" applyBorder="1" applyAlignment="1" applyProtection="1">
      <alignment horizontal="center" wrapText="1" readingOrder="1"/>
      <protection hidden="1"/>
    </xf>
    <xf numFmtId="0" fontId="21" fillId="5" borderId="10" xfId="0" applyFont="1" applyFill="1" applyBorder="1" applyAlignment="1" applyProtection="1">
      <alignment horizontal="center" wrapText="1" readingOrder="1"/>
      <protection hidden="1"/>
    </xf>
    <xf numFmtId="0" fontId="21" fillId="5" borderId="4"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2" fillId="11" borderId="11" xfId="0" applyFont="1" applyFill="1" applyBorder="1" applyAlignment="1">
      <alignment horizontal="center" vertical="center" wrapText="1" readingOrder="1"/>
    </xf>
    <xf numFmtId="0" fontId="42" fillId="11" borderId="12" xfId="0" applyFont="1" applyFill="1" applyBorder="1" applyAlignment="1">
      <alignment horizontal="center" vertical="center" wrapText="1" readingOrder="1"/>
    </xf>
    <xf numFmtId="0" fontId="42" fillId="11" borderId="13" xfId="0" applyFont="1" applyFill="1" applyBorder="1" applyAlignment="1">
      <alignment horizontal="center" vertical="center" wrapText="1" readingOrder="1"/>
    </xf>
    <xf numFmtId="0" fontId="42" fillId="11" borderId="14" xfId="0" applyFont="1" applyFill="1" applyBorder="1" applyAlignment="1">
      <alignment horizontal="center" vertical="center" wrapText="1" readingOrder="1"/>
    </xf>
    <xf numFmtId="0" fontId="42" fillId="11" borderId="0" xfId="0" applyFont="1" applyFill="1" applyAlignment="1">
      <alignment horizontal="center" vertical="center" wrapText="1" readingOrder="1"/>
    </xf>
    <xf numFmtId="0" fontId="42" fillId="11" borderId="15" xfId="0" applyFont="1" applyFill="1" applyBorder="1" applyAlignment="1">
      <alignment horizontal="center" vertical="center" wrapText="1" readingOrder="1"/>
    </xf>
    <xf numFmtId="0" fontId="42" fillId="11" borderId="16" xfId="0" applyFont="1" applyFill="1" applyBorder="1" applyAlignment="1">
      <alignment horizontal="center" vertical="center" wrapText="1" readingOrder="1"/>
    </xf>
    <xf numFmtId="0" fontId="42" fillId="11" borderId="17" xfId="0" applyFont="1" applyFill="1" applyBorder="1" applyAlignment="1">
      <alignment horizontal="center" vertical="center" wrapText="1" readingOrder="1"/>
    </xf>
    <xf numFmtId="0" fontId="42" fillId="11" borderId="18" xfId="0" applyFont="1" applyFill="1" applyBorder="1" applyAlignment="1">
      <alignment horizontal="center" vertical="center" wrapText="1" readingOrder="1"/>
    </xf>
    <xf numFmtId="0" fontId="43" fillId="0" borderId="3" xfId="0" applyFont="1" applyBorder="1" applyAlignment="1">
      <alignment horizontal="center" vertical="center" wrapText="1"/>
    </xf>
    <xf numFmtId="0" fontId="43" fillId="0" borderId="10" xfId="0" applyFont="1" applyBorder="1" applyAlignment="1">
      <alignment horizontal="center" vertical="center"/>
    </xf>
    <xf numFmtId="0" fontId="43" fillId="0" borderId="5" xfId="0" applyFont="1" applyBorder="1" applyAlignment="1">
      <alignment horizontal="center" vertical="center" wrapText="1"/>
    </xf>
    <xf numFmtId="0" fontId="43" fillId="0" borderId="0" xfId="0" applyFont="1" applyAlignment="1">
      <alignment horizontal="center" vertical="center"/>
    </xf>
    <xf numFmtId="0" fontId="43" fillId="0" borderId="5" xfId="0" applyFont="1" applyBorder="1" applyAlignment="1">
      <alignment horizontal="center" vertical="center"/>
    </xf>
    <xf numFmtId="0" fontId="43" fillId="0" borderId="7" xfId="0" applyFont="1" applyBorder="1" applyAlignment="1">
      <alignment horizontal="center" vertical="center"/>
    </xf>
    <xf numFmtId="0" fontId="43" fillId="0" borderId="9" xfId="0" applyFont="1" applyBorder="1" applyAlignment="1">
      <alignment horizontal="center" vertical="center"/>
    </xf>
    <xf numFmtId="0" fontId="42" fillId="12" borderId="11" xfId="0" applyFont="1" applyFill="1" applyBorder="1" applyAlignment="1">
      <alignment horizontal="center" vertical="center" wrapText="1" readingOrder="1"/>
    </xf>
    <xf numFmtId="0" fontId="42" fillId="12" borderId="12" xfId="0" applyFont="1" applyFill="1" applyBorder="1" applyAlignment="1">
      <alignment horizontal="center" vertical="center" wrapText="1" readingOrder="1"/>
    </xf>
    <xf numFmtId="0" fontId="42" fillId="12" borderId="13" xfId="0" applyFont="1" applyFill="1" applyBorder="1" applyAlignment="1">
      <alignment horizontal="center" vertical="center" wrapText="1" readingOrder="1"/>
    </xf>
    <xf numFmtId="0" fontId="42" fillId="12" borderId="14" xfId="0" applyFont="1" applyFill="1" applyBorder="1" applyAlignment="1">
      <alignment horizontal="center" vertical="center" wrapText="1" readingOrder="1"/>
    </xf>
    <xf numFmtId="0" fontId="42" fillId="12" borderId="0" xfId="0" applyFont="1" applyFill="1" applyAlignment="1">
      <alignment horizontal="center" vertical="center" wrapText="1" readingOrder="1"/>
    </xf>
    <xf numFmtId="0" fontId="42" fillId="12" borderId="15" xfId="0" applyFont="1" applyFill="1" applyBorder="1" applyAlignment="1">
      <alignment horizontal="center" vertical="center" wrapText="1" readingOrder="1"/>
    </xf>
    <xf numFmtId="0" fontId="42" fillId="12" borderId="16" xfId="0" applyFont="1" applyFill="1" applyBorder="1" applyAlignment="1">
      <alignment horizontal="center" vertical="center" wrapText="1" readingOrder="1"/>
    </xf>
    <xf numFmtId="0" fontId="42" fillId="12" borderId="17" xfId="0" applyFont="1" applyFill="1" applyBorder="1" applyAlignment="1">
      <alignment horizontal="center" vertical="center" wrapText="1" readingOrder="1"/>
    </xf>
    <xf numFmtId="0" fontId="42" fillId="12" borderId="18" xfId="0" applyFont="1" applyFill="1" applyBorder="1" applyAlignment="1">
      <alignment horizontal="center" vertical="center" wrapText="1" readingOrder="1"/>
    </xf>
    <xf numFmtId="0" fontId="41" fillId="0" borderId="0" xfId="0" applyFont="1" applyAlignment="1">
      <alignment horizontal="center" vertical="center" wrapText="1"/>
    </xf>
    <xf numFmtId="0" fontId="23" fillId="0" borderId="0" xfId="0" applyFont="1" applyAlignment="1">
      <alignment horizontal="center" vertical="center" wrapText="1"/>
    </xf>
    <xf numFmtId="0" fontId="43" fillId="0" borderId="4" xfId="0" applyFont="1" applyBorder="1" applyAlignment="1">
      <alignment horizontal="center" vertical="center"/>
    </xf>
    <xf numFmtId="0" fontId="43" fillId="0" borderId="6" xfId="0" applyFont="1" applyBorder="1" applyAlignment="1">
      <alignment horizontal="center" vertical="center"/>
    </xf>
    <xf numFmtId="0" fontId="43" fillId="0" borderId="8" xfId="0" applyFont="1" applyBorder="1" applyAlignment="1">
      <alignment horizontal="center" vertical="center"/>
    </xf>
    <xf numFmtId="0" fontId="42" fillId="5" borderId="11" xfId="0" applyFont="1" applyFill="1" applyBorder="1" applyAlignment="1">
      <alignment horizontal="center" vertical="center" wrapText="1" readingOrder="1"/>
    </xf>
    <xf numFmtId="0" fontId="42" fillId="5" borderId="12" xfId="0" applyFont="1" applyFill="1" applyBorder="1" applyAlignment="1">
      <alignment horizontal="center" vertical="center" wrapText="1" readingOrder="1"/>
    </xf>
    <xf numFmtId="0" fontId="42" fillId="5" borderId="13" xfId="0" applyFont="1" applyFill="1" applyBorder="1" applyAlignment="1">
      <alignment horizontal="center" vertical="center" wrapText="1" readingOrder="1"/>
    </xf>
    <xf numFmtId="0" fontId="42" fillId="5" borderId="14" xfId="0" applyFont="1" applyFill="1" applyBorder="1" applyAlignment="1">
      <alignment horizontal="center" vertical="center" wrapText="1" readingOrder="1"/>
    </xf>
    <xf numFmtId="0" fontId="42" fillId="5" borderId="0" xfId="0" applyFont="1" applyFill="1" applyAlignment="1">
      <alignment horizontal="center" vertical="center" wrapText="1" readingOrder="1"/>
    </xf>
    <xf numFmtId="0" fontId="42" fillId="5" borderId="15" xfId="0" applyFont="1" applyFill="1" applyBorder="1" applyAlignment="1">
      <alignment horizontal="center" vertical="center" wrapText="1" readingOrder="1"/>
    </xf>
    <xf numFmtId="0" fontId="42" fillId="5" borderId="16" xfId="0" applyFont="1" applyFill="1" applyBorder="1" applyAlignment="1">
      <alignment horizontal="center" vertical="center" wrapText="1" readingOrder="1"/>
    </xf>
    <xf numFmtId="0" fontId="42" fillId="5" borderId="17" xfId="0" applyFont="1" applyFill="1" applyBorder="1" applyAlignment="1">
      <alignment horizontal="center" vertical="center" wrapText="1" readingOrder="1"/>
    </xf>
    <xf numFmtId="0" fontId="42" fillId="5" borderId="18" xfId="0" applyFont="1" applyFill="1" applyBorder="1" applyAlignment="1">
      <alignment horizontal="center" vertical="center" wrapText="1" readingOrder="1"/>
    </xf>
    <xf numFmtId="0" fontId="42" fillId="13" borderId="11" xfId="0" applyFont="1" applyFill="1" applyBorder="1" applyAlignment="1">
      <alignment horizontal="center" vertical="center" wrapText="1" readingOrder="1"/>
    </xf>
    <xf numFmtId="0" fontId="42" fillId="13" borderId="12" xfId="0" applyFont="1" applyFill="1" applyBorder="1" applyAlignment="1">
      <alignment horizontal="center" vertical="center" wrapText="1" readingOrder="1"/>
    </xf>
    <xf numFmtId="0" fontId="42" fillId="13" borderId="13" xfId="0" applyFont="1" applyFill="1" applyBorder="1" applyAlignment="1">
      <alignment horizontal="center" vertical="center" wrapText="1" readingOrder="1"/>
    </xf>
    <xf numFmtId="0" fontId="42" fillId="13" borderId="14" xfId="0" applyFont="1" applyFill="1" applyBorder="1" applyAlignment="1">
      <alignment horizontal="center" vertical="center" wrapText="1" readingOrder="1"/>
    </xf>
    <xf numFmtId="0" fontId="42" fillId="13" borderId="0" xfId="0" applyFont="1" applyFill="1" applyAlignment="1">
      <alignment horizontal="center" vertical="center" wrapText="1" readingOrder="1"/>
    </xf>
    <xf numFmtId="0" fontId="42" fillId="13" borderId="15" xfId="0" applyFont="1" applyFill="1" applyBorder="1" applyAlignment="1">
      <alignment horizontal="center" vertical="center" wrapText="1" readingOrder="1"/>
    </xf>
    <xf numFmtId="0" fontId="42" fillId="13" borderId="16" xfId="0" applyFont="1" applyFill="1" applyBorder="1" applyAlignment="1">
      <alignment horizontal="center" vertical="center" wrapText="1" readingOrder="1"/>
    </xf>
    <xf numFmtId="0" fontId="42" fillId="13" borderId="17" xfId="0" applyFont="1" applyFill="1" applyBorder="1" applyAlignment="1">
      <alignment horizontal="center" vertical="center" wrapText="1" readingOrder="1"/>
    </xf>
    <xf numFmtId="0" fontId="42" fillId="13" borderId="18" xfId="0" applyFont="1" applyFill="1" applyBorder="1" applyAlignment="1">
      <alignment horizontal="center" vertical="center" wrapText="1" readingOrder="1"/>
    </xf>
    <xf numFmtId="0" fontId="43" fillId="0" borderId="10" xfId="0" applyFont="1" applyBorder="1" applyAlignment="1">
      <alignment horizontal="center" vertical="center" wrapText="1"/>
    </xf>
    <xf numFmtId="0" fontId="25" fillId="0" borderId="0" xfId="0" applyFont="1" applyAlignment="1">
      <alignment horizontal="center" vertical="center"/>
    </xf>
    <xf numFmtId="0" fontId="45" fillId="0" borderId="0" xfId="0" applyFont="1" applyAlignment="1">
      <alignment horizontal="center" vertical="center"/>
    </xf>
    <xf numFmtId="0" fontId="40" fillId="15" borderId="21" xfId="0" applyFont="1" applyFill="1" applyBorder="1" applyAlignment="1">
      <alignment horizontal="center" vertical="center" wrapText="1" readingOrder="1"/>
    </xf>
    <xf numFmtId="0" fontId="40" fillId="15" borderId="22" xfId="0" applyFont="1" applyFill="1" applyBorder="1" applyAlignment="1">
      <alignment horizontal="center" vertical="center" wrapText="1" readingOrder="1"/>
    </xf>
    <xf numFmtId="0" fontId="40" fillId="15" borderId="33" xfId="0" applyFont="1" applyFill="1" applyBorder="1" applyAlignment="1">
      <alignment horizontal="center" vertical="center" wrapText="1" readingOrder="1"/>
    </xf>
    <xf numFmtId="0" fontId="35" fillId="3" borderId="0" xfId="0" applyFont="1" applyFill="1" applyAlignment="1">
      <alignment horizontal="justify" vertical="center" wrapText="1"/>
    </xf>
    <xf numFmtId="0" fontId="37" fillId="15" borderId="30" xfId="0" applyFont="1" applyFill="1" applyBorder="1" applyAlignment="1">
      <alignment horizontal="center" vertical="center" wrapText="1" readingOrder="1"/>
    </xf>
    <xf numFmtId="0" fontId="37" fillId="15" borderId="31" xfId="0" applyFont="1" applyFill="1" applyBorder="1" applyAlignment="1">
      <alignment horizontal="center" vertical="center" wrapText="1" readingOrder="1"/>
    </xf>
    <xf numFmtId="0" fontId="37" fillId="3" borderId="28" xfId="0" applyFont="1" applyFill="1" applyBorder="1" applyAlignment="1">
      <alignment horizontal="center" vertical="center" wrapText="1" readingOrder="1"/>
    </xf>
    <xf numFmtId="0" fontId="37" fillId="3" borderId="23" xfId="0" applyFont="1" applyFill="1" applyBorder="1" applyAlignment="1">
      <alignment horizontal="center" vertical="center" wrapText="1" readingOrder="1"/>
    </xf>
    <xf numFmtId="0" fontId="37" fillId="3" borderId="20" xfId="0" applyFont="1" applyFill="1" applyBorder="1" applyAlignment="1">
      <alignment horizontal="center" vertical="center" wrapText="1" readingOrder="1"/>
    </xf>
    <xf numFmtId="0" fontId="37" fillId="3" borderId="19" xfId="0" applyFont="1" applyFill="1" applyBorder="1" applyAlignment="1">
      <alignment horizontal="center" vertical="center" wrapText="1" readingOrder="1"/>
    </xf>
    <xf numFmtId="0" fontId="37" fillId="3" borderId="25" xfId="0"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cellXfs>
  <cellStyles count="7">
    <cellStyle name="Hipervínculo" xfId="5" builtinId="8"/>
    <cellStyle name="Normal" xfId="0" builtinId="0"/>
    <cellStyle name="Normal - Style1 2" xfId="2"/>
    <cellStyle name="Normal 2" xfId="4"/>
    <cellStyle name="Normal 2 2" xfId="3"/>
    <cellStyle name="Porcentaje" xfId="1" builtinId="5"/>
    <cellStyle name="Porcentaje 2" xfId="6"/>
  </cellStyles>
  <dxfs count="159">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ndense val="0"/>
        <extend val="0"/>
        <color indexed="9"/>
      </font>
      <fill>
        <patternFill>
          <bgColor indexed="10"/>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10"/>
        </patternFill>
      </fill>
    </dxf>
    <dxf>
      <fill>
        <patternFill>
          <bgColor indexed="13"/>
        </patternFill>
      </fill>
    </dxf>
    <dxf>
      <fill>
        <patternFill>
          <bgColor rgb="FF92D05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theme="9" tint="-0.24994659260841701"/>
        </patternFill>
      </fill>
    </dxf>
    <dxf>
      <fill>
        <patternFill>
          <bgColor rgb="FFFFFF66"/>
        </patternFill>
      </fill>
    </dxf>
    <dxf>
      <fill>
        <patternFill>
          <bgColor rgb="FF00B050"/>
        </patternFill>
      </fill>
    </dxf>
    <dxf>
      <fill>
        <patternFill>
          <bgColor rgb="FF92D050"/>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1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66"/>
        </patternFill>
      </fill>
    </dxf>
    <dxf>
      <fill>
        <patternFill>
          <bgColor theme="9" tint="-0.24994659260841701"/>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patternType="solid">
          <fgColor rgb="FFE36C09"/>
          <bgColor rgb="FFE36C09"/>
        </patternFill>
      </fill>
    </dxf>
    <dxf>
      <fill>
        <patternFill patternType="solid">
          <fgColor rgb="FFFFFF66"/>
          <bgColor rgb="FFFFFF66"/>
        </patternFill>
      </fill>
    </dxf>
    <dxf>
      <fill>
        <patternFill>
          <bgColor rgb="FFFFFF66"/>
        </patternFill>
      </fill>
    </dxf>
    <dxf>
      <fill>
        <patternFill>
          <bgColor rgb="FF00B050"/>
        </patternFill>
      </fill>
    </dxf>
    <dxf>
      <fill>
        <patternFill>
          <bgColor rgb="FF92D050"/>
        </patternFill>
      </fill>
    </dxf>
    <dxf>
      <fill>
        <patternFill>
          <bgColor rgb="FFFF0000"/>
        </patternFill>
      </fill>
    </dxf>
    <dxf>
      <fill>
        <patternFill>
          <bgColor theme="9" tint="-0.24994659260841701"/>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ill>
        <patternFill patternType="solid">
          <fgColor rgb="FFFFFF00"/>
          <bgColor rgb="FFFFFF00"/>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1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patternType="solid">
          <fgColor rgb="FFFF0000"/>
          <bgColor rgb="FFFF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bgColor rgb="FFFF0000"/>
        </patternFill>
      </fill>
    </dxf>
    <dxf>
      <fill>
        <patternFill>
          <bgColor rgb="FF00B050"/>
        </patternFill>
      </fill>
    </dxf>
    <dxf>
      <fill>
        <patternFill>
          <bgColor rgb="FF92D050"/>
        </patternFill>
      </fill>
    </dxf>
    <dxf>
      <fill>
        <patternFill>
          <bgColor theme="9" tint="-0.24994659260841701"/>
        </patternFill>
      </fill>
    </dxf>
    <dxf>
      <fill>
        <patternFill>
          <bgColor rgb="FFFFFF66"/>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E36C09"/>
          <bgColor rgb="FFE36C09"/>
        </patternFill>
      </fill>
    </dxf>
    <dxf>
      <fill>
        <patternFill>
          <bgColor rgb="FFFFFF66"/>
        </patternFill>
      </fill>
    </dxf>
    <dxf>
      <fill>
        <patternFill>
          <bgColor rgb="FF00B050"/>
        </patternFill>
      </fill>
    </dxf>
    <dxf>
      <fill>
        <patternFill>
          <bgColor rgb="FF92D050"/>
        </patternFill>
      </fill>
    </dxf>
    <dxf>
      <fill>
        <patternFill>
          <bgColor rgb="FFFF0000"/>
        </patternFill>
      </fill>
    </dxf>
    <dxf>
      <fill>
        <patternFill>
          <bgColor theme="9" tint="-0.24994659260841701"/>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92D050"/>
        </patternFill>
      </fill>
    </dxf>
    <dxf>
      <fill>
        <patternFill>
          <bgColor rgb="FF92D050"/>
        </patternFill>
      </fill>
    </dxf>
    <dxf>
      <fill>
        <patternFill>
          <bgColor rgb="FF00B050"/>
        </patternFill>
      </fill>
    </dxf>
    <dxf>
      <fill>
        <patternFill>
          <bgColor rgb="FFFFFF66"/>
        </patternFill>
      </fill>
    </dxf>
    <dxf>
      <fill>
        <patternFill>
          <bgColor rgb="FF92D050"/>
        </patternFill>
      </fill>
    </dxf>
    <dxf>
      <fill>
        <patternFill>
          <bgColor theme="9" tint="-0.24994659260841701"/>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2888F7"/>
      <color rgb="FFFF9900"/>
      <color rgb="FFFFFF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3386e74b6e4c3e01/Documentos/AUNAP/2023%20-%20I/Administraci&#243;n%20del%20Riesgo/Mapa-de-Riesgos-2023-Version-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eae2a4ea75681705/Documentos/2022/SEPTIEMBRE/MATRIZ%20DE%20RIESGOS%20FN%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eae2a4ea75681705/Documentos/2022/SEPTIEMBRE/MATRIZ%20DE%20RIESGOS%20dta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Seguridad Información"/>
      <sheetName val="Riesgos Corrupción"/>
      <sheetName val="Riesgos Gestión"/>
      <sheetName val="PARÁMETROS RIESGOS GESTIÓN"/>
      <sheetName val="Probab e Impacto"/>
      <sheetName val="Zona de riesgo"/>
      <sheetName val="RIESGO RESIDUAL"/>
      <sheetName val="CONTROLES"/>
      <sheetName val="PARAMETROS RIESGOS DE CORRUPCIÓ"/>
      <sheetName val="VALORACIÓN RR CORRUPCIÓN"/>
      <sheetName val="Hoja2"/>
    </sheetNames>
    <sheetDataSet>
      <sheetData sheetId="0"/>
      <sheetData sheetId="1"/>
      <sheetData sheetId="2" refreshError="1"/>
      <sheetData sheetId="3">
        <row r="12">
          <cell r="D12" t="str">
            <v>Probabilidad</v>
          </cell>
          <cell r="F12" t="str">
            <v>Calificacion frecuencia</v>
          </cell>
        </row>
        <row r="13">
          <cell r="D13">
            <v>20</v>
          </cell>
          <cell r="E13" t="str">
            <v>1 a 2</v>
          </cell>
          <cell r="F13" t="str">
            <v>Muy Baja</v>
          </cell>
        </row>
        <row r="14">
          <cell r="D14">
            <v>40</v>
          </cell>
          <cell r="E14" t="str">
            <v>3 a 24</v>
          </cell>
          <cell r="F14" t="str">
            <v>Baja</v>
          </cell>
        </row>
        <row r="15">
          <cell r="D15">
            <v>60</v>
          </cell>
          <cell r="E15" t="str">
            <v>25 a 500</v>
          </cell>
          <cell r="F15" t="str">
            <v>Media</v>
          </cell>
        </row>
        <row r="16">
          <cell r="D16">
            <v>80</v>
          </cell>
          <cell r="E16" t="str">
            <v>501 a 5000</v>
          </cell>
          <cell r="F16" t="str">
            <v>Alta</v>
          </cell>
        </row>
        <row r="17">
          <cell r="D17">
            <v>100</v>
          </cell>
          <cell r="E17" t="str">
            <v>&gt; 5000</v>
          </cell>
          <cell r="F17" t="str">
            <v>Muy Alta</v>
          </cell>
        </row>
      </sheetData>
      <sheetData sheetId="4" refreshError="1"/>
      <sheetData sheetId="5">
        <row r="12">
          <cell r="B12">
            <v>2020</v>
          </cell>
          <cell r="C12" t="str">
            <v>Baja</v>
          </cell>
          <cell r="L12">
            <v>2060</v>
          </cell>
          <cell r="M12" t="str">
            <v>Moderado</v>
          </cell>
        </row>
        <row r="13">
          <cell r="B13">
            <v>2040</v>
          </cell>
          <cell r="C13" t="str">
            <v>Baja</v>
          </cell>
          <cell r="L13">
            <v>4060</v>
          </cell>
          <cell r="M13" t="str">
            <v>Moderado</v>
          </cell>
        </row>
        <row r="14">
          <cell r="B14">
            <v>4020</v>
          </cell>
          <cell r="C14" t="str">
            <v>Baja</v>
          </cell>
          <cell r="L14">
            <v>6060</v>
          </cell>
          <cell r="M14" t="str">
            <v>Moderado</v>
          </cell>
        </row>
        <row r="15">
          <cell r="B15">
            <v>2060</v>
          </cell>
          <cell r="C15" t="str">
            <v>Moderado</v>
          </cell>
          <cell r="L15">
            <v>8060</v>
          </cell>
          <cell r="M15" t="str">
            <v>Moderado</v>
          </cell>
        </row>
        <row r="16">
          <cell r="B16">
            <v>4040</v>
          </cell>
          <cell r="C16" t="str">
            <v>Moderado</v>
          </cell>
          <cell r="L16">
            <v>10060</v>
          </cell>
          <cell r="M16" t="str">
            <v>Moderado</v>
          </cell>
        </row>
        <row r="17">
          <cell r="B17">
            <v>4060</v>
          </cell>
          <cell r="C17" t="str">
            <v>Moderado</v>
          </cell>
          <cell r="L17">
            <v>8020</v>
          </cell>
          <cell r="M17" t="str">
            <v>Moderado</v>
          </cell>
        </row>
        <row r="18">
          <cell r="B18">
            <v>6020</v>
          </cell>
          <cell r="C18" t="str">
            <v>Moderado</v>
          </cell>
          <cell r="L18">
            <v>8040</v>
          </cell>
          <cell r="M18" t="str">
            <v>Moderado</v>
          </cell>
        </row>
        <row r="19">
          <cell r="B19">
            <v>6040</v>
          </cell>
          <cell r="C19" t="str">
            <v>Moderado</v>
          </cell>
          <cell r="L19">
            <v>8060</v>
          </cell>
          <cell r="M19" t="str">
            <v>Moderado</v>
          </cell>
        </row>
        <row r="20">
          <cell r="B20">
            <v>6060</v>
          </cell>
          <cell r="C20" t="str">
            <v>Moderado</v>
          </cell>
          <cell r="L20">
            <v>8080</v>
          </cell>
          <cell r="M20" t="str">
            <v>Alto</v>
          </cell>
        </row>
        <row r="21">
          <cell r="B21">
            <v>8020</v>
          </cell>
          <cell r="C21" t="str">
            <v>Moderado</v>
          </cell>
          <cell r="L21">
            <v>80100</v>
          </cell>
          <cell r="M21" t="str">
            <v>Alto</v>
          </cell>
        </row>
        <row r="22">
          <cell r="B22">
            <v>8040</v>
          </cell>
          <cell r="C22" t="str">
            <v>Moderado</v>
          </cell>
          <cell r="L22">
            <v>20100</v>
          </cell>
          <cell r="M22" t="str">
            <v>Alto</v>
          </cell>
        </row>
        <row r="23">
          <cell r="B23">
            <v>2080</v>
          </cell>
          <cell r="C23" t="str">
            <v>Alto</v>
          </cell>
          <cell r="L23">
            <v>40100</v>
          </cell>
          <cell r="M23" t="str">
            <v>Alto</v>
          </cell>
        </row>
        <row r="24">
          <cell r="B24">
            <v>4080</v>
          </cell>
          <cell r="C24" t="str">
            <v>Alto</v>
          </cell>
          <cell r="L24">
            <v>60100</v>
          </cell>
          <cell r="M24" t="str">
            <v>Alto</v>
          </cell>
        </row>
        <row r="25">
          <cell r="B25">
            <v>6080</v>
          </cell>
          <cell r="C25" t="str">
            <v>Alto</v>
          </cell>
          <cell r="L25">
            <v>80100</v>
          </cell>
          <cell r="M25" t="str">
            <v>Alto</v>
          </cell>
        </row>
        <row r="26">
          <cell r="B26">
            <v>8060</v>
          </cell>
          <cell r="C26" t="str">
            <v>Alto</v>
          </cell>
          <cell r="L26">
            <v>100100</v>
          </cell>
          <cell r="M26" t="str">
            <v>Alto</v>
          </cell>
        </row>
        <row r="27">
          <cell r="B27">
            <v>8080</v>
          </cell>
          <cell r="C27" t="str">
            <v>Alto</v>
          </cell>
        </row>
        <row r="28">
          <cell r="B28">
            <v>10020</v>
          </cell>
          <cell r="C28" t="str">
            <v>Alto</v>
          </cell>
        </row>
        <row r="29">
          <cell r="B29">
            <v>10040</v>
          </cell>
          <cell r="C29" t="str">
            <v>Alto</v>
          </cell>
        </row>
        <row r="30">
          <cell r="B30">
            <v>10060</v>
          </cell>
          <cell r="C30" t="str">
            <v>Alto</v>
          </cell>
        </row>
        <row r="31">
          <cell r="B31">
            <v>10080</v>
          </cell>
          <cell r="C31" t="str">
            <v>Alto</v>
          </cell>
        </row>
        <row r="32">
          <cell r="B32">
            <v>20100</v>
          </cell>
          <cell r="C32" t="str">
            <v>Extremo</v>
          </cell>
        </row>
        <row r="33">
          <cell r="B33">
            <v>40100</v>
          </cell>
          <cell r="C33" t="str">
            <v>Extremo</v>
          </cell>
        </row>
        <row r="34">
          <cell r="B34">
            <v>60100</v>
          </cell>
          <cell r="C34" t="str">
            <v>Extremo</v>
          </cell>
        </row>
        <row r="35">
          <cell r="B35">
            <v>80100</v>
          </cell>
          <cell r="C35" t="str">
            <v>Extremo</v>
          </cell>
        </row>
        <row r="36">
          <cell r="B36">
            <v>1001000</v>
          </cell>
          <cell r="C36" t="str">
            <v>Extremo</v>
          </cell>
        </row>
      </sheetData>
      <sheetData sheetId="6">
        <row r="1">
          <cell r="A1" t="str">
            <v>Muy BajaLeve</v>
          </cell>
          <cell r="B1" t="str">
            <v>Baja</v>
          </cell>
        </row>
        <row r="2">
          <cell r="A2" t="str">
            <v>Muy BajaMenor</v>
          </cell>
          <cell r="B2" t="str">
            <v>Baja</v>
          </cell>
        </row>
        <row r="3">
          <cell r="A3" t="str">
            <v>Muy BajaModerado</v>
          </cell>
          <cell r="B3" t="str">
            <v>Moderado</v>
          </cell>
        </row>
        <row r="4">
          <cell r="A4" t="str">
            <v>Muy BajaMayor</v>
          </cell>
          <cell r="B4" t="str">
            <v xml:space="preserve">Alto </v>
          </cell>
        </row>
        <row r="5">
          <cell r="A5" t="str">
            <v>Muy BajaCatastrófico</v>
          </cell>
          <cell r="B5" t="str">
            <v>Extremo</v>
          </cell>
        </row>
        <row r="6">
          <cell r="A6" t="str">
            <v>BajaLeve</v>
          </cell>
          <cell r="B6" t="str">
            <v>Baja</v>
          </cell>
        </row>
        <row r="7">
          <cell r="A7" t="str">
            <v>BajaMenor</v>
          </cell>
          <cell r="B7" t="str">
            <v>Moderado</v>
          </cell>
        </row>
        <row r="8">
          <cell r="A8" t="str">
            <v>BajaModerado</v>
          </cell>
          <cell r="B8" t="str">
            <v>Moderado</v>
          </cell>
        </row>
        <row r="9">
          <cell r="A9" t="str">
            <v>BajaMayor</v>
          </cell>
          <cell r="B9" t="str">
            <v xml:space="preserve">Alto </v>
          </cell>
        </row>
        <row r="10">
          <cell r="A10" t="str">
            <v>BajaCatastrófico</v>
          </cell>
          <cell r="B10" t="str">
            <v>Extremo</v>
          </cell>
        </row>
        <row r="11">
          <cell r="A11" t="str">
            <v>MediaLeve</v>
          </cell>
          <cell r="B11" t="str">
            <v>Moderado</v>
          </cell>
        </row>
        <row r="12">
          <cell r="A12" t="str">
            <v>MediaMenor</v>
          </cell>
          <cell r="B12" t="str">
            <v>Moderado</v>
          </cell>
        </row>
        <row r="13">
          <cell r="A13" t="str">
            <v>MediaModerado</v>
          </cell>
          <cell r="B13" t="str">
            <v>Moderado</v>
          </cell>
        </row>
        <row r="14">
          <cell r="A14" t="str">
            <v>MediaMayor</v>
          </cell>
          <cell r="B14" t="str">
            <v xml:space="preserve">Alto </v>
          </cell>
        </row>
        <row r="15">
          <cell r="A15" t="str">
            <v>MediaCatastrófico</v>
          </cell>
          <cell r="B15" t="str">
            <v>Extremo</v>
          </cell>
        </row>
        <row r="16">
          <cell r="A16" t="str">
            <v>AltaLeve</v>
          </cell>
          <cell r="B16" t="str">
            <v>Moderado</v>
          </cell>
        </row>
        <row r="17">
          <cell r="A17" t="str">
            <v>AltaMenor</v>
          </cell>
          <cell r="B17" t="str">
            <v>Moderado</v>
          </cell>
        </row>
        <row r="18">
          <cell r="A18" t="str">
            <v>AltaModerado</v>
          </cell>
          <cell r="B18" t="str">
            <v xml:space="preserve">Alto </v>
          </cell>
        </row>
        <row r="19">
          <cell r="A19" t="str">
            <v>AltaMayor</v>
          </cell>
          <cell r="B19" t="str">
            <v xml:space="preserve">Alto </v>
          </cell>
        </row>
        <row r="20">
          <cell r="A20" t="str">
            <v>AltaCatastrófico</v>
          </cell>
          <cell r="B20" t="str">
            <v>Extremo</v>
          </cell>
        </row>
        <row r="21">
          <cell r="A21" t="str">
            <v>Muy AltaLeve</v>
          </cell>
          <cell r="B21" t="str">
            <v xml:space="preserve">Alto </v>
          </cell>
        </row>
        <row r="22">
          <cell r="A22" t="str">
            <v>Muy AltaMenor</v>
          </cell>
          <cell r="B22" t="str">
            <v xml:space="preserve">Alto </v>
          </cell>
        </row>
        <row r="23">
          <cell r="A23" t="str">
            <v>Muy AltaModerado</v>
          </cell>
          <cell r="B23" t="str">
            <v xml:space="preserve">Alto </v>
          </cell>
        </row>
        <row r="24">
          <cell r="A24" t="str">
            <v>Muy AltaMayor</v>
          </cell>
          <cell r="B24" t="str">
            <v xml:space="preserve">Alto </v>
          </cell>
        </row>
        <row r="25">
          <cell r="A25" t="str">
            <v>Muy AltaCatastrófico</v>
          </cell>
          <cell r="B25" t="str">
            <v>Extremo</v>
          </cell>
        </row>
      </sheetData>
      <sheetData sheetId="7" refreshError="1"/>
      <sheetData sheetId="8">
        <row r="4">
          <cell r="Q4" t="str">
            <v>FUERTEFUERTE</v>
          </cell>
          <cell r="R4">
            <v>100</v>
          </cell>
        </row>
        <row r="5">
          <cell r="Q5" t="str">
            <v>FUERTEMODERADO</v>
          </cell>
          <cell r="R5">
            <v>50</v>
          </cell>
        </row>
        <row r="6">
          <cell r="Q6" t="str">
            <v>FUERTEDEBIL</v>
          </cell>
        </row>
        <row r="7">
          <cell r="Q7" t="str">
            <v>MODERADOFUERTE</v>
          </cell>
          <cell r="R7">
            <v>50</v>
          </cell>
        </row>
        <row r="8">
          <cell r="Q8" t="str">
            <v>MODERADOMODERADO</v>
          </cell>
          <cell r="R8">
            <v>50</v>
          </cell>
        </row>
        <row r="9">
          <cell r="Q9" t="str">
            <v>MODERADODÉBIL</v>
          </cell>
          <cell r="R9">
            <v>0</v>
          </cell>
        </row>
        <row r="10">
          <cell r="Q10" t="str">
            <v>DÉBILFUERTE</v>
          </cell>
          <cell r="R10">
            <v>0</v>
          </cell>
        </row>
        <row r="11">
          <cell r="Q11" t="str">
            <v>DÉBILMODERADO</v>
          </cell>
          <cell r="R11">
            <v>0</v>
          </cell>
        </row>
        <row r="12">
          <cell r="Q12" t="str">
            <v>DÉBILDÉBIL</v>
          </cell>
          <cell r="R12">
            <v>0</v>
          </cell>
        </row>
        <row r="24">
          <cell r="D24" t="str">
            <v>No se ha presentado en los últimos 5 años</v>
          </cell>
          <cell r="E24" t="str">
            <v>Rara Vez</v>
          </cell>
        </row>
        <row r="25">
          <cell r="D25" t="str">
            <v>Al menos 1 vez en los últimos 5 años</v>
          </cell>
          <cell r="E25" t="str">
            <v>Improbable</v>
          </cell>
        </row>
        <row r="26">
          <cell r="D26" t="str">
            <v>Al menos 1 vez en los últimos 2 años</v>
          </cell>
          <cell r="E26" t="str">
            <v>Posible</v>
          </cell>
        </row>
        <row r="27">
          <cell r="D27" t="str">
            <v>Al menos 1 vez en el último año</v>
          </cell>
          <cell r="E27" t="str">
            <v>Probable</v>
          </cell>
        </row>
        <row r="28">
          <cell r="D28" t="str">
            <v>más de 1 vez al año</v>
          </cell>
          <cell r="E28" t="str">
            <v>Casi Seguro</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Seguridad Información"/>
      <sheetName val="Riesgos Corrupción"/>
      <sheetName val="Riesgos Gestión"/>
      <sheetName val="PARÁMETROS RIESGOS GESTIÓN"/>
      <sheetName val="Probab e Impacto"/>
      <sheetName val="Zona de riesgo"/>
      <sheetName val="RIESGO RESIDUAL"/>
      <sheetName val="CONTROLES"/>
      <sheetName val="PARAMETROS RIESGOS DE CORRUPCIÓ"/>
      <sheetName val="VALORACIÓN RR CORRUPCIÓN"/>
      <sheetName val="Hoja2"/>
    </sheetNames>
    <sheetDataSet>
      <sheetData sheetId="0"/>
      <sheetData sheetId="1"/>
      <sheetData sheetId="2"/>
      <sheetData sheetId="3"/>
      <sheetData sheetId="4"/>
      <sheetData sheetId="5">
        <row r="12">
          <cell r="L12">
            <v>2060</v>
          </cell>
        </row>
      </sheetData>
      <sheetData sheetId="6"/>
      <sheetData sheetId="7"/>
      <sheetData sheetId="8">
        <row r="4">
          <cell r="Q4" t="str">
            <v>FUERTEFUERTE</v>
          </cell>
        </row>
      </sheetData>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Seguridad Información"/>
      <sheetName val="Riesgos Corrupción"/>
      <sheetName val="Riesgos Gestión"/>
      <sheetName val="PARÁMETROS RIESGOS GESTIÓN"/>
      <sheetName val="Probab e Impacto"/>
      <sheetName val="Zona de riesgo"/>
      <sheetName val="RIESGO RESIDUAL"/>
      <sheetName val="CONTROLES"/>
      <sheetName val="PARAMETROS RIESGOS DE CORRUPCIÓ"/>
      <sheetName val="VALORACIÓN RR CORRUPCIÓN"/>
      <sheetName val="Hoja2"/>
    </sheetNames>
    <sheetDataSet>
      <sheetData sheetId="0" refreshError="1"/>
      <sheetData sheetId="1" refreshError="1"/>
      <sheetData sheetId="2" refreshError="1"/>
      <sheetData sheetId="3" refreshError="1"/>
      <sheetData sheetId="4" refreshError="1"/>
      <sheetData sheetId="5" refreshError="1">
        <row r="12">
          <cell r="L12">
            <v>2060</v>
          </cell>
          <cell r="M12" t="str">
            <v>Moderado</v>
          </cell>
        </row>
        <row r="13">
          <cell r="L13">
            <v>4060</v>
          </cell>
          <cell r="M13" t="str">
            <v>Moderado</v>
          </cell>
        </row>
        <row r="14">
          <cell r="L14">
            <v>6060</v>
          </cell>
          <cell r="M14" t="str">
            <v>Moderado</v>
          </cell>
        </row>
        <row r="15">
          <cell r="L15">
            <v>8060</v>
          </cell>
          <cell r="M15" t="str">
            <v>Moderado</v>
          </cell>
        </row>
        <row r="16">
          <cell r="L16">
            <v>10060</v>
          </cell>
          <cell r="M16" t="str">
            <v>Moderado</v>
          </cell>
        </row>
        <row r="17">
          <cell r="L17">
            <v>8020</v>
          </cell>
          <cell r="M17" t="str">
            <v>Moderado</v>
          </cell>
        </row>
        <row r="18">
          <cell r="L18">
            <v>8040</v>
          </cell>
          <cell r="M18" t="str">
            <v>Moderado</v>
          </cell>
        </row>
        <row r="19">
          <cell r="L19">
            <v>8060</v>
          </cell>
          <cell r="M19" t="str">
            <v>Moderado</v>
          </cell>
        </row>
        <row r="20">
          <cell r="L20">
            <v>8080</v>
          </cell>
          <cell r="M20" t="str">
            <v>Alto</v>
          </cell>
        </row>
        <row r="21">
          <cell r="L21">
            <v>80100</v>
          </cell>
          <cell r="M21" t="str">
            <v>Alto</v>
          </cell>
        </row>
        <row r="22">
          <cell r="L22">
            <v>20100</v>
          </cell>
          <cell r="M22" t="str">
            <v>Alto</v>
          </cell>
        </row>
        <row r="23">
          <cell r="L23">
            <v>40100</v>
          </cell>
          <cell r="M23" t="str">
            <v>Alto</v>
          </cell>
        </row>
        <row r="24">
          <cell r="L24">
            <v>60100</v>
          </cell>
          <cell r="M24" t="str">
            <v>Alto</v>
          </cell>
        </row>
        <row r="25">
          <cell r="L25">
            <v>80100</v>
          </cell>
          <cell r="M25" t="str">
            <v>Alto</v>
          </cell>
        </row>
        <row r="26">
          <cell r="L26">
            <v>100100</v>
          </cell>
          <cell r="M26" t="str">
            <v>Alto</v>
          </cell>
        </row>
      </sheetData>
      <sheetData sheetId="6" refreshError="1"/>
      <sheetData sheetId="7" refreshError="1"/>
      <sheetData sheetId="8" refreshError="1"/>
      <sheetData sheetId="9" refreshError="1"/>
      <sheetData sheetId="10" refreshError="1"/>
    </sheetDataSet>
  </externalBook>
</externalLink>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A34" zoomScale="110" zoomScaleNormal="110" workbookViewId="0">
      <selection activeCell="E36" sqref="E36:F36"/>
    </sheetView>
  </sheetViews>
  <sheetFormatPr baseColWidth="10" defaultRowHeight="15" x14ac:dyDescent="0.25"/>
  <cols>
    <col min="1" max="1" width="2.85546875" style="69" customWidth="1"/>
    <col min="2" max="3" width="24.7109375" style="69" customWidth="1"/>
    <col min="4" max="4" width="16" style="69" customWidth="1"/>
    <col min="5" max="5" width="24.7109375" style="69" customWidth="1"/>
    <col min="6" max="6" width="27.7109375" style="69" customWidth="1"/>
    <col min="7" max="8" width="24.7109375" style="69" customWidth="1"/>
    <col min="9" max="16384" width="11.42578125" style="69"/>
  </cols>
  <sheetData>
    <row r="1" spans="2:8" ht="15.75" thickBot="1" x14ac:dyDescent="0.3"/>
    <row r="2" spans="2:8" ht="18" x14ac:dyDescent="0.25">
      <c r="B2" s="279" t="s">
        <v>164</v>
      </c>
      <c r="C2" s="280"/>
      <c r="D2" s="280"/>
      <c r="E2" s="280"/>
      <c r="F2" s="280"/>
      <c r="G2" s="280"/>
      <c r="H2" s="281"/>
    </row>
    <row r="3" spans="2:8" x14ac:dyDescent="0.25">
      <c r="B3" s="70"/>
      <c r="C3" s="71"/>
      <c r="D3" s="71"/>
      <c r="E3" s="71"/>
      <c r="F3" s="71"/>
      <c r="G3" s="71"/>
      <c r="H3" s="72"/>
    </row>
    <row r="4" spans="2:8" ht="63" customHeight="1" x14ac:dyDescent="0.25">
      <c r="B4" s="282" t="s">
        <v>207</v>
      </c>
      <c r="C4" s="283"/>
      <c r="D4" s="283"/>
      <c r="E4" s="283"/>
      <c r="F4" s="283"/>
      <c r="G4" s="283"/>
      <c r="H4" s="284"/>
    </row>
    <row r="5" spans="2:8" ht="63" customHeight="1" x14ac:dyDescent="0.25">
      <c r="B5" s="285"/>
      <c r="C5" s="286"/>
      <c r="D5" s="286"/>
      <c r="E5" s="286"/>
      <c r="F5" s="286"/>
      <c r="G5" s="286"/>
      <c r="H5" s="287"/>
    </row>
    <row r="6" spans="2:8" ht="16.5" x14ac:dyDescent="0.25">
      <c r="B6" s="288" t="s">
        <v>162</v>
      </c>
      <c r="C6" s="289"/>
      <c r="D6" s="289"/>
      <c r="E6" s="289"/>
      <c r="F6" s="289"/>
      <c r="G6" s="289"/>
      <c r="H6" s="290"/>
    </row>
    <row r="7" spans="2:8" ht="95.25" customHeight="1" x14ac:dyDescent="0.25">
      <c r="B7" s="298" t="s">
        <v>167</v>
      </c>
      <c r="C7" s="299"/>
      <c r="D7" s="299"/>
      <c r="E7" s="299"/>
      <c r="F7" s="299"/>
      <c r="G7" s="299"/>
      <c r="H7" s="300"/>
    </row>
    <row r="8" spans="2:8" ht="16.5" x14ac:dyDescent="0.25">
      <c r="B8" s="106"/>
      <c r="C8" s="107"/>
      <c r="D8" s="107"/>
      <c r="E8" s="107"/>
      <c r="F8" s="107"/>
      <c r="G8" s="107"/>
      <c r="H8" s="108"/>
    </row>
    <row r="9" spans="2:8" ht="16.5" customHeight="1" x14ac:dyDescent="0.25">
      <c r="B9" s="291" t="s">
        <v>200</v>
      </c>
      <c r="C9" s="292"/>
      <c r="D9" s="292"/>
      <c r="E9" s="292"/>
      <c r="F9" s="292"/>
      <c r="G9" s="292"/>
      <c r="H9" s="293"/>
    </row>
    <row r="10" spans="2:8" ht="44.25" customHeight="1" x14ac:dyDescent="0.25">
      <c r="B10" s="291"/>
      <c r="C10" s="292"/>
      <c r="D10" s="292"/>
      <c r="E10" s="292"/>
      <c r="F10" s="292"/>
      <c r="G10" s="292"/>
      <c r="H10" s="293"/>
    </row>
    <row r="11" spans="2:8" ht="15.75" thickBot="1" x14ac:dyDescent="0.3">
      <c r="B11" s="95"/>
      <c r="C11" s="98"/>
      <c r="D11" s="103"/>
      <c r="E11" s="104"/>
      <c r="F11" s="104"/>
      <c r="G11" s="105"/>
      <c r="H11" s="99"/>
    </row>
    <row r="12" spans="2:8" ht="15.75" thickTop="1" x14ac:dyDescent="0.25">
      <c r="B12" s="95"/>
      <c r="C12" s="294" t="s">
        <v>163</v>
      </c>
      <c r="D12" s="295"/>
      <c r="E12" s="296" t="s">
        <v>201</v>
      </c>
      <c r="F12" s="297"/>
      <c r="G12" s="98"/>
      <c r="H12" s="99"/>
    </row>
    <row r="13" spans="2:8" ht="35.25" customHeight="1" x14ac:dyDescent="0.25">
      <c r="B13" s="95"/>
      <c r="C13" s="266" t="s">
        <v>194</v>
      </c>
      <c r="D13" s="267"/>
      <c r="E13" s="268" t="s">
        <v>199</v>
      </c>
      <c r="F13" s="269"/>
      <c r="G13" s="98"/>
      <c r="H13" s="99"/>
    </row>
    <row r="14" spans="2:8" ht="17.25" customHeight="1" x14ac:dyDescent="0.25">
      <c r="B14" s="95"/>
      <c r="C14" s="266" t="s">
        <v>195</v>
      </c>
      <c r="D14" s="267"/>
      <c r="E14" s="268" t="s">
        <v>197</v>
      </c>
      <c r="F14" s="269"/>
      <c r="G14" s="98"/>
      <c r="H14" s="99"/>
    </row>
    <row r="15" spans="2:8" ht="19.5" customHeight="1" x14ac:dyDescent="0.25">
      <c r="B15" s="95"/>
      <c r="C15" s="266" t="s">
        <v>196</v>
      </c>
      <c r="D15" s="267"/>
      <c r="E15" s="268" t="s">
        <v>198</v>
      </c>
      <c r="F15" s="269"/>
      <c r="G15" s="98"/>
      <c r="H15" s="99"/>
    </row>
    <row r="16" spans="2:8" ht="69.75" customHeight="1" x14ac:dyDescent="0.25">
      <c r="B16" s="95"/>
      <c r="C16" s="266" t="s">
        <v>165</v>
      </c>
      <c r="D16" s="267"/>
      <c r="E16" s="268" t="s">
        <v>166</v>
      </c>
      <c r="F16" s="269"/>
      <c r="G16" s="98"/>
      <c r="H16" s="99"/>
    </row>
    <row r="17" spans="2:8" ht="34.5" customHeight="1" x14ac:dyDescent="0.25">
      <c r="B17" s="95"/>
      <c r="C17" s="270" t="s">
        <v>2</v>
      </c>
      <c r="D17" s="271"/>
      <c r="E17" s="262" t="s">
        <v>208</v>
      </c>
      <c r="F17" s="263"/>
      <c r="G17" s="98"/>
      <c r="H17" s="99"/>
    </row>
    <row r="18" spans="2:8" ht="27.75" customHeight="1" x14ac:dyDescent="0.25">
      <c r="B18" s="95"/>
      <c r="C18" s="270" t="s">
        <v>3</v>
      </c>
      <c r="D18" s="271"/>
      <c r="E18" s="262" t="s">
        <v>209</v>
      </c>
      <c r="F18" s="263"/>
      <c r="G18" s="98"/>
      <c r="H18" s="99"/>
    </row>
    <row r="19" spans="2:8" ht="28.5" customHeight="1" x14ac:dyDescent="0.25">
      <c r="B19" s="95"/>
      <c r="C19" s="270" t="s">
        <v>42</v>
      </c>
      <c r="D19" s="271"/>
      <c r="E19" s="262" t="s">
        <v>210</v>
      </c>
      <c r="F19" s="263"/>
      <c r="G19" s="98"/>
      <c r="H19" s="99"/>
    </row>
    <row r="20" spans="2:8" ht="72.75" customHeight="1" x14ac:dyDescent="0.25">
      <c r="B20" s="95"/>
      <c r="C20" s="270" t="s">
        <v>1</v>
      </c>
      <c r="D20" s="271"/>
      <c r="E20" s="262" t="s">
        <v>211</v>
      </c>
      <c r="F20" s="263"/>
      <c r="G20" s="98"/>
      <c r="H20" s="99"/>
    </row>
    <row r="21" spans="2:8" ht="64.5" customHeight="1" x14ac:dyDescent="0.25">
      <c r="B21" s="95"/>
      <c r="C21" s="270" t="s">
        <v>49</v>
      </c>
      <c r="D21" s="271"/>
      <c r="E21" s="262" t="s">
        <v>169</v>
      </c>
      <c r="F21" s="263"/>
      <c r="G21" s="98"/>
      <c r="H21" s="99"/>
    </row>
    <row r="22" spans="2:8" ht="71.25" customHeight="1" x14ac:dyDescent="0.25">
      <c r="B22" s="95"/>
      <c r="C22" s="270" t="s">
        <v>168</v>
      </c>
      <c r="D22" s="271"/>
      <c r="E22" s="262" t="s">
        <v>170</v>
      </c>
      <c r="F22" s="263"/>
      <c r="G22" s="98"/>
      <c r="H22" s="99"/>
    </row>
    <row r="23" spans="2:8" ht="55.5" customHeight="1" x14ac:dyDescent="0.25">
      <c r="B23" s="95"/>
      <c r="C23" s="264" t="s">
        <v>171</v>
      </c>
      <c r="D23" s="265"/>
      <c r="E23" s="262" t="s">
        <v>172</v>
      </c>
      <c r="F23" s="263"/>
      <c r="G23" s="98"/>
      <c r="H23" s="99"/>
    </row>
    <row r="24" spans="2:8" ht="42" customHeight="1" x14ac:dyDescent="0.25">
      <c r="B24" s="95"/>
      <c r="C24" s="264" t="s">
        <v>47</v>
      </c>
      <c r="D24" s="265"/>
      <c r="E24" s="262" t="s">
        <v>173</v>
      </c>
      <c r="F24" s="263"/>
      <c r="G24" s="98"/>
      <c r="H24" s="99"/>
    </row>
    <row r="25" spans="2:8" ht="59.25" customHeight="1" x14ac:dyDescent="0.25">
      <c r="B25" s="95"/>
      <c r="C25" s="264" t="s">
        <v>161</v>
      </c>
      <c r="D25" s="265"/>
      <c r="E25" s="262" t="s">
        <v>174</v>
      </c>
      <c r="F25" s="263"/>
      <c r="G25" s="98"/>
      <c r="H25" s="99"/>
    </row>
    <row r="26" spans="2:8" ht="23.25" customHeight="1" x14ac:dyDescent="0.25">
      <c r="B26" s="95"/>
      <c r="C26" s="264" t="s">
        <v>12</v>
      </c>
      <c r="D26" s="265"/>
      <c r="E26" s="262" t="s">
        <v>175</v>
      </c>
      <c r="F26" s="263"/>
      <c r="G26" s="98"/>
      <c r="H26" s="99"/>
    </row>
    <row r="27" spans="2:8" ht="30.75" customHeight="1" x14ac:dyDescent="0.25">
      <c r="B27" s="95"/>
      <c r="C27" s="264" t="s">
        <v>179</v>
      </c>
      <c r="D27" s="265"/>
      <c r="E27" s="262" t="s">
        <v>176</v>
      </c>
      <c r="F27" s="263"/>
      <c r="G27" s="98"/>
      <c r="H27" s="99"/>
    </row>
    <row r="28" spans="2:8" ht="35.25" customHeight="1" x14ac:dyDescent="0.25">
      <c r="B28" s="95"/>
      <c r="C28" s="264" t="s">
        <v>180</v>
      </c>
      <c r="D28" s="265"/>
      <c r="E28" s="262" t="s">
        <v>177</v>
      </c>
      <c r="F28" s="263"/>
      <c r="G28" s="98"/>
      <c r="H28" s="99"/>
    </row>
    <row r="29" spans="2:8" ht="33" customHeight="1" x14ac:dyDescent="0.25">
      <c r="B29" s="95"/>
      <c r="C29" s="264" t="s">
        <v>180</v>
      </c>
      <c r="D29" s="265"/>
      <c r="E29" s="262" t="s">
        <v>177</v>
      </c>
      <c r="F29" s="263"/>
      <c r="G29" s="98"/>
      <c r="H29" s="99"/>
    </row>
    <row r="30" spans="2:8" ht="30" customHeight="1" x14ac:dyDescent="0.25">
      <c r="B30" s="95"/>
      <c r="C30" s="264" t="s">
        <v>181</v>
      </c>
      <c r="D30" s="265"/>
      <c r="E30" s="262" t="s">
        <v>178</v>
      </c>
      <c r="F30" s="263"/>
      <c r="G30" s="98"/>
      <c r="H30" s="99"/>
    </row>
    <row r="31" spans="2:8" ht="35.25" customHeight="1" x14ac:dyDescent="0.25">
      <c r="B31" s="95"/>
      <c r="C31" s="264" t="s">
        <v>182</v>
      </c>
      <c r="D31" s="265"/>
      <c r="E31" s="262" t="s">
        <v>183</v>
      </c>
      <c r="F31" s="263"/>
      <c r="G31" s="98"/>
      <c r="H31" s="99"/>
    </row>
    <row r="32" spans="2:8" ht="31.5" customHeight="1" x14ac:dyDescent="0.25">
      <c r="B32" s="95"/>
      <c r="C32" s="264" t="s">
        <v>184</v>
      </c>
      <c r="D32" s="265"/>
      <c r="E32" s="262" t="s">
        <v>185</v>
      </c>
      <c r="F32" s="263"/>
      <c r="G32" s="98"/>
      <c r="H32" s="99"/>
    </row>
    <row r="33" spans="2:8" ht="35.25" customHeight="1" x14ac:dyDescent="0.25">
      <c r="B33" s="95"/>
      <c r="C33" s="264" t="s">
        <v>186</v>
      </c>
      <c r="D33" s="265"/>
      <c r="E33" s="262" t="s">
        <v>187</v>
      </c>
      <c r="F33" s="263"/>
      <c r="G33" s="98"/>
      <c r="H33" s="99"/>
    </row>
    <row r="34" spans="2:8" ht="59.25" customHeight="1" x14ac:dyDescent="0.25">
      <c r="B34" s="95"/>
      <c r="C34" s="264" t="s">
        <v>188</v>
      </c>
      <c r="D34" s="265"/>
      <c r="E34" s="262" t="s">
        <v>189</v>
      </c>
      <c r="F34" s="263"/>
      <c r="G34" s="98"/>
      <c r="H34" s="99"/>
    </row>
    <row r="35" spans="2:8" ht="29.25" customHeight="1" x14ac:dyDescent="0.25">
      <c r="B35" s="95"/>
      <c r="C35" s="264" t="s">
        <v>29</v>
      </c>
      <c r="D35" s="265"/>
      <c r="E35" s="262" t="s">
        <v>190</v>
      </c>
      <c r="F35" s="263"/>
      <c r="G35" s="98"/>
      <c r="H35" s="99"/>
    </row>
    <row r="36" spans="2:8" ht="82.5" customHeight="1" x14ac:dyDescent="0.25">
      <c r="B36" s="95"/>
      <c r="C36" s="264" t="s">
        <v>192</v>
      </c>
      <c r="D36" s="265"/>
      <c r="E36" s="262" t="s">
        <v>191</v>
      </c>
      <c r="F36" s="263"/>
      <c r="G36" s="98"/>
      <c r="H36" s="99"/>
    </row>
    <row r="37" spans="2:8" ht="46.5" customHeight="1" x14ac:dyDescent="0.25">
      <c r="B37" s="95"/>
      <c r="C37" s="264" t="s">
        <v>39</v>
      </c>
      <c r="D37" s="265"/>
      <c r="E37" s="262" t="s">
        <v>193</v>
      </c>
      <c r="F37" s="263"/>
      <c r="G37" s="98"/>
      <c r="H37" s="99"/>
    </row>
    <row r="38" spans="2:8" ht="6.75" customHeight="1" thickBot="1" x14ac:dyDescent="0.3">
      <c r="B38" s="95"/>
      <c r="C38" s="275"/>
      <c r="D38" s="276"/>
      <c r="E38" s="277"/>
      <c r="F38" s="278"/>
      <c r="G38" s="98"/>
      <c r="H38" s="99"/>
    </row>
    <row r="39" spans="2:8" ht="15.75" thickTop="1" x14ac:dyDescent="0.25">
      <c r="B39" s="95"/>
      <c r="C39" s="96"/>
      <c r="D39" s="96"/>
      <c r="E39" s="97"/>
      <c r="F39" s="97"/>
      <c r="G39" s="98"/>
      <c r="H39" s="99"/>
    </row>
    <row r="40" spans="2:8" ht="21" customHeight="1" x14ac:dyDescent="0.25">
      <c r="B40" s="272" t="s">
        <v>202</v>
      </c>
      <c r="C40" s="273"/>
      <c r="D40" s="273"/>
      <c r="E40" s="273"/>
      <c r="F40" s="273"/>
      <c r="G40" s="273"/>
      <c r="H40" s="274"/>
    </row>
    <row r="41" spans="2:8" ht="20.25" customHeight="1" x14ac:dyDescent="0.25">
      <c r="B41" s="272" t="s">
        <v>203</v>
      </c>
      <c r="C41" s="273"/>
      <c r="D41" s="273"/>
      <c r="E41" s="273"/>
      <c r="F41" s="273"/>
      <c r="G41" s="273"/>
      <c r="H41" s="274"/>
    </row>
    <row r="42" spans="2:8" ht="20.25" customHeight="1" x14ac:dyDescent="0.25">
      <c r="B42" s="272" t="s">
        <v>204</v>
      </c>
      <c r="C42" s="273"/>
      <c r="D42" s="273"/>
      <c r="E42" s="273"/>
      <c r="F42" s="273"/>
      <c r="G42" s="273"/>
      <c r="H42" s="274"/>
    </row>
    <row r="43" spans="2:8" ht="20.25" customHeight="1" x14ac:dyDescent="0.25">
      <c r="B43" s="272" t="s">
        <v>205</v>
      </c>
      <c r="C43" s="273"/>
      <c r="D43" s="273"/>
      <c r="E43" s="273"/>
      <c r="F43" s="273"/>
      <c r="G43" s="273"/>
      <c r="H43" s="274"/>
    </row>
    <row r="44" spans="2:8" x14ac:dyDescent="0.25">
      <c r="B44" s="272" t="s">
        <v>206</v>
      </c>
      <c r="C44" s="273"/>
      <c r="D44" s="273"/>
      <c r="E44" s="273"/>
      <c r="F44" s="273"/>
      <c r="G44" s="273"/>
      <c r="H44" s="274"/>
    </row>
    <row r="45" spans="2:8" ht="15.75" thickBot="1" x14ac:dyDescent="0.3">
      <c r="B45" s="100"/>
      <c r="C45" s="101"/>
      <c r="D45" s="101"/>
      <c r="E45" s="101"/>
      <c r="F45" s="101"/>
      <c r="G45" s="101"/>
      <c r="H45" s="102"/>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Q72"/>
  <sheetViews>
    <sheetView tabSelected="1" zoomScaleNormal="100" workbookViewId="0">
      <selection activeCell="A4" sqref="A4:C4"/>
    </sheetView>
  </sheetViews>
  <sheetFormatPr baseColWidth="10" defaultColWidth="0" defaultRowHeight="16.5" zeroHeight="1" x14ac:dyDescent="0.25"/>
  <cols>
    <col min="1" max="1" width="27.42578125" style="215" bestFit="1" customWidth="1"/>
    <col min="2" max="2" width="4" style="216" bestFit="1" customWidth="1"/>
    <col min="3" max="3" width="14.140625" style="216" customWidth="1"/>
    <col min="4" max="4" width="28.85546875" style="216" customWidth="1"/>
    <col min="5" max="5" width="22.7109375" style="216" customWidth="1"/>
    <col min="6" max="6" width="40.28515625" style="216" customWidth="1"/>
    <col min="7" max="7" width="19" style="216" customWidth="1"/>
    <col min="8" max="8" width="17.85546875" style="216" customWidth="1"/>
    <col min="9" max="9" width="16.5703125" style="216" customWidth="1"/>
    <col min="10" max="10" width="6.28515625" style="216" bestFit="1" customWidth="1"/>
    <col min="11" max="11" width="36.85546875" style="216" customWidth="1"/>
    <col min="12" max="12" width="30.5703125" style="216" hidden="1" customWidth="1"/>
    <col min="13" max="13" width="17.5703125" style="216" customWidth="1"/>
    <col min="14" max="14" width="6.28515625" style="216" bestFit="1" customWidth="1"/>
    <col min="15" max="15" width="16" style="216" customWidth="1"/>
    <col min="16" max="16" width="5.85546875" style="216" customWidth="1"/>
    <col min="17" max="17" width="40.42578125" style="216" customWidth="1"/>
    <col min="18" max="18" width="15.140625" style="216" bestFit="1" customWidth="1"/>
    <col min="19" max="19" width="6.85546875" style="216" customWidth="1"/>
    <col min="20" max="20" width="5" style="216" customWidth="1"/>
    <col min="21" max="21" width="5.5703125" style="216" customWidth="1"/>
    <col min="22" max="22" width="7.140625" style="216" customWidth="1"/>
    <col min="23" max="23" width="6.7109375" style="216" customWidth="1"/>
    <col min="24" max="24" width="7.5703125" style="216" customWidth="1"/>
    <col min="25" max="25" width="38.28515625" style="216" customWidth="1"/>
    <col min="26" max="26" width="8.7109375" style="216" customWidth="1"/>
    <col min="27" max="27" width="10.42578125" style="216" customWidth="1"/>
    <col min="28" max="28" width="9.28515625" style="216" customWidth="1"/>
    <col min="29" max="29" width="9.140625" style="216" customWidth="1"/>
    <col min="30" max="30" width="8.42578125" style="216" customWidth="1"/>
    <col min="31" max="31" width="7.28515625" style="216" customWidth="1"/>
    <col min="32" max="32" width="38.85546875" style="216" customWidth="1"/>
    <col min="33" max="33" width="18.85546875" style="216" customWidth="1"/>
    <col min="34" max="34" width="16.85546875" style="216" customWidth="1"/>
    <col min="35" max="35" width="14.85546875" style="216" customWidth="1"/>
    <col min="36" max="36" width="32.28515625" style="216" customWidth="1"/>
    <col min="37" max="37" width="21" style="216" customWidth="1"/>
    <col min="38" max="38" width="11.42578125" style="216" hidden="1" customWidth="1"/>
    <col min="39" max="69" width="0" style="216" hidden="1" customWidth="1"/>
    <col min="70" max="16384" width="11.42578125" style="216" hidden="1"/>
  </cols>
  <sheetData>
    <row r="1" spans="1:69" s="206" customFormat="1" ht="16.5" customHeight="1" x14ac:dyDescent="0.3">
      <c r="A1" s="322" t="s">
        <v>558</v>
      </c>
      <c r="B1" s="322"/>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row>
    <row r="2" spans="1:69" s="206" customFormat="1" ht="16.5" customHeight="1" x14ac:dyDescent="0.3">
      <c r="A2" s="322"/>
      <c r="B2" s="322"/>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c r="AE2" s="322"/>
      <c r="AF2" s="322"/>
      <c r="AG2" s="322"/>
      <c r="AH2" s="322"/>
      <c r="AI2" s="322"/>
      <c r="AJ2" s="322"/>
      <c r="AK2" s="322"/>
      <c r="AL2" s="205"/>
      <c r="AM2" s="205"/>
      <c r="AN2" s="205"/>
      <c r="AO2" s="205"/>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c r="BN2" s="205"/>
      <c r="BO2" s="205"/>
      <c r="BP2" s="205"/>
      <c r="BQ2" s="205"/>
    </row>
    <row r="3" spans="1:69" s="206" customFormat="1" x14ac:dyDescent="0.3">
      <c r="A3" s="207"/>
      <c r="B3" s="208"/>
      <c r="C3" s="208"/>
      <c r="D3" s="208"/>
      <c r="E3" s="208"/>
      <c r="F3" s="205"/>
      <c r="G3" s="209"/>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05"/>
      <c r="BL3" s="205"/>
      <c r="BM3" s="205"/>
      <c r="BN3" s="205"/>
      <c r="BO3" s="205"/>
      <c r="BP3" s="205"/>
      <c r="BQ3" s="205"/>
    </row>
    <row r="4" spans="1:69" s="206" customFormat="1" ht="23.25" x14ac:dyDescent="0.3">
      <c r="A4" s="321" t="s">
        <v>527</v>
      </c>
      <c r="B4" s="321"/>
      <c r="C4" s="321"/>
      <c r="D4" s="301">
        <v>45051</v>
      </c>
      <c r="E4" s="302"/>
      <c r="F4" s="302"/>
      <c r="G4" s="302"/>
      <c r="H4" s="302"/>
      <c r="I4" s="302"/>
      <c r="J4" s="302"/>
      <c r="K4" s="302"/>
      <c r="L4" s="302"/>
      <c r="M4" s="302"/>
      <c r="N4" s="302"/>
      <c r="O4" s="302"/>
      <c r="P4" s="303"/>
      <c r="Q4" s="303"/>
      <c r="R4" s="303"/>
      <c r="S4" s="205"/>
      <c r="T4" s="205"/>
      <c r="U4" s="205"/>
      <c r="V4" s="205"/>
      <c r="W4" s="205"/>
      <c r="X4" s="205"/>
      <c r="Y4" s="205"/>
      <c r="Z4" s="205"/>
      <c r="AA4" s="205"/>
      <c r="AB4" s="205"/>
      <c r="AC4" s="205"/>
      <c r="AD4" s="205"/>
      <c r="AE4" s="205"/>
      <c r="AF4" s="205"/>
      <c r="AG4" s="205"/>
      <c r="AH4" s="205"/>
      <c r="AI4" s="205"/>
      <c r="AJ4" s="205"/>
      <c r="AK4" s="205"/>
      <c r="AL4" s="205"/>
      <c r="AM4" s="205"/>
      <c r="AN4" s="205"/>
      <c r="AO4" s="205"/>
      <c r="AP4" s="205"/>
      <c r="AQ4" s="205"/>
      <c r="AR4" s="205"/>
      <c r="AS4" s="205"/>
      <c r="AT4" s="205"/>
      <c r="AU4" s="205"/>
      <c r="AV4" s="205"/>
      <c r="AW4" s="205"/>
      <c r="AX4" s="205"/>
      <c r="AY4" s="205"/>
      <c r="AZ4" s="205"/>
      <c r="BA4" s="205"/>
      <c r="BB4" s="205"/>
      <c r="BC4" s="205"/>
      <c r="BD4" s="205"/>
      <c r="BE4" s="205"/>
      <c r="BF4" s="205"/>
      <c r="BG4" s="205"/>
      <c r="BH4" s="205"/>
      <c r="BI4" s="205"/>
      <c r="BJ4" s="205"/>
      <c r="BK4" s="205"/>
      <c r="BL4" s="205"/>
      <c r="BM4" s="205"/>
      <c r="BN4" s="205"/>
      <c r="BO4" s="205"/>
      <c r="BP4" s="205"/>
      <c r="BQ4" s="205"/>
    </row>
    <row r="5" spans="1:69" s="206" customFormat="1" ht="23.25" hidden="1" x14ac:dyDescent="0.3">
      <c r="A5" s="207"/>
      <c r="B5" s="316" t="s">
        <v>129</v>
      </c>
      <c r="C5" s="316"/>
      <c r="D5" s="319"/>
      <c r="E5" s="319"/>
      <c r="F5" s="319"/>
      <c r="G5" s="319"/>
      <c r="H5" s="319"/>
      <c r="I5" s="319"/>
      <c r="J5" s="319"/>
      <c r="K5" s="319"/>
      <c r="L5" s="319"/>
      <c r="M5" s="319"/>
      <c r="N5" s="319"/>
      <c r="O5" s="319"/>
      <c r="P5" s="205"/>
      <c r="Q5" s="205"/>
      <c r="R5" s="205"/>
      <c r="S5" s="205"/>
      <c r="T5" s="205"/>
      <c r="U5" s="205"/>
      <c r="V5" s="205"/>
      <c r="W5" s="205"/>
      <c r="X5" s="205"/>
      <c r="Y5" s="205"/>
      <c r="Z5" s="205"/>
      <c r="AA5" s="205"/>
      <c r="AB5" s="205"/>
      <c r="AC5" s="205"/>
      <c r="AD5" s="205"/>
      <c r="AE5" s="205"/>
      <c r="AF5" s="205"/>
      <c r="AG5" s="205"/>
      <c r="AH5" s="205"/>
      <c r="AI5" s="205"/>
      <c r="AJ5" s="205"/>
      <c r="AK5" s="205"/>
      <c r="AL5" s="205"/>
      <c r="AM5" s="205"/>
      <c r="AN5" s="205"/>
      <c r="AO5" s="205"/>
      <c r="AP5" s="205"/>
      <c r="AQ5" s="205"/>
      <c r="AR5" s="205"/>
      <c r="AS5" s="205"/>
      <c r="AT5" s="205"/>
      <c r="AU5" s="205"/>
      <c r="AV5" s="205"/>
      <c r="AW5" s="205"/>
      <c r="AX5" s="205"/>
      <c r="AY5" s="205"/>
      <c r="AZ5" s="205"/>
      <c r="BA5" s="205"/>
      <c r="BB5" s="205"/>
      <c r="BC5" s="205"/>
      <c r="BD5" s="205"/>
      <c r="BE5" s="205"/>
      <c r="BF5" s="205"/>
      <c r="BG5" s="205"/>
      <c r="BH5" s="205"/>
      <c r="BI5" s="205"/>
      <c r="BJ5" s="205"/>
      <c r="BK5" s="205"/>
      <c r="BL5" s="205"/>
      <c r="BM5" s="205"/>
      <c r="BN5" s="205"/>
      <c r="BO5" s="205"/>
      <c r="BP5" s="205"/>
      <c r="BQ5" s="205"/>
    </row>
    <row r="6" spans="1:69" s="206" customFormat="1" ht="23.25" hidden="1" x14ac:dyDescent="0.3">
      <c r="A6" s="207"/>
      <c r="B6" s="316" t="s">
        <v>43</v>
      </c>
      <c r="C6" s="316"/>
      <c r="D6" s="320"/>
      <c r="E6" s="320"/>
      <c r="F6" s="320"/>
      <c r="G6" s="320"/>
      <c r="H6" s="320"/>
      <c r="I6" s="320"/>
      <c r="J6" s="320"/>
      <c r="K6" s="320"/>
      <c r="L6" s="320"/>
      <c r="M6" s="320"/>
      <c r="N6" s="320"/>
      <c r="O6" s="320"/>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5"/>
      <c r="AY6" s="205"/>
      <c r="AZ6" s="205"/>
      <c r="BA6" s="205"/>
      <c r="BB6" s="205"/>
      <c r="BC6" s="205"/>
      <c r="BD6" s="205"/>
      <c r="BE6" s="205"/>
      <c r="BF6" s="205"/>
      <c r="BG6" s="205"/>
      <c r="BH6" s="205"/>
      <c r="BI6" s="205"/>
      <c r="BJ6" s="205"/>
      <c r="BK6" s="205"/>
      <c r="BL6" s="205"/>
      <c r="BM6" s="205"/>
      <c r="BN6" s="205"/>
      <c r="BO6" s="205"/>
      <c r="BP6" s="205"/>
      <c r="BQ6" s="205"/>
    </row>
    <row r="7" spans="1:69" s="211" customFormat="1" x14ac:dyDescent="0.3">
      <c r="A7" s="315" t="s">
        <v>194</v>
      </c>
      <c r="B7" s="304" t="s">
        <v>138</v>
      </c>
      <c r="C7" s="304"/>
      <c r="D7" s="304"/>
      <c r="E7" s="304"/>
      <c r="F7" s="304"/>
      <c r="G7" s="304"/>
      <c r="H7" s="304"/>
      <c r="I7" s="305" t="s">
        <v>139</v>
      </c>
      <c r="J7" s="305"/>
      <c r="K7" s="305"/>
      <c r="L7" s="305"/>
      <c r="M7" s="305"/>
      <c r="N7" s="305"/>
      <c r="O7" s="305"/>
      <c r="P7" s="305" t="s">
        <v>140</v>
      </c>
      <c r="Q7" s="305"/>
      <c r="R7" s="305"/>
      <c r="S7" s="305"/>
      <c r="T7" s="305"/>
      <c r="U7" s="305"/>
      <c r="V7" s="305"/>
      <c r="W7" s="305"/>
      <c r="X7" s="305"/>
      <c r="Y7" s="305" t="s">
        <v>141</v>
      </c>
      <c r="Z7" s="305"/>
      <c r="AA7" s="305"/>
      <c r="AB7" s="305"/>
      <c r="AC7" s="305"/>
      <c r="AD7" s="305"/>
      <c r="AE7" s="305"/>
      <c r="AF7" s="305" t="s">
        <v>34</v>
      </c>
      <c r="AG7" s="305"/>
      <c r="AH7" s="305"/>
      <c r="AI7" s="305"/>
      <c r="AJ7" s="305"/>
      <c r="AK7" s="305"/>
      <c r="AL7" s="210"/>
      <c r="AM7" s="210"/>
      <c r="AN7" s="210"/>
      <c r="AO7" s="210"/>
      <c r="AP7" s="210"/>
      <c r="AQ7" s="210"/>
      <c r="AR7" s="210"/>
      <c r="AS7" s="210"/>
      <c r="AT7" s="210"/>
      <c r="AU7" s="210"/>
      <c r="AV7" s="210"/>
      <c r="AW7" s="210"/>
      <c r="AX7" s="210"/>
      <c r="AY7" s="210"/>
      <c r="AZ7" s="210"/>
      <c r="BA7" s="210"/>
      <c r="BB7" s="210"/>
      <c r="BC7" s="210"/>
      <c r="BD7" s="210"/>
      <c r="BE7" s="210"/>
      <c r="BF7" s="210"/>
      <c r="BG7" s="210"/>
      <c r="BH7" s="210"/>
      <c r="BI7" s="210"/>
      <c r="BJ7" s="210"/>
      <c r="BK7" s="210"/>
      <c r="BL7" s="210"/>
      <c r="BM7" s="210"/>
      <c r="BN7" s="210"/>
      <c r="BO7" s="210"/>
      <c r="BP7" s="210"/>
      <c r="BQ7" s="210"/>
    </row>
    <row r="8" spans="1:69" s="206" customFormat="1" x14ac:dyDescent="0.3">
      <c r="A8" s="315"/>
      <c r="B8" s="317" t="s">
        <v>0</v>
      </c>
      <c r="C8" s="305" t="s">
        <v>2</v>
      </c>
      <c r="D8" s="315" t="s">
        <v>3</v>
      </c>
      <c r="E8" s="315" t="s">
        <v>42</v>
      </c>
      <c r="F8" s="305" t="s">
        <v>1</v>
      </c>
      <c r="G8" s="315" t="s">
        <v>49</v>
      </c>
      <c r="H8" s="315" t="s">
        <v>134</v>
      </c>
      <c r="I8" s="315" t="s">
        <v>33</v>
      </c>
      <c r="J8" s="305" t="s">
        <v>5</v>
      </c>
      <c r="K8" s="315" t="s">
        <v>86</v>
      </c>
      <c r="L8" s="315" t="s">
        <v>91</v>
      </c>
      <c r="M8" s="315" t="s">
        <v>44</v>
      </c>
      <c r="N8" s="305" t="s">
        <v>5</v>
      </c>
      <c r="O8" s="315" t="s">
        <v>47</v>
      </c>
      <c r="P8" s="318" t="s">
        <v>11</v>
      </c>
      <c r="Q8" s="315" t="s">
        <v>161</v>
      </c>
      <c r="R8" s="315" t="s">
        <v>12</v>
      </c>
      <c r="S8" s="315" t="s">
        <v>8</v>
      </c>
      <c r="T8" s="315"/>
      <c r="U8" s="315"/>
      <c r="V8" s="315"/>
      <c r="W8" s="315"/>
      <c r="X8" s="315"/>
      <c r="Y8" s="318" t="s">
        <v>137</v>
      </c>
      <c r="Z8" s="318" t="s">
        <v>45</v>
      </c>
      <c r="AA8" s="318" t="s">
        <v>5</v>
      </c>
      <c r="AB8" s="318" t="s">
        <v>46</v>
      </c>
      <c r="AC8" s="318" t="s">
        <v>5</v>
      </c>
      <c r="AD8" s="318" t="s">
        <v>48</v>
      </c>
      <c r="AE8" s="318" t="s">
        <v>29</v>
      </c>
      <c r="AF8" s="315" t="s">
        <v>34</v>
      </c>
      <c r="AG8" s="315" t="s">
        <v>35</v>
      </c>
      <c r="AH8" s="315" t="s">
        <v>36</v>
      </c>
      <c r="AI8" s="315" t="s">
        <v>38</v>
      </c>
      <c r="AJ8" s="315" t="s">
        <v>37</v>
      </c>
      <c r="AK8" s="315" t="s">
        <v>39</v>
      </c>
      <c r="AL8" s="205"/>
      <c r="AM8" s="205"/>
      <c r="AN8" s="205"/>
      <c r="AO8" s="205"/>
      <c r="AP8" s="205"/>
      <c r="AQ8" s="205"/>
      <c r="AR8" s="205"/>
      <c r="AS8" s="205"/>
      <c r="AT8" s="205"/>
      <c r="AU8" s="205"/>
      <c r="AV8" s="205"/>
      <c r="AW8" s="205"/>
      <c r="AX8" s="205"/>
      <c r="AY8" s="205"/>
      <c r="AZ8" s="205"/>
      <c r="BA8" s="205"/>
      <c r="BB8" s="205"/>
      <c r="BC8" s="205"/>
      <c r="BD8" s="205"/>
      <c r="BE8" s="205"/>
      <c r="BF8" s="205"/>
      <c r="BG8" s="205"/>
      <c r="BH8" s="205"/>
      <c r="BI8" s="205"/>
      <c r="BJ8" s="205"/>
      <c r="BK8" s="205"/>
      <c r="BL8" s="205"/>
      <c r="BM8" s="205"/>
      <c r="BN8" s="205"/>
      <c r="BO8" s="205"/>
      <c r="BP8" s="205"/>
      <c r="BQ8" s="205"/>
    </row>
    <row r="9" spans="1:69" s="214" customFormat="1" ht="79.5" x14ac:dyDescent="0.25">
      <c r="A9" s="315"/>
      <c r="B9" s="317"/>
      <c r="C9" s="305"/>
      <c r="D9" s="315"/>
      <c r="E9" s="315"/>
      <c r="F9" s="305"/>
      <c r="G9" s="315"/>
      <c r="H9" s="315"/>
      <c r="I9" s="315"/>
      <c r="J9" s="305"/>
      <c r="K9" s="315"/>
      <c r="L9" s="315"/>
      <c r="M9" s="305"/>
      <c r="N9" s="305"/>
      <c r="O9" s="315"/>
      <c r="P9" s="318"/>
      <c r="Q9" s="315"/>
      <c r="R9" s="315"/>
      <c r="S9" s="212" t="s">
        <v>13</v>
      </c>
      <c r="T9" s="212" t="s">
        <v>17</v>
      </c>
      <c r="U9" s="212" t="s">
        <v>28</v>
      </c>
      <c r="V9" s="212" t="s">
        <v>18</v>
      </c>
      <c r="W9" s="212" t="s">
        <v>21</v>
      </c>
      <c r="X9" s="212" t="s">
        <v>24</v>
      </c>
      <c r="Y9" s="318"/>
      <c r="Z9" s="318"/>
      <c r="AA9" s="318"/>
      <c r="AB9" s="318"/>
      <c r="AC9" s="318"/>
      <c r="AD9" s="318"/>
      <c r="AE9" s="318"/>
      <c r="AF9" s="315"/>
      <c r="AG9" s="315"/>
      <c r="AH9" s="315"/>
      <c r="AI9" s="315"/>
      <c r="AJ9" s="315"/>
      <c r="AK9" s="315"/>
      <c r="AL9" s="213"/>
      <c r="AM9" s="213"/>
      <c r="AN9" s="213"/>
      <c r="AO9" s="213"/>
      <c r="AP9" s="213"/>
      <c r="AQ9" s="213"/>
      <c r="AR9" s="213"/>
      <c r="AS9" s="213"/>
      <c r="AT9" s="213"/>
      <c r="AU9" s="213"/>
      <c r="AV9" s="213"/>
      <c r="AW9" s="213"/>
      <c r="AX9" s="213"/>
      <c r="AY9" s="213"/>
      <c r="AZ9" s="213"/>
      <c r="BA9" s="213"/>
      <c r="BB9" s="213"/>
      <c r="BC9" s="213"/>
      <c r="BD9" s="213"/>
      <c r="BE9" s="213"/>
      <c r="BF9" s="213"/>
      <c r="BG9" s="213"/>
      <c r="BH9" s="213"/>
      <c r="BI9" s="213"/>
      <c r="BJ9" s="213"/>
      <c r="BK9" s="213"/>
      <c r="BL9" s="213"/>
      <c r="BM9" s="213"/>
      <c r="BN9" s="213"/>
      <c r="BO9" s="213"/>
      <c r="BP9" s="213"/>
      <c r="BQ9" s="213"/>
    </row>
    <row r="10" spans="1:69" ht="82.5" x14ac:dyDescent="0.25">
      <c r="A10" s="215" t="s">
        <v>528</v>
      </c>
      <c r="B10" s="216">
        <v>1</v>
      </c>
      <c r="C10" s="217" t="s">
        <v>133</v>
      </c>
      <c r="D10" s="217" t="s">
        <v>642</v>
      </c>
      <c r="E10" s="217" t="s">
        <v>644</v>
      </c>
      <c r="F10" s="218" t="s">
        <v>643</v>
      </c>
      <c r="G10" s="217" t="s">
        <v>122</v>
      </c>
      <c r="H10" s="219">
        <v>600</v>
      </c>
      <c r="I10" s="220" t="str">
        <f>IF(H10&lt;=0,"",IF(H10&lt;=2,"Muy Baja",IF(H10&lt;=24,"Baja",IF(H10&lt;=500,"Media",IF(H10&lt;=5000,"Alta","Muy Alta")))))</f>
        <v>Alta</v>
      </c>
      <c r="J10" s="221">
        <f>IF(I10="","",IF(I10="Muy Baja",0.2,IF(I10="Baja",0.4,IF(I10="Media",0.6,IF(I10="Alta",0.8,IF(I10="Muy Alta",1,))))))</f>
        <v>0.8</v>
      </c>
      <c r="K10" s="222" t="s">
        <v>152</v>
      </c>
      <c r="L10" s="221" t="str">
        <f ca="1">IF(NOT(ISERROR(MATCH(K10,'Tabla Impacto'!$B$221:$B$223,0))),'Tabla Impacto'!$F$223&amp;"Por favor no seleccionar los criterios de impacto(Afectación Económica o presupuestal y Pérdida Reputacional)",K10)</f>
        <v xml:space="preserve">     El riesgo afecta la imagen de la entidad internamente, de conocimiento general, nivel interno, de junta dircetiva y accionistas y/o de provedores</v>
      </c>
      <c r="M10" s="220" t="str">
        <f ca="1">IF(OR(L10='Tabla Impacto'!$C$11,L10='Tabla Impacto'!$D$11),"Leve",IF(OR(L10='Tabla Impacto'!$C$12,L10='Tabla Impacto'!$D$12),"Menor",IF(OR(L10='Tabla Impacto'!$C$13,L10='Tabla Impacto'!$D$13),"Moderado",IF(OR(L10='Tabla Impacto'!$C$14,L10='Tabla Impacto'!$D$14),"Mayor",IF(OR(L10='Tabla Impacto'!$C$15,L10='Tabla Impacto'!$D$15),"Catastrófico","")))))</f>
        <v>Menor</v>
      </c>
      <c r="N10" s="221">
        <f ca="1">IF(M10="","",IF(M10="Leve",0.2,IF(M10="Menor",0.4,IF(M10="Moderado",0.6,IF(M10="Mayor",0.8,IF(M10="Catastrófico",1,))))))</f>
        <v>0.4</v>
      </c>
      <c r="O10" s="223" t="str">
        <f ca="1">IF(OR(AND(I10="Muy Baja",M10="Leve"),AND(I10="Muy Baja",M10="Menor"),AND(I10="Baja",M10="Leve")),"Bajo",IF(OR(AND(I10="Muy baja",M10="Moderado"),AND(I10="Baja",M10="Menor"),AND(I10="Baja",M10="Moderado"),AND(I10="Media",M10="Leve"),AND(I10="Media",M10="Menor"),AND(I10="Media",M10="Moderado"),AND(I10="Alta",M10="Leve"),AND(I10="Alta",M10="Menor")),"Moderado",IF(OR(AND(I10="Muy Baja",M10="Mayor"),AND(I10="Baja",M10="Mayor"),AND(I10="Media",M10="Mayor"),AND(I10="Alta",M10="Moderado"),AND(I10="Alta",M10="Mayor"),AND(I10="Muy Alta",M10="Leve"),AND(I10="Muy Alta",M10="Menor"),AND(I10="Muy Alta",M10="Moderado"),AND(I10="Muy Alta",M10="Mayor")),"Alto",IF(OR(AND(I10="Muy Baja",M10="Catastrófico"),AND(I10="Baja",M10="Catastrófico"),AND(I10="Media",M10="Catastrófico"),AND(I10="Alta",M10="Catastrófico"),AND(I10="Muy Alta",M10="Catastrófico")),"Extremo",""))))</f>
        <v>Moderado</v>
      </c>
      <c r="P10" s="216">
        <v>1</v>
      </c>
      <c r="Q10" s="224" t="s">
        <v>645</v>
      </c>
      <c r="R10" s="225" t="str">
        <f>IF(OR(S10="Preventivo",S10="Detectivo"),"Probabilidad",IF(S10="Correctivo","Impacto",""))</f>
        <v>Probabilidad</v>
      </c>
      <c r="S10" s="226" t="s">
        <v>14</v>
      </c>
      <c r="T10" s="226" t="s">
        <v>9</v>
      </c>
      <c r="U10" s="227" t="str">
        <f>IF(AND(S10="Preventivo",T10="Automático"),"50%",IF(AND(S10="Preventivo",T10="Manual"),"40%",IF(AND(S10="Detectivo",T10="Automático"),"40%",IF(AND(S10="Detectivo",T10="Manual"),"30%",IF(AND(S10="Correctivo",T10="Automático"),"35%",IF(AND(S10="Correctivo",T10="Manual"),"25%",""))))))</f>
        <v>40%</v>
      </c>
      <c r="V10" s="226" t="s">
        <v>19</v>
      </c>
      <c r="W10" s="226" t="s">
        <v>22</v>
      </c>
      <c r="X10" s="226" t="s">
        <v>118</v>
      </c>
      <c r="Y10" s="228">
        <f>IFERROR(IF(R10="Probabilidad",(J10-(+J10*U10)),IF(R10="Impacto",J10,"")),"")</f>
        <v>0.48</v>
      </c>
      <c r="Z10" s="229" t="str">
        <f>IFERROR(IF(Y10="","",IF(Y10&lt;=0.2,"Muy Baja",IF(Y10&lt;=0.4,"Baja",IF(Y10&lt;=0.6,"Media",IF(Y10&lt;=0.8,"Alta","Muy Alta"))))),"")</f>
        <v>Media</v>
      </c>
      <c r="AA10" s="227">
        <f>+Y10</f>
        <v>0.48</v>
      </c>
      <c r="AB10" s="229" t="str">
        <f ca="1">IFERROR(IF(AC10="","",IF(AC10&lt;=0.2,"Leve",IF(AC10&lt;=0.4,"Menor",IF(AC10&lt;=0.6,"Moderado",IF(AC10&lt;=0.8,"Mayor","Catastrófico"))))),"")</f>
        <v>Menor</v>
      </c>
      <c r="AC10" s="227">
        <f ca="1">IFERROR(IF(R10="Impacto",(N10-(+N10*U10)),IF(R10="Probabilidad",N10,"")),"")</f>
        <v>0.4</v>
      </c>
      <c r="AD10" s="230" t="str">
        <f ca="1">IFERROR(IF(OR(AND(Z10="Muy Baja",AB10="Leve"),AND(Z10="Muy Baja",AB10="Menor"),AND(Z10="Baja",AB10="Leve")),"Bajo",IF(OR(AND(Z10="Muy baja",AB10="Moderado"),AND(Z10="Baja",AB10="Menor"),AND(Z10="Baja",AB10="Moderado"),AND(Z10="Media",AB10="Leve"),AND(Z10="Media",AB10="Menor"),AND(Z10="Media",AB10="Moderado"),AND(Z10="Alta",AB10="Leve"),AND(Z10="Alta",AB10="Menor")),"Moderado",IF(OR(AND(Z10="Muy Baja",AB10="Mayor"),AND(Z10="Baja",AB10="Mayor"),AND(Z10="Media",AB10="Mayor"),AND(Z10="Alta",AB10="Moderado"),AND(Z10="Alta",AB10="Mayor"),AND(Z10="Muy Alta",AB10="Leve"),AND(Z10="Muy Alta",AB10="Menor"),AND(Z10="Muy Alta",AB10="Moderado"),AND(Z10="Muy Alta",AB10="Mayor")),"Alto",IF(OR(AND(Z10="Muy Baja",AB10="Catastrófico"),AND(Z10="Baja",AB10="Catastrófico"),AND(Z10="Media",AB10="Catastrófico"),AND(Z10="Alta",AB10="Catastrófico"),AND(Z10="Muy Alta",AB10="Catastrófico")),"Extremo","")))),"")</f>
        <v>Moderado</v>
      </c>
      <c r="AE10" s="226" t="s">
        <v>31</v>
      </c>
      <c r="AF10" s="217"/>
      <c r="AG10" s="219"/>
      <c r="AH10" s="231"/>
      <c r="AI10" s="231"/>
      <c r="AJ10" s="217"/>
      <c r="AK10" s="219"/>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c r="BM10" s="208"/>
      <c r="BN10" s="208"/>
      <c r="BO10" s="208"/>
      <c r="BP10" s="208"/>
      <c r="BQ10" s="208"/>
    </row>
    <row r="11" spans="1:69" ht="99" customHeight="1" x14ac:dyDescent="0.25">
      <c r="A11" s="326" t="s">
        <v>529</v>
      </c>
      <c r="B11" s="325">
        <v>2</v>
      </c>
      <c r="C11" s="323" t="s">
        <v>131</v>
      </c>
      <c r="D11" s="323" t="s">
        <v>530</v>
      </c>
      <c r="E11" s="323" t="s">
        <v>531</v>
      </c>
      <c r="F11" s="324" t="s">
        <v>532</v>
      </c>
      <c r="G11" s="323" t="s">
        <v>122</v>
      </c>
      <c r="H11" s="219">
        <v>3000</v>
      </c>
      <c r="I11" s="220" t="str">
        <f t="shared" ref="I11:I55" si="0">IF(H11&lt;=0,"",IF(H11&lt;=2,"Muy Baja",IF(H11&lt;=24,"Baja",IF(H11&lt;=500,"Media",IF(H11&lt;=5000,"Alta","Muy Alta")))))</f>
        <v>Alta</v>
      </c>
      <c r="J11" s="221">
        <f>IF(I11="","",IF(I11="Muy Baja",0.2,IF(I11="Baja",0.4,IF(I11="Media",0.6,IF(I11="Alta",0.8,IF(I11="Muy Alta",1,))))))</f>
        <v>0.8</v>
      </c>
      <c r="K11" s="234" t="s">
        <v>152</v>
      </c>
      <c r="L11" s="221" t="str">
        <f ca="1">IF(NOT(ISERROR(MATCH(K11,_xlfn.ANCHORARRAY(F22),0))),J24&amp;"Por favor no seleccionar los criterios de impacto",K11)</f>
        <v xml:space="preserve">     El riesgo afecta la imagen de la entidad internamente, de conocimiento general, nivel interno, de junta dircetiva y accionistas y/o de provedores</v>
      </c>
      <c r="M11" s="220" t="str">
        <f ca="1">IF(OR(L11='Tabla Impacto'!$C$11,L11='Tabla Impacto'!$D$11),"Leve",IF(OR(L11='Tabla Impacto'!$C$12,L11='Tabla Impacto'!$D$12),"Menor",IF(OR(L11='Tabla Impacto'!$C$13,L11='Tabla Impacto'!$D$13),"Moderado",IF(OR(L11='Tabla Impacto'!$C$14,L11='Tabla Impacto'!$D$14),"Mayor",IF(OR(L11='Tabla Impacto'!$C$15,L11='Tabla Impacto'!$D$15),"Catastrófico","")))))</f>
        <v>Menor</v>
      </c>
      <c r="N11" s="221">
        <f t="shared" ref="N11:N64" ca="1" si="1">IF(M11="","",IF(M11="Leve",0.2,IF(M11="Menor",0.4,IF(M11="Moderado",0.6,IF(M11="Mayor",0.8,IF(M11="Catastrófico",1,))))))</f>
        <v>0.4</v>
      </c>
      <c r="O11" s="223" t="str">
        <f t="shared" ref="O11:O64" ca="1" si="2">IF(OR(AND(I11="Muy Baja",M11="Leve"),AND(I11="Muy Baja",M11="Menor"),AND(I11="Baja",M11="Leve")),"Bajo",IF(OR(AND(I11="Muy baja",M11="Moderado"),AND(I11="Baja",M11="Menor"),AND(I11="Baja",M11="Moderado"),AND(I11="Media",M11="Leve"),AND(I11="Media",M11="Menor"),AND(I11="Media",M11="Moderado"),AND(I11="Alta",M11="Leve"),AND(I11="Alta",M11="Menor")),"Moderado",IF(OR(AND(I11="Muy Baja",M11="Mayor"),AND(I11="Baja",M11="Mayor"),AND(I11="Media",M11="Mayor"),AND(I11="Alta",M11="Moderado"),AND(I11="Alta",M11="Mayor"),AND(I11="Muy Alta",M11="Leve"),AND(I11="Muy Alta",M11="Menor"),AND(I11="Muy Alta",M11="Moderado"),AND(I11="Muy Alta",M11="Mayor")),"Alto",IF(OR(AND(I11="Muy Baja",M11="Catastrófico"),AND(I11="Baja",M11="Catastrófico"),AND(I11="Media",M11="Catastrófico"),AND(I11="Alta",M11="Catastrófico"),AND(I11="Muy Alta",M11="Catastrófico")),"Extremo",""))))</f>
        <v>Moderado</v>
      </c>
      <c r="P11" s="216">
        <v>1</v>
      </c>
      <c r="Q11" s="224" t="s">
        <v>533</v>
      </c>
      <c r="R11" s="225" t="str">
        <f>IF(OR(S11="Preventivo",S11="Detectivo"),"Probabilidad",IF(S11="Correctivo","Impacto",""))</f>
        <v>Probabilidad</v>
      </c>
      <c r="S11" s="226" t="s">
        <v>14</v>
      </c>
      <c r="T11" s="226" t="s">
        <v>9</v>
      </c>
      <c r="U11" s="227" t="str">
        <f t="shared" ref="U11:U15" si="3">IF(AND(S11="Preventivo",T11="Automático"),"50%",IF(AND(S11="Preventivo",T11="Manual"),"40%",IF(AND(S11="Detectivo",T11="Automático"),"40%",IF(AND(S11="Detectivo",T11="Manual"),"30%",IF(AND(S11="Correctivo",T11="Automático"),"35%",IF(AND(S11="Correctivo",T11="Manual"),"25%",""))))))</f>
        <v>40%</v>
      </c>
      <c r="V11" s="226" t="s">
        <v>19</v>
      </c>
      <c r="W11" s="226" t="s">
        <v>22</v>
      </c>
      <c r="X11" s="226" t="s">
        <v>118</v>
      </c>
      <c r="Y11" s="228">
        <f t="shared" ref="Y11:Y62" si="4">IFERROR(IF(R11="Probabilidad",(J11-(+J11*U11)),IF(R11="Impacto",J11,"")),"")</f>
        <v>0.48</v>
      </c>
      <c r="Z11" s="229" t="str">
        <f t="shared" ref="Z11:Z62" si="5">IFERROR(IF(Y11="","",IF(Y11&lt;=0.2,"Muy Baja",IF(Y11&lt;=0.4,"Baja",IF(Y11&lt;=0.6,"Media",IF(Y11&lt;=0.8,"Alta","Muy Alta"))))),"")</f>
        <v>Media</v>
      </c>
      <c r="AA11" s="227">
        <f t="shared" ref="AA11:AA62" si="6">+Y11</f>
        <v>0.48</v>
      </c>
      <c r="AB11" s="229" t="str">
        <f t="shared" ref="AB11:AB62" ca="1" si="7">IFERROR(IF(AC11="","",IF(AC11&lt;=0.2,"Leve",IF(AC11&lt;=0.4,"Menor",IF(AC11&lt;=0.6,"Moderado",IF(AC11&lt;=0.8,"Mayor","Catastrófico"))))),"")</f>
        <v>Menor</v>
      </c>
      <c r="AC11" s="227">
        <f t="shared" ref="AC11:AC62" ca="1" si="8">IFERROR(IF(R11="Impacto",(N11-(+N11*U11)),IF(R11="Probabilidad",N11,"")),"")</f>
        <v>0.4</v>
      </c>
      <c r="AD11" s="230" t="str">
        <f t="shared" ref="AD11:AD62" ca="1" si="9">IFERROR(IF(OR(AND(Z11="Muy Baja",AB11="Leve"),AND(Z11="Muy Baja",AB11="Menor"),AND(Z11="Baja",AB11="Leve")),"Bajo",IF(OR(AND(Z11="Muy baja",AB11="Moderado"),AND(Z11="Baja",AB11="Menor"),AND(Z11="Baja",AB11="Moderado"),AND(Z11="Media",AB11="Leve"),AND(Z11="Media",AB11="Menor"),AND(Z11="Media",AB11="Moderado"),AND(Z11="Alta",AB11="Leve"),AND(Z11="Alta",AB11="Menor")),"Moderado",IF(OR(AND(Z11="Muy Baja",AB11="Mayor"),AND(Z11="Baja",AB11="Mayor"),AND(Z11="Media",AB11="Mayor"),AND(Z11="Alta",AB11="Moderado"),AND(Z11="Alta",AB11="Mayor"),AND(Z11="Muy Alta",AB11="Leve"),AND(Z11="Muy Alta",AB11="Menor"),AND(Z11="Muy Alta",AB11="Moderado"),AND(Z11="Muy Alta",AB11="Mayor")),"Alto",IF(OR(AND(Z11="Muy Baja",AB11="Catastrófico"),AND(Z11="Baja",AB11="Catastrófico"),AND(Z11="Media",AB11="Catastrófico"),AND(Z11="Alta",AB11="Catastrófico"),AND(Z11="Muy Alta",AB11="Catastrófico")),"Extremo","")))),"")</f>
        <v>Moderado</v>
      </c>
      <c r="AE11" s="226" t="s">
        <v>31</v>
      </c>
      <c r="AF11" s="217"/>
      <c r="AG11" s="219"/>
      <c r="AH11" s="231"/>
      <c r="AI11" s="231"/>
      <c r="AJ11" s="217"/>
      <c r="AK11" s="219"/>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c r="BM11" s="208"/>
      <c r="BN11" s="208"/>
      <c r="BO11" s="208"/>
      <c r="BP11" s="208"/>
      <c r="BQ11" s="208"/>
    </row>
    <row r="12" spans="1:69" ht="82.5" x14ac:dyDescent="0.25">
      <c r="A12" s="326"/>
      <c r="B12" s="325"/>
      <c r="C12" s="323"/>
      <c r="D12" s="323"/>
      <c r="E12" s="323"/>
      <c r="F12" s="324"/>
      <c r="G12" s="323"/>
      <c r="H12" s="219">
        <v>3000</v>
      </c>
      <c r="I12" s="220" t="str">
        <f t="shared" si="0"/>
        <v>Alta</v>
      </c>
      <c r="J12" s="221">
        <f t="shared" ref="J12:J68" si="10">IF(I12="","",IF(I12="Muy Baja",0.2,IF(I12="Baja",0.4,IF(I12="Media",0.6,IF(I12="Alta",0.8,IF(I12="Muy Alta",1,))))))</f>
        <v>0.8</v>
      </c>
      <c r="K12" s="234" t="s">
        <v>152</v>
      </c>
      <c r="L12" s="221" t="str">
        <f ca="1">IF(NOT(ISERROR(MATCH(K12,_xlfn.ANCHORARRAY(F23),0))),J25&amp;"Por favor no seleccionar los criterios de impacto",K12)</f>
        <v xml:space="preserve">     El riesgo afecta la imagen de la entidad internamente, de conocimiento general, nivel interno, de junta dircetiva y accionistas y/o de provedores</v>
      </c>
      <c r="M12" s="220" t="str">
        <f ca="1">IF(OR(L12='Tabla Impacto'!$C$11,L12='Tabla Impacto'!$D$11),"Leve",IF(OR(L12='Tabla Impacto'!$C$12,L12='Tabla Impacto'!$D$12),"Menor",IF(OR(L12='Tabla Impacto'!$C$13,L12='Tabla Impacto'!$D$13),"Moderado",IF(OR(L12='Tabla Impacto'!$C$14,L12='Tabla Impacto'!$D$14),"Mayor",IF(OR(L12='Tabla Impacto'!$C$15,L12='Tabla Impacto'!$D$15),"Catastrófico","")))))</f>
        <v>Menor</v>
      </c>
      <c r="N12" s="221">
        <f t="shared" ca="1" si="1"/>
        <v>0.4</v>
      </c>
      <c r="O12" s="223" t="str">
        <f t="shared" ca="1" si="2"/>
        <v>Moderado</v>
      </c>
      <c r="P12" s="216">
        <v>2</v>
      </c>
      <c r="Q12" s="224" t="s">
        <v>534</v>
      </c>
      <c r="R12" s="225" t="str">
        <f>IF(OR(S12="Preventivo",S12="Detectivo"),"Probabilidad",IF(S12="Correctivo","Impacto",""))</f>
        <v>Probabilidad</v>
      </c>
      <c r="S12" s="226" t="s">
        <v>15</v>
      </c>
      <c r="T12" s="226" t="s">
        <v>9</v>
      </c>
      <c r="U12" s="227" t="str">
        <f t="shared" si="3"/>
        <v>30%</v>
      </c>
      <c r="V12" s="226" t="s">
        <v>20</v>
      </c>
      <c r="W12" s="226" t="s">
        <v>22</v>
      </c>
      <c r="X12" s="226" t="s">
        <v>118</v>
      </c>
      <c r="Y12" s="228">
        <f t="shared" si="4"/>
        <v>0.56000000000000005</v>
      </c>
      <c r="Z12" s="229" t="str">
        <f t="shared" si="5"/>
        <v>Media</v>
      </c>
      <c r="AA12" s="227">
        <f t="shared" si="6"/>
        <v>0.56000000000000005</v>
      </c>
      <c r="AB12" s="229" t="str">
        <f t="shared" ca="1" si="7"/>
        <v>Menor</v>
      </c>
      <c r="AC12" s="227">
        <f t="shared" ca="1" si="8"/>
        <v>0.4</v>
      </c>
      <c r="AD12" s="230" t="str">
        <f t="shared" ca="1" si="9"/>
        <v>Moderado</v>
      </c>
      <c r="AE12" s="226" t="s">
        <v>31</v>
      </c>
      <c r="AF12" s="217"/>
      <c r="AG12" s="219"/>
      <c r="AH12" s="231"/>
      <c r="AI12" s="231"/>
      <c r="AJ12" s="217"/>
      <c r="AK12" s="219"/>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c r="BI12" s="208"/>
      <c r="BJ12" s="208"/>
      <c r="BK12" s="208"/>
      <c r="BL12" s="208"/>
      <c r="BM12" s="208"/>
      <c r="BN12" s="208"/>
      <c r="BO12" s="208"/>
      <c r="BP12" s="208"/>
      <c r="BQ12" s="208"/>
    </row>
    <row r="13" spans="1:69" ht="82.5" customHeight="1" x14ac:dyDescent="0.25">
      <c r="A13" s="326" t="s">
        <v>529</v>
      </c>
      <c r="B13" s="325">
        <v>3</v>
      </c>
      <c r="C13" s="323" t="s">
        <v>133</v>
      </c>
      <c r="D13" s="323" t="s">
        <v>535</v>
      </c>
      <c r="E13" s="323" t="s">
        <v>536</v>
      </c>
      <c r="F13" s="324" t="s">
        <v>537</v>
      </c>
      <c r="G13" s="323" t="s">
        <v>122</v>
      </c>
      <c r="H13" s="219">
        <v>20</v>
      </c>
      <c r="I13" s="220" t="str">
        <f t="shared" si="0"/>
        <v>Baja</v>
      </c>
      <c r="J13" s="221">
        <f t="shared" si="10"/>
        <v>0.4</v>
      </c>
      <c r="K13" s="222" t="s">
        <v>148</v>
      </c>
      <c r="L13" s="221" t="str">
        <f ca="1">IF(NOT(ISERROR(MATCH(K13,_xlfn.ANCHORARRAY(F24),0))),J26&amp;"Por favor no seleccionar los criterios de impacto",K13)</f>
        <v xml:space="preserve">     Entre 10 y 50 SMLMV </v>
      </c>
      <c r="M13" s="220" t="str">
        <f ca="1">IF(OR(L13='Tabla Impacto'!$C$11,L13='Tabla Impacto'!$D$11),"Leve",IF(OR(L13='Tabla Impacto'!$C$12,L13='Tabla Impacto'!$D$12),"Menor",IF(OR(L13='Tabla Impacto'!$C$13,L13='Tabla Impacto'!$D$13),"Moderado",IF(OR(L13='Tabla Impacto'!$C$14,L13='Tabla Impacto'!$D$14),"Mayor",IF(OR(L13='Tabla Impacto'!$C$15,L13='Tabla Impacto'!$D$15),"Catastrófico","")))))</f>
        <v>Menor</v>
      </c>
      <c r="N13" s="221">
        <f t="shared" ca="1" si="1"/>
        <v>0.4</v>
      </c>
      <c r="O13" s="223" t="str">
        <f t="shared" ca="1" si="2"/>
        <v>Moderado</v>
      </c>
      <c r="P13" s="216">
        <v>1</v>
      </c>
      <c r="Q13" s="224" t="s">
        <v>538</v>
      </c>
      <c r="R13" s="225" t="str">
        <f t="shared" ref="R13:R15" si="11">IF(OR(S13="Preventivo",S13="Detectivo"),"Probabilidad",IF(S13="Correctivo","Impacto",""))</f>
        <v>Probabilidad</v>
      </c>
      <c r="S13" s="226" t="s">
        <v>14</v>
      </c>
      <c r="T13" s="226" t="s">
        <v>9</v>
      </c>
      <c r="U13" s="227" t="str">
        <f t="shared" si="3"/>
        <v>40%</v>
      </c>
      <c r="V13" s="226" t="s">
        <v>19</v>
      </c>
      <c r="W13" s="226" t="s">
        <v>22</v>
      </c>
      <c r="X13" s="226" t="s">
        <v>118</v>
      </c>
      <c r="Y13" s="228">
        <f t="shared" si="4"/>
        <v>0.24</v>
      </c>
      <c r="Z13" s="229" t="str">
        <f t="shared" si="5"/>
        <v>Baja</v>
      </c>
      <c r="AA13" s="227">
        <f t="shared" si="6"/>
        <v>0.24</v>
      </c>
      <c r="AB13" s="229" t="str">
        <f t="shared" ca="1" si="7"/>
        <v>Menor</v>
      </c>
      <c r="AC13" s="227">
        <f t="shared" ca="1" si="8"/>
        <v>0.4</v>
      </c>
      <c r="AD13" s="230" t="str">
        <f t="shared" ca="1" si="9"/>
        <v>Moderado</v>
      </c>
      <c r="AE13" s="226" t="s">
        <v>31</v>
      </c>
      <c r="AF13" s="217"/>
      <c r="AG13" s="219"/>
      <c r="AH13" s="231"/>
      <c r="AI13" s="231"/>
      <c r="AJ13" s="217"/>
      <c r="AK13" s="219"/>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c r="BI13" s="208"/>
      <c r="BJ13" s="208"/>
      <c r="BK13" s="208"/>
      <c r="BL13" s="208"/>
      <c r="BM13" s="208"/>
      <c r="BN13" s="208"/>
      <c r="BO13" s="208"/>
      <c r="BP13" s="208"/>
      <c r="BQ13" s="208"/>
    </row>
    <row r="14" spans="1:69" ht="65.25" x14ac:dyDescent="0.25">
      <c r="A14" s="326"/>
      <c r="B14" s="325"/>
      <c r="C14" s="323"/>
      <c r="D14" s="323"/>
      <c r="E14" s="323"/>
      <c r="F14" s="324"/>
      <c r="G14" s="323"/>
      <c r="H14" s="219">
        <v>20</v>
      </c>
      <c r="I14" s="220" t="str">
        <f t="shared" si="0"/>
        <v>Baja</v>
      </c>
      <c r="J14" s="221">
        <f t="shared" si="10"/>
        <v>0.4</v>
      </c>
      <c r="K14" s="222" t="s">
        <v>148</v>
      </c>
      <c r="L14" s="221" t="str">
        <f ca="1">IF(NOT(ISERROR(MATCH(K14,_xlfn.ANCHORARRAY(F25),0))),J27&amp;"Por favor no seleccionar los criterios de impacto",K14)</f>
        <v xml:space="preserve">     Entre 10 y 50 SMLMV </v>
      </c>
      <c r="M14" s="220" t="str">
        <f ca="1">IF(OR(L14='Tabla Impacto'!$C$11,L14='Tabla Impacto'!$D$11),"Leve",IF(OR(L14='Tabla Impacto'!$C$12,L14='Tabla Impacto'!$D$12),"Menor",IF(OR(L14='Tabla Impacto'!$C$13,L14='Tabla Impacto'!$D$13),"Moderado",IF(OR(L14='Tabla Impacto'!$C$14,L14='Tabla Impacto'!$D$14),"Mayor",IF(OR(L14='Tabla Impacto'!$C$15,L14='Tabla Impacto'!$D$15),"Catastrófico","")))))</f>
        <v>Menor</v>
      </c>
      <c r="N14" s="221">
        <f t="shared" ca="1" si="1"/>
        <v>0.4</v>
      </c>
      <c r="O14" s="223" t="str">
        <f t="shared" ca="1" si="2"/>
        <v>Moderado</v>
      </c>
      <c r="P14" s="216">
        <v>2</v>
      </c>
      <c r="Q14" s="224" t="s">
        <v>539</v>
      </c>
      <c r="R14" s="225" t="str">
        <f t="shared" si="11"/>
        <v>Probabilidad</v>
      </c>
      <c r="S14" s="226" t="s">
        <v>14</v>
      </c>
      <c r="T14" s="226" t="s">
        <v>9</v>
      </c>
      <c r="U14" s="227" t="str">
        <f t="shared" si="3"/>
        <v>40%</v>
      </c>
      <c r="V14" s="226" t="s">
        <v>19</v>
      </c>
      <c r="W14" s="226" t="s">
        <v>22</v>
      </c>
      <c r="X14" s="226" t="s">
        <v>118</v>
      </c>
      <c r="Y14" s="228">
        <f t="shared" si="4"/>
        <v>0.24</v>
      </c>
      <c r="Z14" s="229" t="str">
        <f t="shared" si="5"/>
        <v>Baja</v>
      </c>
      <c r="AA14" s="227">
        <f t="shared" si="6"/>
        <v>0.24</v>
      </c>
      <c r="AB14" s="229" t="str">
        <f t="shared" ca="1" si="7"/>
        <v>Menor</v>
      </c>
      <c r="AC14" s="227">
        <f t="shared" ca="1" si="8"/>
        <v>0.4</v>
      </c>
      <c r="AD14" s="230" t="str">
        <f t="shared" ca="1" si="9"/>
        <v>Moderado</v>
      </c>
      <c r="AE14" s="226" t="s">
        <v>31</v>
      </c>
      <c r="AF14" s="217"/>
      <c r="AG14" s="219"/>
      <c r="AH14" s="231"/>
      <c r="AI14" s="231"/>
      <c r="AJ14" s="217"/>
      <c r="AK14" s="219"/>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c r="BI14" s="208"/>
      <c r="BJ14" s="208"/>
      <c r="BK14" s="208"/>
      <c r="BL14" s="208"/>
      <c r="BM14" s="208"/>
      <c r="BN14" s="208"/>
      <c r="BO14" s="208"/>
      <c r="BP14" s="208"/>
      <c r="BQ14" s="208"/>
    </row>
    <row r="15" spans="1:69" ht="99" x14ac:dyDescent="0.25">
      <c r="A15" s="215" t="s">
        <v>540</v>
      </c>
      <c r="B15" s="216">
        <v>4</v>
      </c>
      <c r="C15" s="217" t="s">
        <v>131</v>
      </c>
      <c r="D15" s="217" t="s">
        <v>541</v>
      </c>
      <c r="E15" s="217" t="s">
        <v>542</v>
      </c>
      <c r="F15" s="218" t="s">
        <v>543</v>
      </c>
      <c r="G15" s="217" t="s">
        <v>122</v>
      </c>
      <c r="H15" s="219">
        <v>20</v>
      </c>
      <c r="I15" s="220" t="str">
        <f t="shared" si="0"/>
        <v>Baja</v>
      </c>
      <c r="J15" s="221">
        <f t="shared" si="10"/>
        <v>0.4</v>
      </c>
      <c r="K15" s="222" t="s">
        <v>153</v>
      </c>
      <c r="L15" s="221" t="str">
        <f ca="1">IF(NOT(ISERROR(MATCH(K15,_xlfn.ANCHORARRAY(F26),0))),J28&amp;"Por favor no seleccionar los criterios de impacto",K15)</f>
        <v xml:space="preserve">     El riesgo afecta la imagen de la entidad con algunos usuarios de relevancia frente al logro de los objetivos</v>
      </c>
      <c r="M15" s="220" t="str">
        <f ca="1">IF(OR(L15='Tabla Impacto'!$C$11,L15='Tabla Impacto'!$D$11),"Leve",IF(OR(L15='Tabla Impacto'!$C$12,L15='Tabla Impacto'!$D$12),"Menor",IF(OR(L15='Tabla Impacto'!$C$13,L15='Tabla Impacto'!$D$13),"Moderado",IF(OR(L15='Tabla Impacto'!$C$14,L15='Tabla Impacto'!$D$14),"Mayor",IF(OR(L15='Tabla Impacto'!$C$15,L15='Tabla Impacto'!$D$15),"Catastrófico","")))))</f>
        <v>Moderado</v>
      </c>
      <c r="N15" s="221">
        <f t="shared" ca="1" si="1"/>
        <v>0.6</v>
      </c>
      <c r="O15" s="223" t="str">
        <f t="shared" ca="1" si="2"/>
        <v>Moderado</v>
      </c>
      <c r="P15" s="216">
        <v>1</v>
      </c>
      <c r="Q15" s="224" t="s">
        <v>646</v>
      </c>
      <c r="R15" s="225" t="str">
        <f t="shared" si="11"/>
        <v>Probabilidad</v>
      </c>
      <c r="S15" s="226" t="s">
        <v>14</v>
      </c>
      <c r="T15" s="226" t="s">
        <v>10</v>
      </c>
      <c r="U15" s="227" t="str">
        <f t="shared" si="3"/>
        <v>50%</v>
      </c>
      <c r="V15" s="226" t="s">
        <v>20</v>
      </c>
      <c r="W15" s="226" t="s">
        <v>22</v>
      </c>
      <c r="X15" s="226" t="s">
        <v>118</v>
      </c>
      <c r="Y15" s="228">
        <f t="shared" si="4"/>
        <v>0.2</v>
      </c>
      <c r="Z15" s="229" t="str">
        <f t="shared" si="5"/>
        <v>Muy Baja</v>
      </c>
      <c r="AA15" s="227">
        <f t="shared" si="6"/>
        <v>0.2</v>
      </c>
      <c r="AB15" s="229" t="str">
        <f t="shared" ca="1" si="7"/>
        <v>Moderado</v>
      </c>
      <c r="AC15" s="227">
        <f t="shared" ca="1" si="8"/>
        <v>0.6</v>
      </c>
      <c r="AD15" s="230" t="str">
        <f t="shared" ca="1" si="9"/>
        <v>Moderado</v>
      </c>
      <c r="AE15" s="226" t="s">
        <v>31</v>
      </c>
      <c r="AF15" s="217"/>
      <c r="AG15" s="219"/>
      <c r="AH15" s="231"/>
      <c r="AI15" s="231"/>
      <c r="AJ15" s="217"/>
      <c r="AK15" s="219"/>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c r="BI15" s="208"/>
      <c r="BJ15" s="208"/>
      <c r="BK15" s="208"/>
      <c r="BL15" s="208"/>
      <c r="BM15" s="208"/>
      <c r="BN15" s="208"/>
      <c r="BO15" s="208"/>
      <c r="BP15" s="208"/>
      <c r="BQ15" s="208"/>
    </row>
    <row r="16" spans="1:69" ht="132" customHeight="1" x14ac:dyDescent="0.25">
      <c r="A16" s="326" t="s">
        <v>540</v>
      </c>
      <c r="B16" s="325">
        <v>5</v>
      </c>
      <c r="C16" s="323" t="s">
        <v>133</v>
      </c>
      <c r="D16" s="323" t="s">
        <v>647</v>
      </c>
      <c r="E16" s="323" t="s">
        <v>544</v>
      </c>
      <c r="F16" s="324" t="s">
        <v>648</v>
      </c>
      <c r="G16" s="323" t="s">
        <v>122</v>
      </c>
      <c r="H16" s="219">
        <v>106</v>
      </c>
      <c r="I16" s="220" t="str">
        <f t="shared" si="0"/>
        <v>Media</v>
      </c>
      <c r="J16" s="221">
        <f t="shared" si="10"/>
        <v>0.6</v>
      </c>
      <c r="K16" s="222" t="s">
        <v>153</v>
      </c>
      <c r="L16" s="221" t="str">
        <f t="shared" ref="L16:L21" ca="1" si="12">IF(NOT(ISERROR(MATCH(K16,_xlfn.ANCHORARRAY(F27),0))),J29&amp;"Por favor no seleccionar los criterios de impacto",K16)</f>
        <v xml:space="preserve">     El riesgo afecta la imagen de la entidad con algunos usuarios de relevancia frente al logro de los objetivos</v>
      </c>
      <c r="M16" s="220" t="str">
        <f ca="1">IF(OR(L16='Tabla Impacto'!$C$11,L16='Tabla Impacto'!$D$11),"Leve",IF(OR(L16='Tabla Impacto'!$C$12,L16='Tabla Impacto'!$D$12),"Menor",IF(OR(L16='Tabla Impacto'!$C$13,L16='Tabla Impacto'!$D$13),"Moderado",IF(OR(L16='Tabla Impacto'!$C$14,L16='Tabla Impacto'!$D$14),"Mayor",IF(OR(L16='Tabla Impacto'!$C$15,L16='Tabla Impacto'!$D$15),"Catastrófico","")))))</f>
        <v>Moderado</v>
      </c>
      <c r="N16" s="221">
        <f t="shared" ca="1" si="1"/>
        <v>0.6</v>
      </c>
      <c r="O16" s="223" t="str">
        <f t="shared" ca="1" si="2"/>
        <v>Moderado</v>
      </c>
      <c r="P16" s="216">
        <v>1</v>
      </c>
      <c r="Q16" s="224" t="s">
        <v>649</v>
      </c>
      <c r="R16" s="225" t="str">
        <f>IF(OR(S16="Preventivo",S16="Detectivo"),"Probabilidad",IF(S16="Correctivo","Impacto",""))</f>
        <v>Probabilidad</v>
      </c>
      <c r="S16" s="226" t="s">
        <v>14</v>
      </c>
      <c r="T16" s="226" t="s">
        <v>9</v>
      </c>
      <c r="U16" s="227" t="str">
        <f>IF(AND(S16="Preventivo",T16="Automático"),"50%",IF(AND(S16="Preventivo",T16="Manual"),"40%",IF(AND(S16="Detectivo",T16="Automático"),"40%",IF(AND(S16="Detectivo",T16="Manual"),"30%",IF(AND(S16="Correctivo",T16="Automático"),"35%",IF(AND(S16="Correctivo",T16="Manual"),"25%",""))))))</f>
        <v>40%</v>
      </c>
      <c r="V16" s="226" t="s">
        <v>19</v>
      </c>
      <c r="W16" s="226" t="s">
        <v>22</v>
      </c>
      <c r="X16" s="226" t="s">
        <v>118</v>
      </c>
      <c r="Y16" s="228">
        <f>IFERROR(IF(R16="Probabilidad",(J16-(+J16*U16)),IF(R16="Impacto",J16,"")),"")</f>
        <v>0.36</v>
      </c>
      <c r="Z16" s="229" t="str">
        <f t="shared" si="5"/>
        <v>Baja</v>
      </c>
      <c r="AA16" s="227">
        <f t="shared" si="6"/>
        <v>0.36</v>
      </c>
      <c r="AB16" s="229" t="str">
        <f t="shared" ca="1" si="7"/>
        <v>Moderado</v>
      </c>
      <c r="AC16" s="227">
        <f t="shared" ca="1" si="8"/>
        <v>0.6</v>
      </c>
      <c r="AD16" s="230" t="str">
        <f t="shared" ca="1" si="9"/>
        <v>Moderado</v>
      </c>
      <c r="AE16" s="226" t="s">
        <v>31</v>
      </c>
      <c r="AF16" s="217"/>
      <c r="AG16" s="219"/>
      <c r="AH16" s="231"/>
      <c r="AI16" s="231"/>
      <c r="AJ16" s="217"/>
      <c r="AK16" s="219"/>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c r="BI16" s="208"/>
      <c r="BJ16" s="208"/>
      <c r="BK16" s="208"/>
      <c r="BL16" s="208"/>
      <c r="BM16" s="208"/>
      <c r="BN16" s="208"/>
      <c r="BO16" s="208"/>
      <c r="BP16" s="208"/>
      <c r="BQ16" s="208"/>
    </row>
    <row r="17" spans="1:69" ht="66" x14ac:dyDescent="0.25">
      <c r="A17" s="326"/>
      <c r="B17" s="325"/>
      <c r="C17" s="323"/>
      <c r="D17" s="323"/>
      <c r="E17" s="323"/>
      <c r="F17" s="324"/>
      <c r="G17" s="323"/>
      <c r="H17" s="219">
        <v>106</v>
      </c>
      <c r="I17" s="220" t="str">
        <f t="shared" si="0"/>
        <v>Media</v>
      </c>
      <c r="J17" s="221">
        <f t="shared" si="10"/>
        <v>0.6</v>
      </c>
      <c r="K17" s="222" t="s">
        <v>153</v>
      </c>
      <c r="L17" s="221" t="str">
        <f t="shared" ca="1" si="12"/>
        <v xml:space="preserve">     El riesgo afecta la imagen de la entidad con algunos usuarios de relevancia frente al logro de los objetivos</v>
      </c>
      <c r="M17" s="220" t="str">
        <f ca="1">IF(OR(L17='Tabla Impacto'!$C$11,L17='Tabla Impacto'!$D$11),"Leve",IF(OR(L17='Tabla Impacto'!$C$12,L17='Tabla Impacto'!$D$12),"Menor",IF(OR(L17='Tabla Impacto'!$C$13,L17='Tabla Impacto'!$D$13),"Moderado",IF(OR(L17='Tabla Impacto'!$C$14,L17='Tabla Impacto'!$D$14),"Mayor",IF(OR(L17='Tabla Impacto'!$C$15,L17='Tabla Impacto'!$D$15),"Catastrófico","")))))</f>
        <v>Moderado</v>
      </c>
      <c r="N17" s="221">
        <f t="shared" ca="1" si="1"/>
        <v>0.6</v>
      </c>
      <c r="O17" s="223" t="str">
        <f t="shared" ca="1" si="2"/>
        <v>Moderado</v>
      </c>
      <c r="P17" s="216">
        <v>2</v>
      </c>
      <c r="Q17" s="224" t="s">
        <v>545</v>
      </c>
      <c r="R17" s="225" t="str">
        <f>IF(OR(S17="Preventivo",S17="Detectivo"),"Probabilidad",IF(S17="Correctivo","Impacto",""))</f>
        <v>Probabilidad</v>
      </c>
      <c r="S17" s="226" t="s">
        <v>14</v>
      </c>
      <c r="T17" s="226" t="s">
        <v>9</v>
      </c>
      <c r="U17" s="227" t="str">
        <f t="shared" ref="U17:U21" si="13">IF(AND(S17="Preventivo",T17="Automático"),"50%",IF(AND(S17="Preventivo",T17="Manual"),"40%",IF(AND(S17="Detectivo",T17="Automático"),"40%",IF(AND(S17="Detectivo",T17="Manual"),"30%",IF(AND(S17="Correctivo",T17="Automático"),"35%",IF(AND(S17="Correctivo",T17="Manual"),"25%",""))))))</f>
        <v>40%</v>
      </c>
      <c r="V17" s="226" t="s">
        <v>19</v>
      </c>
      <c r="W17" s="226" t="s">
        <v>22</v>
      </c>
      <c r="X17" s="226" t="s">
        <v>118</v>
      </c>
      <c r="Y17" s="228">
        <f t="shared" si="4"/>
        <v>0.36</v>
      </c>
      <c r="Z17" s="229" t="str">
        <f t="shared" si="5"/>
        <v>Baja</v>
      </c>
      <c r="AA17" s="227">
        <f t="shared" si="6"/>
        <v>0.36</v>
      </c>
      <c r="AB17" s="229" t="str">
        <f t="shared" ca="1" si="7"/>
        <v>Moderado</v>
      </c>
      <c r="AC17" s="227">
        <f ca="1">IFERROR(IF(R17="Impacto",(N17-(+N17*U17)),IF(R17="Probabilidad",N17,"")),"")</f>
        <v>0.6</v>
      </c>
      <c r="AD17" s="230" t="str">
        <f ca="1">IFERROR(IF(OR(AND(Z17="Muy Baja",AB17="Leve"),AND(Z17="Muy Baja",AB17="Menor"),AND(Z17="Baja",AB17="Leve")),"Bajo",IF(OR(AND(Z17="Muy baja",AB17="Moderado"),AND(Z17="Baja",AB17="Menor"),AND(Z17="Baja",AB17="Moderado"),AND(Z17="Media",AB17="Leve"),AND(Z17="Media",AB17="Menor"),AND(Z17="Media",AB17="Moderado"),AND(Z17="Alta",AB17="Leve"),AND(Z17="Alta",AB17="Menor")),"Moderado",IF(OR(AND(Z17="Muy Baja",AB17="Mayor"),AND(Z17="Baja",AB17="Mayor"),AND(Z17="Media",AB17="Mayor"),AND(Z17="Alta",AB17="Moderado"),AND(Z17="Alta",AB17="Mayor"),AND(Z17="Muy Alta",AB17="Leve"),AND(Z17="Muy Alta",AB17="Menor"),AND(Z17="Muy Alta",AB17="Moderado"),AND(Z17="Muy Alta",AB17="Mayor")),"Alto",IF(OR(AND(Z17="Muy Baja",AB17="Catastrófico"),AND(Z17="Baja",AB17="Catastrófico"),AND(Z17="Media",AB17="Catastrófico"),AND(Z17="Alta",AB17="Catastrófico"),AND(Z17="Muy Alta",AB17="Catastrófico")),"Extremo","")))),"")</f>
        <v>Moderado</v>
      </c>
      <c r="AE17" s="226" t="s">
        <v>31</v>
      </c>
      <c r="AF17" s="217"/>
      <c r="AG17" s="219"/>
      <c r="AH17" s="231"/>
      <c r="AI17" s="231"/>
      <c r="AJ17" s="217"/>
      <c r="AK17" s="219"/>
      <c r="AL17" s="208"/>
      <c r="AM17" s="208"/>
      <c r="AN17" s="208"/>
      <c r="AO17" s="208"/>
      <c r="AP17" s="208"/>
      <c r="AQ17" s="208"/>
      <c r="AR17" s="208"/>
      <c r="AS17" s="208"/>
      <c r="AT17" s="208"/>
      <c r="AU17" s="208"/>
      <c r="AV17" s="208"/>
      <c r="AW17" s="208"/>
      <c r="AX17" s="208"/>
      <c r="AY17" s="208"/>
      <c r="AZ17" s="208"/>
      <c r="BA17" s="208"/>
      <c r="BB17" s="208"/>
      <c r="BC17" s="208"/>
      <c r="BD17" s="208"/>
      <c r="BE17" s="208"/>
      <c r="BF17" s="208"/>
      <c r="BG17" s="208"/>
      <c r="BH17" s="208"/>
      <c r="BI17" s="208"/>
      <c r="BJ17" s="208"/>
      <c r="BK17" s="208"/>
      <c r="BL17" s="208"/>
      <c r="BM17" s="208"/>
      <c r="BN17" s="208"/>
      <c r="BO17" s="208"/>
      <c r="BP17" s="208"/>
      <c r="BQ17" s="208"/>
    </row>
    <row r="18" spans="1:69" ht="66" x14ac:dyDescent="0.25">
      <c r="A18" s="215" t="s">
        <v>540</v>
      </c>
      <c r="B18" s="216">
        <v>6</v>
      </c>
      <c r="C18" s="217" t="s">
        <v>131</v>
      </c>
      <c r="D18" s="217" t="s">
        <v>546</v>
      </c>
      <c r="E18" s="217" t="s">
        <v>547</v>
      </c>
      <c r="F18" s="218" t="s">
        <v>548</v>
      </c>
      <c r="G18" s="217" t="s">
        <v>122</v>
      </c>
      <c r="H18" s="219">
        <v>1</v>
      </c>
      <c r="I18" s="220" t="str">
        <f t="shared" si="0"/>
        <v>Muy Baja</v>
      </c>
      <c r="J18" s="221">
        <f t="shared" si="10"/>
        <v>0.2</v>
      </c>
      <c r="K18" s="222" t="s">
        <v>153</v>
      </c>
      <c r="L18" s="221" t="str">
        <f t="shared" ca="1" si="12"/>
        <v xml:space="preserve">     El riesgo afecta la imagen de la entidad con algunos usuarios de relevancia frente al logro de los objetivos</v>
      </c>
      <c r="M18" s="220" t="str">
        <f ca="1">IF(OR(L18='Tabla Impacto'!$C$11,L18='Tabla Impacto'!$D$11),"Leve",IF(OR(L18='Tabla Impacto'!$C$12,L18='Tabla Impacto'!$D$12),"Menor",IF(OR(L18='Tabla Impacto'!$C$13,L18='Tabla Impacto'!$D$13),"Moderado",IF(OR(L18='Tabla Impacto'!$C$14,L18='Tabla Impacto'!$D$14),"Mayor",IF(OR(L18='Tabla Impacto'!$C$15,L18='Tabla Impacto'!$D$15),"Catastrófico","")))))</f>
        <v>Moderado</v>
      </c>
      <c r="N18" s="221">
        <f t="shared" ca="1" si="1"/>
        <v>0.6</v>
      </c>
      <c r="O18" s="223" t="str">
        <f t="shared" ca="1" si="2"/>
        <v>Moderado</v>
      </c>
      <c r="P18" s="216">
        <v>1</v>
      </c>
      <c r="Q18" s="224" t="s">
        <v>650</v>
      </c>
      <c r="R18" s="225" t="str">
        <f>IF(OR(S18="Preventivo",S18="Detectivo"),"Probabilidad",IF(S18="Correctivo","Impacto",""))</f>
        <v>Probabilidad</v>
      </c>
      <c r="S18" s="226" t="s">
        <v>14</v>
      </c>
      <c r="T18" s="226" t="s">
        <v>9</v>
      </c>
      <c r="U18" s="227" t="str">
        <f t="shared" si="13"/>
        <v>40%</v>
      </c>
      <c r="V18" s="226" t="s">
        <v>19</v>
      </c>
      <c r="W18" s="226" t="s">
        <v>22</v>
      </c>
      <c r="X18" s="226" t="s">
        <v>118</v>
      </c>
      <c r="Y18" s="228">
        <f t="shared" si="4"/>
        <v>0.12</v>
      </c>
      <c r="Z18" s="229" t="str">
        <f t="shared" si="5"/>
        <v>Muy Baja</v>
      </c>
      <c r="AA18" s="227">
        <f t="shared" si="6"/>
        <v>0.12</v>
      </c>
      <c r="AB18" s="229" t="str">
        <f t="shared" ca="1" si="7"/>
        <v>Moderado</v>
      </c>
      <c r="AC18" s="227">
        <f t="shared" ca="1" si="8"/>
        <v>0.6</v>
      </c>
      <c r="AD18" s="230" t="str">
        <f t="shared" ca="1" si="9"/>
        <v>Moderado</v>
      </c>
      <c r="AE18" s="226" t="s">
        <v>31</v>
      </c>
      <c r="AF18" s="217"/>
      <c r="AG18" s="219"/>
      <c r="AH18" s="231"/>
      <c r="AI18" s="231"/>
      <c r="AJ18" s="217"/>
      <c r="AK18" s="219"/>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c r="BI18" s="208"/>
      <c r="BJ18" s="208"/>
      <c r="BK18" s="208"/>
      <c r="BL18" s="208"/>
      <c r="BM18" s="208"/>
      <c r="BN18" s="208"/>
      <c r="BO18" s="208"/>
      <c r="BP18" s="208"/>
      <c r="BQ18" s="208"/>
    </row>
    <row r="19" spans="1:69" s="235" customFormat="1" ht="102" x14ac:dyDescent="0.25">
      <c r="A19" s="331" t="s">
        <v>540</v>
      </c>
      <c r="B19" s="329">
        <v>7</v>
      </c>
      <c r="C19" s="327" t="s">
        <v>133</v>
      </c>
      <c r="D19" s="327" t="s">
        <v>651</v>
      </c>
      <c r="E19" s="327" t="s">
        <v>549</v>
      </c>
      <c r="F19" s="327" t="s">
        <v>652</v>
      </c>
      <c r="G19" s="327" t="s">
        <v>122</v>
      </c>
      <c r="H19" s="254">
        <v>1</v>
      </c>
      <c r="I19" s="239" t="str">
        <f t="shared" si="0"/>
        <v>Muy Baja</v>
      </c>
      <c r="J19" s="240">
        <f t="shared" si="10"/>
        <v>0.2</v>
      </c>
      <c r="K19" s="255" t="s">
        <v>154</v>
      </c>
      <c r="L19" s="240" t="str">
        <f t="shared" ca="1" si="12"/>
        <v xml:space="preserve">     El riesgo afecta la imagen de de la entidad con efecto publicitario sostenido a nivel de sector administrativo, nivel departamental o municipal</v>
      </c>
      <c r="M19" s="239" t="str">
        <f ca="1">IF(OR(L19='Tabla Impacto'!$C$11,L19='Tabla Impacto'!$D$11),"Leve",IF(OR(L19='Tabla Impacto'!$C$12,L19='Tabla Impacto'!$D$12),"Menor",IF(OR(L19='Tabla Impacto'!$C$13,L19='Tabla Impacto'!$D$13),"Moderado",IF(OR(L19='Tabla Impacto'!$C$14,L19='Tabla Impacto'!$D$14),"Mayor",IF(OR(L19='Tabla Impacto'!$C$15,L19='Tabla Impacto'!$D$15),"Catastrófico","")))))</f>
        <v>Mayor</v>
      </c>
      <c r="N19" s="240">
        <f t="shared" ca="1" si="1"/>
        <v>0.8</v>
      </c>
      <c r="O19" s="242" t="str">
        <f t="shared" ca="1" si="2"/>
        <v>Alto</v>
      </c>
      <c r="P19" s="243">
        <v>1</v>
      </c>
      <c r="Q19" s="256" t="s">
        <v>654</v>
      </c>
      <c r="R19" s="257" t="str">
        <f t="shared" ref="R19:R21" si="14">IF(OR(S19="Preventivo",S19="Detectivo"),"Probabilidad",IF(S19="Correctivo","Impacto",""))</f>
        <v>Probabilidad</v>
      </c>
      <c r="S19" s="246" t="s">
        <v>14</v>
      </c>
      <c r="T19" s="246" t="s">
        <v>9</v>
      </c>
      <c r="U19" s="247" t="str">
        <f t="shared" si="13"/>
        <v>40%</v>
      </c>
      <c r="V19" s="246" t="s">
        <v>20</v>
      </c>
      <c r="W19" s="246" t="s">
        <v>22</v>
      </c>
      <c r="X19" s="246" t="s">
        <v>118</v>
      </c>
      <c r="Y19" s="248">
        <f t="shared" si="4"/>
        <v>0.12</v>
      </c>
      <c r="Z19" s="249" t="str">
        <f t="shared" si="5"/>
        <v>Muy Baja</v>
      </c>
      <c r="AA19" s="247">
        <f t="shared" si="6"/>
        <v>0.12</v>
      </c>
      <c r="AB19" s="249" t="str">
        <f t="shared" ca="1" si="7"/>
        <v>Mayor</v>
      </c>
      <c r="AC19" s="247">
        <f t="shared" ca="1" si="8"/>
        <v>0.8</v>
      </c>
      <c r="AD19" s="250" t="str">
        <f t="shared" ca="1" si="9"/>
        <v>Alto</v>
      </c>
      <c r="AE19" s="246" t="s">
        <v>135</v>
      </c>
      <c r="AF19" s="313" t="s">
        <v>656</v>
      </c>
      <c r="AG19" s="252" t="s">
        <v>641</v>
      </c>
      <c r="AH19" s="253">
        <v>44993</v>
      </c>
      <c r="AI19" s="253">
        <v>45051</v>
      </c>
      <c r="AJ19" s="251" t="s">
        <v>640</v>
      </c>
      <c r="AK19" s="238" t="s">
        <v>41</v>
      </c>
      <c r="AL19" s="236"/>
      <c r="AM19" s="236"/>
      <c r="AN19" s="236"/>
      <c r="AO19" s="236"/>
      <c r="AP19" s="236"/>
      <c r="AQ19" s="236"/>
      <c r="AR19" s="236"/>
      <c r="AS19" s="236"/>
      <c r="AT19" s="236"/>
      <c r="AU19" s="236"/>
      <c r="AV19" s="236"/>
      <c r="AW19" s="236"/>
      <c r="AX19" s="236"/>
      <c r="AY19" s="236"/>
      <c r="AZ19" s="236"/>
      <c r="BA19" s="236"/>
      <c r="BB19" s="236"/>
      <c r="BC19" s="236"/>
      <c r="BD19" s="236"/>
      <c r="BE19" s="236"/>
      <c r="BF19" s="236"/>
      <c r="BG19" s="236"/>
      <c r="BH19" s="236"/>
      <c r="BI19" s="236"/>
      <c r="BJ19" s="236"/>
      <c r="BK19" s="236"/>
      <c r="BL19" s="236"/>
      <c r="BM19" s="236"/>
      <c r="BN19" s="236"/>
      <c r="BO19" s="236"/>
      <c r="BP19" s="236"/>
      <c r="BQ19" s="236"/>
    </row>
    <row r="20" spans="1:69" s="235" customFormat="1" ht="114.75" x14ac:dyDescent="0.25">
      <c r="A20" s="332"/>
      <c r="B20" s="330"/>
      <c r="C20" s="328"/>
      <c r="D20" s="328"/>
      <c r="E20" s="328"/>
      <c r="F20" s="328"/>
      <c r="G20" s="328"/>
      <c r="H20" s="254">
        <v>1</v>
      </c>
      <c r="I20" s="239" t="str">
        <f t="shared" si="0"/>
        <v>Muy Baja</v>
      </c>
      <c r="J20" s="240">
        <f t="shared" si="10"/>
        <v>0.2</v>
      </c>
      <c r="K20" s="255" t="s">
        <v>154</v>
      </c>
      <c r="L20" s="240" t="str">
        <f t="shared" ca="1" si="12"/>
        <v xml:space="preserve">     El riesgo afecta la imagen de de la entidad con efecto publicitario sostenido a nivel de sector administrativo, nivel departamental o municipal</v>
      </c>
      <c r="M20" s="239" t="str">
        <f ca="1">IF(OR(L20='Tabla Impacto'!$C$11,L20='Tabla Impacto'!$D$11),"Leve",IF(OR(L20='Tabla Impacto'!$C$12,L20='Tabla Impacto'!$D$12),"Menor",IF(OR(L20='Tabla Impacto'!$C$13,L20='Tabla Impacto'!$D$13),"Moderado",IF(OR(L20='Tabla Impacto'!$C$14,L20='Tabla Impacto'!$D$14),"Mayor",IF(OR(L20='Tabla Impacto'!$C$15,L20='Tabla Impacto'!$D$15),"Catastrófico","")))))</f>
        <v>Mayor</v>
      </c>
      <c r="N20" s="240">
        <f t="shared" ca="1" si="1"/>
        <v>0.8</v>
      </c>
      <c r="O20" s="242" t="str">
        <f t="shared" ca="1" si="2"/>
        <v>Alto</v>
      </c>
      <c r="P20" s="243">
        <v>2</v>
      </c>
      <c r="Q20" s="256" t="s">
        <v>653</v>
      </c>
      <c r="R20" s="257" t="str">
        <f t="shared" si="14"/>
        <v>Probabilidad</v>
      </c>
      <c r="S20" s="246" t="s">
        <v>14</v>
      </c>
      <c r="T20" s="246" t="s">
        <v>9</v>
      </c>
      <c r="U20" s="247" t="str">
        <f t="shared" si="13"/>
        <v>40%</v>
      </c>
      <c r="V20" s="246" t="s">
        <v>19</v>
      </c>
      <c r="W20" s="246" t="s">
        <v>22</v>
      </c>
      <c r="X20" s="246" t="s">
        <v>118</v>
      </c>
      <c r="Y20" s="248">
        <f t="shared" si="4"/>
        <v>0.12</v>
      </c>
      <c r="Z20" s="249" t="str">
        <f t="shared" si="5"/>
        <v>Muy Baja</v>
      </c>
      <c r="AA20" s="247">
        <f t="shared" si="6"/>
        <v>0.12</v>
      </c>
      <c r="AB20" s="249" t="str">
        <f t="shared" ca="1" si="7"/>
        <v>Mayor</v>
      </c>
      <c r="AC20" s="247">
        <f t="shared" ca="1" si="8"/>
        <v>0.8</v>
      </c>
      <c r="AD20" s="250" t="str">
        <f t="shared" ca="1" si="9"/>
        <v>Alto</v>
      </c>
      <c r="AE20" s="246" t="s">
        <v>135</v>
      </c>
      <c r="AF20" s="314"/>
      <c r="AG20" s="252" t="s">
        <v>641</v>
      </c>
      <c r="AH20" s="253">
        <v>44993</v>
      </c>
      <c r="AI20" s="253">
        <v>45051</v>
      </c>
      <c r="AJ20" s="251" t="s">
        <v>655</v>
      </c>
      <c r="AK20" s="238" t="s">
        <v>41</v>
      </c>
      <c r="AL20" s="236"/>
      <c r="AM20" s="236"/>
      <c r="AN20" s="236"/>
      <c r="AO20" s="236"/>
      <c r="AP20" s="236"/>
      <c r="AQ20" s="236"/>
      <c r="AR20" s="236"/>
      <c r="AS20" s="236"/>
      <c r="AT20" s="236"/>
      <c r="AU20" s="236"/>
      <c r="AV20" s="236"/>
      <c r="AW20" s="236"/>
      <c r="AX20" s="236"/>
      <c r="AY20" s="236"/>
      <c r="AZ20" s="236"/>
      <c r="BA20" s="236"/>
      <c r="BB20" s="236"/>
      <c r="BC20" s="236"/>
      <c r="BD20" s="236"/>
      <c r="BE20" s="236"/>
      <c r="BF20" s="236"/>
      <c r="BG20" s="236"/>
      <c r="BH20" s="236"/>
      <c r="BI20" s="236"/>
      <c r="BJ20" s="236"/>
      <c r="BK20" s="236"/>
      <c r="BL20" s="236"/>
      <c r="BM20" s="236"/>
      <c r="BN20" s="236"/>
      <c r="BO20" s="236"/>
      <c r="BP20" s="236"/>
      <c r="BQ20" s="236"/>
    </row>
    <row r="21" spans="1:69" ht="65.25" x14ac:dyDescent="0.25">
      <c r="A21" s="215" t="s">
        <v>550</v>
      </c>
      <c r="B21" s="216">
        <v>8</v>
      </c>
      <c r="C21" s="217" t="s">
        <v>132</v>
      </c>
      <c r="D21" s="217" t="s">
        <v>551</v>
      </c>
      <c r="E21" s="217" t="s">
        <v>657</v>
      </c>
      <c r="F21" s="218" t="s">
        <v>658</v>
      </c>
      <c r="G21" s="217" t="s">
        <v>122</v>
      </c>
      <c r="H21" s="219">
        <v>12</v>
      </c>
      <c r="I21" s="220" t="str">
        <f t="shared" si="0"/>
        <v>Baja</v>
      </c>
      <c r="J21" s="221">
        <f t="shared" si="10"/>
        <v>0.4</v>
      </c>
      <c r="K21" s="222" t="s">
        <v>147</v>
      </c>
      <c r="L21" s="221" t="str">
        <f t="shared" ca="1" si="12"/>
        <v xml:space="preserve">     Entre 50 y 100 SMLMV </v>
      </c>
      <c r="M21" s="220" t="str">
        <f ca="1">IF(OR(L21='Tabla Impacto'!$C$11,L21='Tabla Impacto'!$D$11),"Leve",IF(OR(L21='Tabla Impacto'!$C$12,L21='Tabla Impacto'!$D$12),"Menor",IF(OR(L21='Tabla Impacto'!$C$13,L21='Tabla Impacto'!$D$13),"Moderado",IF(OR(L21='Tabla Impacto'!$C$14,L21='Tabla Impacto'!$D$14),"Mayor",IF(OR(L21='Tabla Impacto'!$C$15,L21='Tabla Impacto'!$D$15),"Catastrófico","")))))</f>
        <v>Moderado</v>
      </c>
      <c r="N21" s="221">
        <f t="shared" ca="1" si="1"/>
        <v>0.6</v>
      </c>
      <c r="O21" s="223" t="str">
        <f t="shared" ca="1" si="2"/>
        <v>Moderado</v>
      </c>
      <c r="P21" s="216">
        <v>1</v>
      </c>
      <c r="Q21" s="224" t="s">
        <v>659</v>
      </c>
      <c r="R21" s="225" t="str">
        <f t="shared" si="14"/>
        <v>Probabilidad</v>
      </c>
      <c r="S21" s="226" t="s">
        <v>14</v>
      </c>
      <c r="T21" s="226" t="s">
        <v>9</v>
      </c>
      <c r="U21" s="227" t="str">
        <f t="shared" si="13"/>
        <v>40%</v>
      </c>
      <c r="V21" s="226" t="s">
        <v>19</v>
      </c>
      <c r="W21" s="226" t="s">
        <v>22</v>
      </c>
      <c r="X21" s="226" t="s">
        <v>118</v>
      </c>
      <c r="Y21" s="228">
        <f t="shared" si="4"/>
        <v>0.24</v>
      </c>
      <c r="Z21" s="229" t="str">
        <f t="shared" si="5"/>
        <v>Baja</v>
      </c>
      <c r="AA21" s="227">
        <f t="shared" si="6"/>
        <v>0.24</v>
      </c>
      <c r="AB21" s="229" t="str">
        <f t="shared" ca="1" si="7"/>
        <v>Moderado</v>
      </c>
      <c r="AC21" s="227">
        <f t="shared" ca="1" si="8"/>
        <v>0.6</v>
      </c>
      <c r="AD21" s="230" t="str">
        <f t="shared" ca="1" si="9"/>
        <v>Moderado</v>
      </c>
      <c r="AE21" s="226" t="s">
        <v>31</v>
      </c>
      <c r="AF21" s="217"/>
      <c r="AG21" s="219"/>
      <c r="AH21" s="231"/>
      <c r="AI21" s="231"/>
      <c r="AJ21" s="217"/>
      <c r="AK21" s="219"/>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c r="BI21" s="208"/>
      <c r="BJ21" s="208"/>
      <c r="BK21" s="208"/>
      <c r="BL21" s="208"/>
      <c r="BM21" s="208"/>
      <c r="BN21" s="208"/>
      <c r="BO21" s="208"/>
      <c r="BP21" s="208"/>
      <c r="BQ21" s="208"/>
    </row>
    <row r="22" spans="1:69" ht="66" x14ac:dyDescent="0.25">
      <c r="A22" s="215" t="s">
        <v>552</v>
      </c>
      <c r="B22" s="216">
        <v>9</v>
      </c>
      <c r="C22" s="217" t="s">
        <v>132</v>
      </c>
      <c r="D22" s="217" t="s">
        <v>553</v>
      </c>
      <c r="E22" s="217" t="s">
        <v>660</v>
      </c>
      <c r="F22" s="218" t="s">
        <v>661</v>
      </c>
      <c r="G22" s="217" t="s">
        <v>124</v>
      </c>
      <c r="H22" s="219">
        <v>400</v>
      </c>
      <c r="I22" s="220" t="str">
        <f t="shared" si="0"/>
        <v>Media</v>
      </c>
      <c r="J22" s="221">
        <f t="shared" si="10"/>
        <v>0.6</v>
      </c>
      <c r="K22" s="222" t="s">
        <v>147</v>
      </c>
      <c r="L22" s="221" t="str">
        <f ca="1">IF(NOT(ISERROR(MATCH(K22,'Tabla Impacto'!$B$221:$B$223,0))),'Tabla Impacto'!$F$223&amp;"Por favor no seleccionar los criterios de impacto(Afectación Económica o presupuestal y Pérdida Reputacional)",K22)</f>
        <v xml:space="preserve">     Entre 50 y 100 SMLMV </v>
      </c>
      <c r="M22" s="220" t="str">
        <f ca="1">IF(OR(L22='Tabla Impacto'!$C$11,L22='Tabla Impacto'!$D$11),"Leve",IF(OR(L22='Tabla Impacto'!$C$12,L22='Tabla Impacto'!$D$12),"Menor",IF(OR(L22='Tabla Impacto'!$C$13,L22='Tabla Impacto'!$D$13),"Moderado",IF(OR(L22='Tabla Impacto'!$C$14,L22='Tabla Impacto'!$D$14),"Mayor",IF(OR(L22='Tabla Impacto'!$C$15,L22='Tabla Impacto'!$D$15),"Catastrófico","")))))</f>
        <v>Moderado</v>
      </c>
      <c r="N22" s="221">
        <f t="shared" ca="1" si="1"/>
        <v>0.6</v>
      </c>
      <c r="O22" s="223" t="str">
        <f t="shared" ca="1" si="2"/>
        <v>Moderado</v>
      </c>
      <c r="P22" s="216">
        <v>1</v>
      </c>
      <c r="Q22" s="224" t="s">
        <v>662</v>
      </c>
      <c r="R22" s="225" t="str">
        <f>IF(OR(S22="Preventivo",S22="Detectivo"),"Probabilidad",IF(S22="Correctivo","Impacto",""))</f>
        <v>Probabilidad</v>
      </c>
      <c r="S22" s="226" t="s">
        <v>14</v>
      </c>
      <c r="T22" s="226" t="s">
        <v>9</v>
      </c>
      <c r="U22" s="227" t="str">
        <f>IF(AND(S22="Preventivo",T22="Automático"),"50%",IF(AND(S22="Preventivo",T22="Manual"),"40%",IF(AND(S22="Detectivo",T22="Automático"),"40%",IF(AND(S22="Detectivo",T22="Manual"),"30%",IF(AND(S22="Correctivo",T22="Automático"),"35%",IF(AND(S22="Correctivo",T22="Manual"),"25%",""))))))</f>
        <v>40%</v>
      </c>
      <c r="V22" s="226" t="s">
        <v>19</v>
      </c>
      <c r="W22" s="226" t="s">
        <v>22</v>
      </c>
      <c r="X22" s="226" t="s">
        <v>119</v>
      </c>
      <c r="Y22" s="228">
        <f t="shared" si="4"/>
        <v>0.36</v>
      </c>
      <c r="Z22" s="229" t="str">
        <f t="shared" si="5"/>
        <v>Baja</v>
      </c>
      <c r="AA22" s="227">
        <f t="shared" si="6"/>
        <v>0.36</v>
      </c>
      <c r="AB22" s="229" t="str">
        <f t="shared" ca="1" si="7"/>
        <v>Moderado</v>
      </c>
      <c r="AC22" s="227">
        <f t="shared" ca="1" si="8"/>
        <v>0.6</v>
      </c>
      <c r="AD22" s="230" t="str">
        <f t="shared" ca="1" si="9"/>
        <v>Moderado</v>
      </c>
      <c r="AE22" s="226" t="s">
        <v>31</v>
      </c>
      <c r="AF22" s="217"/>
      <c r="AG22" s="219"/>
      <c r="AH22" s="231"/>
      <c r="AI22" s="231"/>
      <c r="AJ22" s="217"/>
      <c r="AK22" s="219"/>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c r="BI22" s="208"/>
      <c r="BJ22" s="208"/>
      <c r="BK22" s="208"/>
      <c r="BL22" s="208"/>
      <c r="BM22" s="208"/>
      <c r="BN22" s="208"/>
      <c r="BO22" s="208"/>
      <c r="BP22" s="208"/>
      <c r="BQ22" s="208"/>
    </row>
    <row r="23" spans="1:69" ht="82.5" x14ac:dyDescent="0.25">
      <c r="A23" s="215" t="s">
        <v>552</v>
      </c>
      <c r="B23" s="216">
        <v>10</v>
      </c>
      <c r="C23" s="217" t="s">
        <v>131</v>
      </c>
      <c r="D23" s="217" t="s">
        <v>554</v>
      </c>
      <c r="E23" s="217" t="s">
        <v>663</v>
      </c>
      <c r="F23" s="218" t="s">
        <v>664</v>
      </c>
      <c r="G23" s="217" t="s">
        <v>122</v>
      </c>
      <c r="H23" s="219">
        <v>20</v>
      </c>
      <c r="I23" s="220" t="str">
        <f t="shared" si="0"/>
        <v>Baja</v>
      </c>
      <c r="J23" s="221">
        <f t="shared" si="10"/>
        <v>0.4</v>
      </c>
      <c r="K23" s="222" t="s">
        <v>152</v>
      </c>
      <c r="L23" s="221" t="str">
        <f t="shared" ref="L23:L27" ca="1" si="15">IF(NOT(ISERROR(MATCH(K23,_xlfn.ANCHORARRAY(F34),0))),J36&amp;"Por favor no seleccionar los criterios de impacto",K23)</f>
        <v xml:space="preserve">     El riesgo afecta la imagen de la entidad internamente, de conocimiento general, nivel interno, de junta dircetiva y accionistas y/o de provedores</v>
      </c>
      <c r="M23" s="220" t="str">
        <f ca="1">IF(OR(L23='Tabla Impacto'!$C$11,L23='Tabla Impacto'!$D$11),"Leve",IF(OR(L23='Tabla Impacto'!$C$12,L23='Tabla Impacto'!$D$12),"Menor",IF(OR(L23='Tabla Impacto'!$C$13,L23='Tabla Impacto'!$D$13),"Moderado",IF(OR(L23='Tabla Impacto'!$C$14,L23='Tabla Impacto'!$D$14),"Mayor",IF(OR(L23='Tabla Impacto'!$C$15,L23='Tabla Impacto'!$D$15),"Catastrófico","")))))</f>
        <v>Menor</v>
      </c>
      <c r="N23" s="221">
        <f t="shared" ca="1" si="1"/>
        <v>0.4</v>
      </c>
      <c r="O23" s="223" t="str">
        <f t="shared" ca="1" si="2"/>
        <v>Moderado</v>
      </c>
      <c r="P23" s="216">
        <v>1</v>
      </c>
      <c r="Q23" s="224" t="s">
        <v>665</v>
      </c>
      <c r="R23" s="225" t="str">
        <f>IF(OR(S23="Preventivo",S23="Detectivo"),"Probabilidad",IF(S23="Correctivo","Impacto",""))</f>
        <v>Probabilidad</v>
      </c>
      <c r="S23" s="226" t="s">
        <v>14</v>
      </c>
      <c r="T23" s="226" t="s">
        <v>9</v>
      </c>
      <c r="U23" s="227" t="str">
        <f t="shared" ref="U23:U27" si="16">IF(AND(S23="Preventivo",T23="Automático"),"50%",IF(AND(S23="Preventivo",T23="Manual"),"40%",IF(AND(S23="Detectivo",T23="Automático"),"40%",IF(AND(S23="Detectivo",T23="Manual"),"30%",IF(AND(S23="Correctivo",T23="Automático"),"35%",IF(AND(S23="Correctivo",T23="Manual"),"25%",""))))))</f>
        <v>40%</v>
      </c>
      <c r="V23" s="226" t="s">
        <v>19</v>
      </c>
      <c r="W23" s="226" t="s">
        <v>22</v>
      </c>
      <c r="X23" s="226" t="s">
        <v>118</v>
      </c>
      <c r="Y23" s="228">
        <f t="shared" si="4"/>
        <v>0.24</v>
      </c>
      <c r="Z23" s="229" t="str">
        <f t="shared" si="5"/>
        <v>Baja</v>
      </c>
      <c r="AA23" s="227">
        <f t="shared" si="6"/>
        <v>0.24</v>
      </c>
      <c r="AB23" s="229" t="str">
        <f t="shared" ca="1" si="7"/>
        <v>Menor</v>
      </c>
      <c r="AC23" s="227">
        <f t="shared" ca="1" si="8"/>
        <v>0.4</v>
      </c>
      <c r="AD23" s="230" t="str">
        <f t="shared" ca="1" si="9"/>
        <v>Moderado</v>
      </c>
      <c r="AE23" s="226" t="s">
        <v>31</v>
      </c>
      <c r="AF23" s="217"/>
      <c r="AG23" s="219"/>
      <c r="AH23" s="231"/>
      <c r="AI23" s="231"/>
      <c r="AJ23" s="217"/>
      <c r="AK23" s="219"/>
      <c r="AL23" s="208"/>
      <c r="AM23" s="208"/>
      <c r="AN23" s="208"/>
      <c r="AO23" s="208"/>
      <c r="AP23" s="208"/>
      <c r="AQ23" s="208"/>
      <c r="AR23" s="208"/>
      <c r="AS23" s="208"/>
      <c r="AT23" s="208"/>
      <c r="AU23" s="208"/>
      <c r="AV23" s="208"/>
      <c r="AW23" s="208"/>
      <c r="AX23" s="208"/>
      <c r="AY23" s="208"/>
      <c r="AZ23" s="208"/>
      <c r="BA23" s="208"/>
      <c r="BB23" s="208"/>
      <c r="BC23" s="208"/>
      <c r="BD23" s="208"/>
      <c r="BE23" s="208"/>
      <c r="BF23" s="208"/>
      <c r="BG23" s="208"/>
      <c r="BH23" s="208"/>
      <c r="BI23" s="208"/>
      <c r="BJ23" s="208"/>
      <c r="BK23" s="208"/>
      <c r="BL23" s="208"/>
      <c r="BM23" s="208"/>
      <c r="BN23" s="208"/>
      <c r="BO23" s="208"/>
      <c r="BP23" s="208"/>
      <c r="BQ23" s="208"/>
    </row>
    <row r="24" spans="1:69" ht="82.5" x14ac:dyDescent="0.25">
      <c r="A24" s="258" t="s">
        <v>552</v>
      </c>
      <c r="B24" s="259">
        <v>11</v>
      </c>
      <c r="C24" s="260" t="s">
        <v>133</v>
      </c>
      <c r="D24" s="260" t="s">
        <v>555</v>
      </c>
      <c r="E24" s="260" t="s">
        <v>666</v>
      </c>
      <c r="F24" s="260" t="s">
        <v>667</v>
      </c>
      <c r="G24" s="260" t="s">
        <v>122</v>
      </c>
      <c r="H24" s="219">
        <v>400</v>
      </c>
      <c r="I24" s="220" t="str">
        <f t="shared" si="0"/>
        <v>Media</v>
      </c>
      <c r="J24" s="221">
        <f t="shared" si="10"/>
        <v>0.6</v>
      </c>
      <c r="K24" s="222" t="s">
        <v>152</v>
      </c>
      <c r="L24" s="221" t="str">
        <f t="shared" ca="1" si="15"/>
        <v xml:space="preserve">     El riesgo afecta la imagen de la entidad internamente, de conocimiento general, nivel interno, de junta dircetiva y accionistas y/o de provedores</v>
      </c>
      <c r="M24" s="220" t="str">
        <f ca="1">IF(OR(L24='Tabla Impacto'!$C$11,L24='Tabla Impacto'!$D$11),"Leve",IF(OR(L24='Tabla Impacto'!$C$12,L24='Tabla Impacto'!$D$12),"Menor",IF(OR(L24='Tabla Impacto'!$C$13,L24='Tabla Impacto'!$D$13),"Moderado",IF(OR(L24='Tabla Impacto'!$C$14,L24='Tabla Impacto'!$D$14),"Mayor",IF(OR(L24='Tabla Impacto'!$C$15,L24='Tabla Impacto'!$D$15),"Catastrófico","")))))</f>
        <v>Menor</v>
      </c>
      <c r="N24" s="221">
        <f t="shared" ca="1" si="1"/>
        <v>0.4</v>
      </c>
      <c r="O24" s="223" t="str">
        <f t="shared" ca="1" si="2"/>
        <v>Moderado</v>
      </c>
      <c r="P24" s="216">
        <v>1</v>
      </c>
      <c r="Q24" s="224" t="s">
        <v>556</v>
      </c>
      <c r="R24" s="225" t="str">
        <f>IF(OR(S24="Preventivo",S24="Detectivo"),"Probabilidad",IF(S24="Correctivo","Impacto",""))</f>
        <v>Probabilidad</v>
      </c>
      <c r="S24" s="226" t="s">
        <v>14</v>
      </c>
      <c r="T24" s="226" t="s">
        <v>9</v>
      </c>
      <c r="U24" s="227" t="str">
        <f t="shared" si="16"/>
        <v>40%</v>
      </c>
      <c r="V24" s="226" t="s">
        <v>19</v>
      </c>
      <c r="W24" s="226" t="s">
        <v>22</v>
      </c>
      <c r="X24" s="226" t="s">
        <v>118</v>
      </c>
      <c r="Y24" s="228">
        <f t="shared" si="4"/>
        <v>0.36</v>
      </c>
      <c r="Z24" s="229" t="str">
        <f t="shared" si="5"/>
        <v>Baja</v>
      </c>
      <c r="AA24" s="227">
        <f t="shared" si="6"/>
        <v>0.36</v>
      </c>
      <c r="AB24" s="229" t="str">
        <f t="shared" ca="1" si="7"/>
        <v>Menor</v>
      </c>
      <c r="AC24" s="227">
        <f t="shared" ca="1" si="8"/>
        <v>0.4</v>
      </c>
      <c r="AD24" s="230" t="str">
        <f t="shared" ca="1" si="9"/>
        <v>Moderado</v>
      </c>
      <c r="AE24" s="226" t="s">
        <v>31</v>
      </c>
      <c r="AF24" s="217"/>
      <c r="AG24" s="219"/>
      <c r="AH24" s="231"/>
      <c r="AI24" s="231"/>
      <c r="AJ24" s="217"/>
      <c r="AK24" s="219"/>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c r="BH24" s="208"/>
      <c r="BI24" s="208"/>
      <c r="BJ24" s="208"/>
      <c r="BK24" s="208"/>
      <c r="BL24" s="208"/>
      <c r="BM24" s="208"/>
      <c r="BN24" s="208"/>
      <c r="BO24" s="208"/>
      <c r="BP24" s="208"/>
      <c r="BQ24" s="208"/>
    </row>
    <row r="25" spans="1:69" ht="115.5" x14ac:dyDescent="0.25">
      <c r="A25" s="215" t="s">
        <v>557</v>
      </c>
      <c r="B25" s="216">
        <v>12</v>
      </c>
      <c r="C25" s="217" t="s">
        <v>131</v>
      </c>
      <c r="D25" s="217" t="s">
        <v>669</v>
      </c>
      <c r="E25" s="217" t="s">
        <v>668</v>
      </c>
      <c r="F25" s="218" t="s">
        <v>670</v>
      </c>
      <c r="G25" s="217" t="s">
        <v>122</v>
      </c>
      <c r="H25" s="219">
        <v>24</v>
      </c>
      <c r="I25" s="220" t="str">
        <f t="shared" si="0"/>
        <v>Baja</v>
      </c>
      <c r="J25" s="221">
        <f t="shared" si="10"/>
        <v>0.4</v>
      </c>
      <c r="K25" s="222" t="s">
        <v>153</v>
      </c>
      <c r="L25" s="221" t="str">
        <f t="shared" ca="1" si="15"/>
        <v xml:space="preserve">     El riesgo afecta la imagen de la entidad con algunos usuarios de relevancia frente al logro de los objetivos</v>
      </c>
      <c r="M25" s="220" t="str">
        <f ca="1">IF(OR(L25='Tabla Impacto'!$C$11,L25='Tabla Impacto'!$D$11),"Leve",IF(OR(L25='Tabla Impacto'!$C$12,L25='Tabla Impacto'!$D$12),"Menor",IF(OR(L25='Tabla Impacto'!$C$13,L25='Tabla Impacto'!$D$13),"Moderado",IF(OR(L25='Tabla Impacto'!$C$14,L25='Tabla Impacto'!$D$14),"Mayor",IF(OR(L25='Tabla Impacto'!$C$15,L25='Tabla Impacto'!$D$15),"Catastrófico","")))))</f>
        <v>Moderado</v>
      </c>
      <c r="N25" s="221">
        <f t="shared" ca="1" si="1"/>
        <v>0.6</v>
      </c>
      <c r="O25" s="223" t="str">
        <f t="shared" ca="1" si="2"/>
        <v>Moderado</v>
      </c>
      <c r="P25" s="216">
        <v>1</v>
      </c>
      <c r="Q25" s="224" t="s">
        <v>671</v>
      </c>
      <c r="R25" s="225" t="str">
        <f t="shared" ref="R25:R27" si="17">IF(OR(S25="Preventivo",S25="Detectivo"),"Probabilidad",IF(S25="Correctivo","Impacto",""))</f>
        <v>Probabilidad</v>
      </c>
      <c r="S25" s="226" t="s">
        <v>14</v>
      </c>
      <c r="T25" s="226" t="s">
        <v>9</v>
      </c>
      <c r="U25" s="227" t="str">
        <f t="shared" si="16"/>
        <v>40%</v>
      </c>
      <c r="V25" s="226" t="s">
        <v>19</v>
      </c>
      <c r="W25" s="226" t="s">
        <v>22</v>
      </c>
      <c r="X25" s="226" t="s">
        <v>118</v>
      </c>
      <c r="Y25" s="228">
        <f t="shared" si="4"/>
        <v>0.24</v>
      </c>
      <c r="Z25" s="229" t="str">
        <f t="shared" si="5"/>
        <v>Baja</v>
      </c>
      <c r="AA25" s="227">
        <f t="shared" si="6"/>
        <v>0.24</v>
      </c>
      <c r="AB25" s="229" t="str">
        <f t="shared" ca="1" si="7"/>
        <v>Moderado</v>
      </c>
      <c r="AC25" s="227">
        <f t="shared" ca="1" si="8"/>
        <v>0.6</v>
      </c>
      <c r="AD25" s="230" t="str">
        <f t="shared" ca="1" si="9"/>
        <v>Moderado</v>
      </c>
      <c r="AE25" s="226" t="s">
        <v>31</v>
      </c>
      <c r="AF25" s="217"/>
      <c r="AG25" s="219"/>
      <c r="AH25" s="231"/>
      <c r="AI25" s="231"/>
      <c r="AJ25" s="217"/>
      <c r="AK25" s="219"/>
      <c r="AL25" s="208"/>
      <c r="AM25" s="208"/>
      <c r="AN25" s="208"/>
      <c r="AO25" s="208"/>
      <c r="AP25" s="208"/>
      <c r="AQ25" s="208"/>
      <c r="AR25" s="208"/>
      <c r="AS25" s="208"/>
      <c r="AT25" s="208"/>
      <c r="AU25" s="208"/>
      <c r="AV25" s="208"/>
      <c r="AW25" s="208"/>
      <c r="AX25" s="208"/>
      <c r="AY25" s="208"/>
      <c r="AZ25" s="208"/>
      <c r="BA25" s="208"/>
      <c r="BB25" s="208"/>
      <c r="BC25" s="208"/>
      <c r="BD25" s="208"/>
      <c r="BE25" s="208"/>
      <c r="BF25" s="208"/>
      <c r="BG25" s="208"/>
      <c r="BH25" s="208"/>
      <c r="BI25" s="208"/>
      <c r="BJ25" s="208"/>
      <c r="BK25" s="208"/>
      <c r="BL25" s="208"/>
      <c r="BM25" s="208"/>
      <c r="BN25" s="208"/>
      <c r="BO25" s="208"/>
      <c r="BP25" s="208"/>
      <c r="BQ25" s="208"/>
    </row>
    <row r="26" spans="1:69" ht="82.5" x14ac:dyDescent="0.25">
      <c r="A26" s="215" t="s">
        <v>557</v>
      </c>
      <c r="B26" s="216">
        <v>13</v>
      </c>
      <c r="C26" s="217" t="s">
        <v>131</v>
      </c>
      <c r="D26" s="260" t="s">
        <v>561</v>
      </c>
      <c r="E26" s="217" t="s">
        <v>560</v>
      </c>
      <c r="F26" s="218" t="s">
        <v>559</v>
      </c>
      <c r="G26" s="217" t="s">
        <v>122</v>
      </c>
      <c r="H26" s="219">
        <v>24</v>
      </c>
      <c r="I26" s="220" t="str">
        <f t="shared" si="0"/>
        <v>Baja</v>
      </c>
      <c r="J26" s="221">
        <f t="shared" si="10"/>
        <v>0.4</v>
      </c>
      <c r="K26" s="222" t="s">
        <v>152</v>
      </c>
      <c r="L26" s="221" t="str">
        <f t="shared" ca="1" si="15"/>
        <v xml:space="preserve">     El riesgo afecta la imagen de la entidad internamente, de conocimiento general, nivel interno, de junta dircetiva y accionistas y/o de provedores</v>
      </c>
      <c r="M26" s="220" t="str">
        <f ca="1">IF(OR(L26='Tabla Impacto'!$C$11,L26='Tabla Impacto'!$D$11),"Leve",IF(OR(L26='Tabla Impacto'!$C$12,L26='Tabla Impacto'!$D$12),"Menor",IF(OR(L26='Tabla Impacto'!$C$13,L26='Tabla Impacto'!$D$13),"Moderado",IF(OR(L26='Tabla Impacto'!$C$14,L26='Tabla Impacto'!$D$14),"Mayor",IF(OR(L26='Tabla Impacto'!$C$15,L26='Tabla Impacto'!$D$15),"Catastrófico","")))))</f>
        <v>Menor</v>
      </c>
      <c r="N26" s="221">
        <f t="shared" ca="1" si="1"/>
        <v>0.4</v>
      </c>
      <c r="O26" s="223" t="str">
        <f t="shared" ca="1" si="2"/>
        <v>Moderado</v>
      </c>
      <c r="P26" s="216">
        <v>1</v>
      </c>
      <c r="Q26" s="224" t="s">
        <v>562</v>
      </c>
      <c r="R26" s="225" t="str">
        <f t="shared" si="17"/>
        <v>Probabilidad</v>
      </c>
      <c r="S26" s="226" t="s">
        <v>14</v>
      </c>
      <c r="T26" s="226" t="s">
        <v>9</v>
      </c>
      <c r="U26" s="227" t="str">
        <f t="shared" si="16"/>
        <v>40%</v>
      </c>
      <c r="V26" s="226" t="s">
        <v>19</v>
      </c>
      <c r="W26" s="226" t="s">
        <v>22</v>
      </c>
      <c r="X26" s="226" t="s">
        <v>118</v>
      </c>
      <c r="Y26" s="228">
        <f t="shared" si="4"/>
        <v>0.24</v>
      </c>
      <c r="Z26" s="229" t="str">
        <f t="shared" si="5"/>
        <v>Baja</v>
      </c>
      <c r="AA26" s="227">
        <f t="shared" si="6"/>
        <v>0.24</v>
      </c>
      <c r="AB26" s="229" t="str">
        <f t="shared" ca="1" si="7"/>
        <v>Menor</v>
      </c>
      <c r="AC26" s="227">
        <f t="shared" ca="1" si="8"/>
        <v>0.4</v>
      </c>
      <c r="AD26" s="230" t="str">
        <f t="shared" ca="1" si="9"/>
        <v>Moderado</v>
      </c>
      <c r="AE26" s="226" t="s">
        <v>31</v>
      </c>
      <c r="AF26" s="217"/>
      <c r="AG26" s="219"/>
      <c r="AH26" s="231"/>
      <c r="AI26" s="231"/>
      <c r="AJ26" s="217"/>
      <c r="AK26" s="219"/>
      <c r="AL26" s="208"/>
      <c r="AM26" s="208"/>
      <c r="AN26" s="208"/>
      <c r="AO26" s="208"/>
      <c r="AP26" s="208"/>
      <c r="AQ26" s="208"/>
      <c r="AR26" s="208"/>
      <c r="AS26" s="208"/>
      <c r="AT26" s="208"/>
      <c r="AU26" s="208"/>
      <c r="AV26" s="208"/>
      <c r="AW26" s="208"/>
      <c r="AX26" s="208"/>
      <c r="AY26" s="208"/>
      <c r="AZ26" s="208"/>
      <c r="BA26" s="208"/>
      <c r="BB26" s="208"/>
      <c r="BC26" s="208"/>
      <c r="BD26" s="208"/>
      <c r="BE26" s="208"/>
      <c r="BF26" s="208"/>
      <c r="BG26" s="208"/>
      <c r="BH26" s="208"/>
      <c r="BI26" s="208"/>
      <c r="BJ26" s="208"/>
      <c r="BK26" s="208"/>
      <c r="BL26" s="208"/>
      <c r="BM26" s="208"/>
      <c r="BN26" s="208"/>
      <c r="BO26" s="208"/>
      <c r="BP26" s="208"/>
      <c r="BQ26" s="208"/>
    </row>
    <row r="27" spans="1:69" ht="82.5" x14ac:dyDescent="0.25">
      <c r="A27" s="215" t="s">
        <v>557</v>
      </c>
      <c r="B27" s="216">
        <v>14</v>
      </c>
      <c r="C27" s="217" t="s">
        <v>131</v>
      </c>
      <c r="D27" s="217" t="s">
        <v>563</v>
      </c>
      <c r="E27" s="217" t="s">
        <v>672</v>
      </c>
      <c r="F27" s="218" t="s">
        <v>673</v>
      </c>
      <c r="G27" s="217" t="s">
        <v>122</v>
      </c>
      <c r="H27" s="219">
        <v>24</v>
      </c>
      <c r="I27" s="220" t="str">
        <f t="shared" si="0"/>
        <v>Baja</v>
      </c>
      <c r="J27" s="221">
        <f t="shared" si="10"/>
        <v>0.4</v>
      </c>
      <c r="K27" s="222" t="s">
        <v>152</v>
      </c>
      <c r="L27" s="221" t="str">
        <f t="shared" ca="1" si="15"/>
        <v xml:space="preserve">     El riesgo afecta la imagen de la entidad internamente, de conocimiento general, nivel interno, de junta dircetiva y accionistas y/o de provedores</v>
      </c>
      <c r="M27" s="220" t="str">
        <f ca="1">IF(OR(L27='Tabla Impacto'!$C$11,L27='Tabla Impacto'!$D$11),"Leve",IF(OR(L27='Tabla Impacto'!$C$12,L27='Tabla Impacto'!$D$12),"Menor",IF(OR(L27='Tabla Impacto'!$C$13,L27='Tabla Impacto'!$D$13),"Moderado",IF(OR(L27='Tabla Impacto'!$C$14,L27='Tabla Impacto'!$D$14),"Mayor",IF(OR(L27='Tabla Impacto'!$C$15,L27='Tabla Impacto'!$D$15),"Catastrófico","")))))</f>
        <v>Menor</v>
      </c>
      <c r="N27" s="221">
        <f t="shared" ca="1" si="1"/>
        <v>0.4</v>
      </c>
      <c r="O27" s="223" t="str">
        <f t="shared" ca="1" si="2"/>
        <v>Moderado</v>
      </c>
      <c r="P27" s="216">
        <v>1</v>
      </c>
      <c r="Q27" s="224" t="s">
        <v>564</v>
      </c>
      <c r="R27" s="225" t="str">
        <f t="shared" si="17"/>
        <v>Probabilidad</v>
      </c>
      <c r="S27" s="226" t="s">
        <v>14</v>
      </c>
      <c r="T27" s="226" t="s">
        <v>9</v>
      </c>
      <c r="U27" s="227" t="str">
        <f t="shared" si="16"/>
        <v>40%</v>
      </c>
      <c r="V27" s="226" t="s">
        <v>20</v>
      </c>
      <c r="W27" s="226" t="s">
        <v>22</v>
      </c>
      <c r="X27" s="226" t="s">
        <v>118</v>
      </c>
      <c r="Y27" s="228">
        <f t="shared" si="4"/>
        <v>0.24</v>
      </c>
      <c r="Z27" s="229" t="str">
        <f t="shared" si="5"/>
        <v>Baja</v>
      </c>
      <c r="AA27" s="227">
        <f t="shared" si="6"/>
        <v>0.24</v>
      </c>
      <c r="AB27" s="229" t="str">
        <f t="shared" ca="1" si="7"/>
        <v>Menor</v>
      </c>
      <c r="AC27" s="227">
        <f t="shared" ca="1" si="8"/>
        <v>0.4</v>
      </c>
      <c r="AD27" s="230" t="str">
        <f t="shared" ca="1" si="9"/>
        <v>Moderado</v>
      </c>
      <c r="AE27" s="226" t="s">
        <v>31</v>
      </c>
      <c r="AF27" s="217"/>
      <c r="AG27" s="219"/>
      <c r="AH27" s="231"/>
      <c r="AI27" s="231"/>
      <c r="AJ27" s="217"/>
      <c r="AK27" s="219"/>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8"/>
      <c r="BH27" s="208"/>
      <c r="BI27" s="208"/>
      <c r="BJ27" s="208"/>
      <c r="BK27" s="208"/>
      <c r="BL27" s="208"/>
      <c r="BM27" s="208"/>
      <c r="BN27" s="208"/>
      <c r="BO27" s="208"/>
      <c r="BP27" s="208"/>
      <c r="BQ27" s="208"/>
    </row>
    <row r="28" spans="1:69" ht="99" x14ac:dyDescent="0.25">
      <c r="A28" s="258" t="s">
        <v>557</v>
      </c>
      <c r="B28" s="259">
        <v>15</v>
      </c>
      <c r="C28" s="260" t="s">
        <v>131</v>
      </c>
      <c r="D28" s="260" t="s">
        <v>565</v>
      </c>
      <c r="E28" s="260" t="s">
        <v>601</v>
      </c>
      <c r="F28" s="260" t="s">
        <v>674</v>
      </c>
      <c r="G28" s="260" t="s">
        <v>124</v>
      </c>
      <c r="H28" s="261">
        <v>24</v>
      </c>
      <c r="I28" s="220" t="str">
        <f t="shared" si="0"/>
        <v>Baja</v>
      </c>
      <c r="J28" s="221">
        <f t="shared" si="10"/>
        <v>0.4</v>
      </c>
      <c r="K28" s="222" t="s">
        <v>152</v>
      </c>
      <c r="L28" s="221" t="str">
        <f ca="1">IF(NOT(ISERROR(MATCH(K28,'Tabla Impacto'!$B$221:$B$223,0))),'Tabla Impacto'!$F$223&amp;"Por favor no seleccionar los criterios de impacto(Afectación Económica o presupuestal y Pérdida Reputacional)",K28)</f>
        <v xml:space="preserve">     El riesgo afecta la imagen de la entidad internamente, de conocimiento general, nivel interno, de junta dircetiva y accionistas y/o de provedores</v>
      </c>
      <c r="M28" s="220" t="str">
        <f ca="1">IF(OR(L28='Tabla Impacto'!$C$11,L28='Tabla Impacto'!$D$11),"Leve",IF(OR(L28='Tabla Impacto'!$C$12,L28='Tabla Impacto'!$D$12),"Menor",IF(OR(L28='Tabla Impacto'!$C$13,L28='Tabla Impacto'!$D$13),"Moderado",IF(OR(L28='Tabla Impacto'!$C$14,L28='Tabla Impacto'!$D$14),"Mayor",IF(OR(L28='Tabla Impacto'!$C$15,L28='Tabla Impacto'!$D$15),"Catastrófico","")))))</f>
        <v>Menor</v>
      </c>
      <c r="N28" s="221">
        <f t="shared" ca="1" si="1"/>
        <v>0.4</v>
      </c>
      <c r="O28" s="223" t="str">
        <f t="shared" ca="1" si="2"/>
        <v>Moderado</v>
      </c>
      <c r="P28" s="216">
        <v>1</v>
      </c>
      <c r="Q28" s="224" t="s">
        <v>566</v>
      </c>
      <c r="R28" s="225" t="str">
        <f>IF(OR(S28="Preventivo",S28="Detectivo"),"Probabilidad",IF(S28="Correctivo","Impacto",""))</f>
        <v>Probabilidad</v>
      </c>
      <c r="S28" s="226" t="s">
        <v>15</v>
      </c>
      <c r="T28" s="226" t="s">
        <v>9</v>
      </c>
      <c r="U28" s="227" t="str">
        <f>IF(AND(S28="Preventivo",T28="Automático"),"50%",IF(AND(S28="Preventivo",T28="Manual"),"40%",IF(AND(S28="Detectivo",T28="Automático"),"40%",IF(AND(S28="Detectivo",T28="Manual"),"30%",IF(AND(S28="Correctivo",T28="Automático"),"35%",IF(AND(S28="Correctivo",T28="Manual"),"25%",""))))))</f>
        <v>30%</v>
      </c>
      <c r="V28" s="226" t="s">
        <v>19</v>
      </c>
      <c r="W28" s="226" t="s">
        <v>23</v>
      </c>
      <c r="X28" s="226" t="s">
        <v>118</v>
      </c>
      <c r="Y28" s="228">
        <f t="shared" si="4"/>
        <v>0.28000000000000003</v>
      </c>
      <c r="Z28" s="229" t="str">
        <f t="shared" si="5"/>
        <v>Baja</v>
      </c>
      <c r="AA28" s="227">
        <f t="shared" si="6"/>
        <v>0.28000000000000003</v>
      </c>
      <c r="AB28" s="229" t="str">
        <f t="shared" ca="1" si="7"/>
        <v>Menor</v>
      </c>
      <c r="AC28" s="227">
        <f t="shared" ca="1" si="8"/>
        <v>0.4</v>
      </c>
      <c r="AD28" s="230" t="str">
        <f t="shared" ca="1" si="9"/>
        <v>Moderado</v>
      </c>
      <c r="AE28" s="226" t="s">
        <v>31</v>
      </c>
      <c r="AF28" s="217"/>
      <c r="AG28" s="219"/>
      <c r="AH28" s="231"/>
      <c r="AI28" s="231"/>
      <c r="AJ28" s="217"/>
      <c r="AK28" s="219"/>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8"/>
      <c r="BH28" s="208"/>
      <c r="BI28" s="208"/>
      <c r="BJ28" s="208"/>
      <c r="BK28" s="208"/>
      <c r="BL28" s="208"/>
      <c r="BM28" s="208"/>
      <c r="BN28" s="208"/>
      <c r="BO28" s="208"/>
      <c r="BP28" s="208"/>
      <c r="BQ28" s="208"/>
    </row>
    <row r="29" spans="1:69" ht="99" customHeight="1" x14ac:dyDescent="0.25">
      <c r="A29" s="333" t="s">
        <v>567</v>
      </c>
      <c r="B29" s="335">
        <v>16</v>
      </c>
      <c r="C29" s="311" t="s">
        <v>131</v>
      </c>
      <c r="D29" s="311" t="s">
        <v>568</v>
      </c>
      <c r="E29" s="311" t="s">
        <v>675</v>
      </c>
      <c r="F29" s="327" t="s">
        <v>676</v>
      </c>
      <c r="G29" s="311" t="s">
        <v>122</v>
      </c>
      <c r="H29" s="233">
        <v>6300</v>
      </c>
      <c r="I29" s="220" t="str">
        <f t="shared" si="0"/>
        <v>Muy Alta</v>
      </c>
      <c r="J29" s="221">
        <f t="shared" si="10"/>
        <v>1</v>
      </c>
      <c r="K29" s="234" t="s">
        <v>153</v>
      </c>
      <c r="L29" s="221" t="str">
        <f t="shared" ref="L29:L33" ca="1" si="18">IF(NOT(ISERROR(MATCH(K29,_xlfn.ANCHORARRAY(F40),0))),J42&amp;"Por favor no seleccionar los criterios de impacto",K29)</f>
        <v xml:space="preserve">     El riesgo afecta la imagen de la entidad con algunos usuarios de relevancia frente al logro de los objetivos</v>
      </c>
      <c r="M29" s="220" t="str">
        <f ca="1">IF(OR(L29='Tabla Impacto'!$C$11,L29='Tabla Impacto'!$D$11),"Leve",IF(OR(L29='Tabla Impacto'!$C$12,L29='Tabla Impacto'!$D$12),"Menor",IF(OR(L29='Tabla Impacto'!$C$13,L29='Tabla Impacto'!$D$13),"Moderado",IF(OR(L29='Tabla Impacto'!$C$14,L29='Tabla Impacto'!$D$14),"Mayor",IF(OR(L29='Tabla Impacto'!$C$15,L29='Tabla Impacto'!$D$15),"Catastrófico","")))))</f>
        <v>Moderado</v>
      </c>
      <c r="N29" s="221">
        <f t="shared" ca="1" si="1"/>
        <v>0.6</v>
      </c>
      <c r="O29" s="223" t="str">
        <f t="shared" ca="1" si="2"/>
        <v>Alto</v>
      </c>
      <c r="P29" s="216">
        <v>1</v>
      </c>
      <c r="Q29" s="224" t="s">
        <v>569</v>
      </c>
      <c r="R29" s="225" t="str">
        <f>IF(OR(S29="Preventivo",S29="Detectivo"),"Probabilidad",IF(S29="Correctivo","Impacto",""))</f>
        <v>Probabilidad</v>
      </c>
      <c r="S29" s="226" t="s">
        <v>14</v>
      </c>
      <c r="T29" s="226" t="s">
        <v>9</v>
      </c>
      <c r="U29" s="227" t="str">
        <f>IF(AND(S29="Preventivo",T29="Automático"),"50%",IF(AND(S29="Preventivo",T29="Manual"),"40%",IF(AND(S29="Detectivo",T29="Automático"),"40%",IF(AND(S29="Detectivo",T29="Manual"),"30%",IF(AND(S29="Correctivo",T29="Automático"),"35%",IF(AND(S29="Correctivo",T29="Manual"),"25%",""))))))</f>
        <v>40%</v>
      </c>
      <c r="V29" s="226" t="s">
        <v>19</v>
      </c>
      <c r="W29" s="226" t="s">
        <v>22</v>
      </c>
      <c r="X29" s="226" t="s">
        <v>118</v>
      </c>
      <c r="Y29" s="228">
        <f t="shared" si="4"/>
        <v>0.6</v>
      </c>
      <c r="Z29" s="229" t="str">
        <f t="shared" si="5"/>
        <v>Media</v>
      </c>
      <c r="AA29" s="227">
        <f t="shared" si="6"/>
        <v>0.6</v>
      </c>
      <c r="AB29" s="229" t="str">
        <f t="shared" ca="1" si="7"/>
        <v>Moderado</v>
      </c>
      <c r="AC29" s="227">
        <f t="shared" ca="1" si="8"/>
        <v>0.6</v>
      </c>
      <c r="AD29" s="230" t="str">
        <f t="shared" ca="1" si="9"/>
        <v>Moderado</v>
      </c>
      <c r="AE29" s="226" t="s">
        <v>31</v>
      </c>
      <c r="AF29" s="217"/>
      <c r="AG29" s="219"/>
      <c r="AH29" s="231"/>
      <c r="AI29" s="231"/>
      <c r="AJ29" s="217"/>
      <c r="AK29" s="219"/>
      <c r="AL29" s="208"/>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c r="BI29" s="208"/>
      <c r="BJ29" s="208"/>
      <c r="BK29" s="208"/>
      <c r="BL29" s="208"/>
      <c r="BM29" s="208"/>
      <c r="BN29" s="208"/>
      <c r="BO29" s="208"/>
      <c r="BP29" s="208"/>
      <c r="BQ29" s="208"/>
    </row>
    <row r="30" spans="1:69" ht="66" x14ac:dyDescent="0.25">
      <c r="A30" s="334"/>
      <c r="B30" s="336"/>
      <c r="C30" s="312"/>
      <c r="D30" s="312"/>
      <c r="E30" s="312"/>
      <c r="F30" s="328"/>
      <c r="G30" s="312"/>
      <c r="H30" s="233">
        <v>6300</v>
      </c>
      <c r="I30" s="220" t="str">
        <f t="shared" si="0"/>
        <v>Muy Alta</v>
      </c>
      <c r="J30" s="221">
        <f t="shared" si="10"/>
        <v>1</v>
      </c>
      <c r="K30" s="234" t="s">
        <v>153</v>
      </c>
      <c r="L30" s="221" t="str">
        <f t="shared" ref="L30" ca="1" si="19">IF(NOT(ISERROR(MATCH(K30,_xlfn.ANCHORARRAY(F41),0))),J43&amp;"Por favor no seleccionar los criterios de impacto",K30)</f>
        <v xml:space="preserve">     El riesgo afecta la imagen de la entidad con algunos usuarios de relevancia frente al logro de los objetivos</v>
      </c>
      <c r="M30" s="220" t="str">
        <f ca="1">IF(OR(L30='Tabla Impacto'!$C$11,L30='Tabla Impacto'!$D$11),"Leve",IF(OR(L30='Tabla Impacto'!$C$12,L30='Tabla Impacto'!$D$12),"Menor",IF(OR(L30='Tabla Impacto'!$C$13,L30='Tabla Impacto'!$D$13),"Moderado",IF(OR(L30='Tabla Impacto'!$C$14,L30='Tabla Impacto'!$D$14),"Mayor",IF(OR(L30='Tabla Impacto'!$C$15,L30='Tabla Impacto'!$D$15),"Catastrófico","")))))</f>
        <v>Moderado</v>
      </c>
      <c r="N30" s="221">
        <f t="shared" ca="1" si="1"/>
        <v>0.6</v>
      </c>
      <c r="O30" s="223" t="str">
        <f t="shared" ca="1" si="2"/>
        <v>Alto</v>
      </c>
      <c r="P30" s="216">
        <v>2</v>
      </c>
      <c r="Q30" s="224" t="s">
        <v>570</v>
      </c>
      <c r="R30" s="225" t="str">
        <f>IF(OR(S30="Preventivo",S30="Detectivo"),"Probabilidad",IF(S30="Correctivo","Impacto",""))</f>
        <v>Probabilidad</v>
      </c>
      <c r="S30" s="226" t="s">
        <v>15</v>
      </c>
      <c r="T30" s="226" t="s">
        <v>9</v>
      </c>
      <c r="U30" s="227" t="str">
        <f>IF(AND(S30="Preventivo",T30="Automático"),"50%",IF(AND(S30="Preventivo",T30="Manual"),"40%",IF(AND(S30="Detectivo",T30="Automático"),"40%",IF(AND(S30="Detectivo",T30="Manual"),"30%",IF(AND(S30="Correctivo",T30="Automático"),"35%",IF(AND(S30="Correctivo",T30="Manual"),"25%",""))))))</f>
        <v>30%</v>
      </c>
      <c r="V30" s="226" t="s">
        <v>19</v>
      </c>
      <c r="W30" s="226" t="s">
        <v>22</v>
      </c>
      <c r="X30" s="226" t="s">
        <v>118</v>
      </c>
      <c r="Y30" s="228">
        <f>IFERROR(IF(R30="Probabilidad",(J30-(+J30*U30)),IF(R30="Impacto",J30,"")),"")</f>
        <v>0.7</v>
      </c>
      <c r="Z30" s="229" t="str">
        <f>IFERROR(IF(Y30="","",IF(Y30&lt;=0.2,"Muy Baja",IF(Y30&lt;=0.4,"Baja",IF(Y30&lt;=0.6,"Media",IF(Y30&lt;=0.8,"Alta","Muy Alta"))))),"")</f>
        <v>Alta</v>
      </c>
      <c r="AA30" s="227">
        <f t="shared" si="6"/>
        <v>0.7</v>
      </c>
      <c r="AB30" s="229" t="str">
        <f ca="1">IFERROR(IF(AC30="","",IF(AC30&lt;=0.2,"Leve",IF(AC30&lt;=0.4,"Menor",IF(AC30&lt;=0.6,"Moderado",IF(AC30&lt;=0.8,"Mayor","Catastrófico"))))),"")</f>
        <v>Moderado</v>
      </c>
      <c r="AC30" s="227">
        <f ca="1">IFERROR(IF(R30="Impacto",(N30-(+N30*U30)),IF(R30="Probabilidad",N30,"")),"")</f>
        <v>0.6</v>
      </c>
      <c r="AD30" s="230" t="s">
        <v>80</v>
      </c>
      <c r="AE30" s="226" t="s">
        <v>31</v>
      </c>
      <c r="AF30" s="217"/>
      <c r="AG30" s="219"/>
      <c r="AH30" s="231"/>
      <c r="AI30" s="231"/>
      <c r="AJ30" s="217"/>
      <c r="AK30" s="219"/>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c r="BI30" s="208"/>
      <c r="BJ30" s="208"/>
      <c r="BK30" s="208"/>
      <c r="BL30" s="208"/>
      <c r="BM30" s="208"/>
      <c r="BN30" s="208"/>
      <c r="BO30" s="208"/>
      <c r="BP30" s="208"/>
      <c r="BQ30" s="208"/>
    </row>
    <row r="31" spans="1:69" ht="89.25" x14ac:dyDescent="0.25">
      <c r="A31" s="215" t="s">
        <v>567</v>
      </c>
      <c r="B31" s="216">
        <v>17</v>
      </c>
      <c r="C31" s="217" t="s">
        <v>131</v>
      </c>
      <c r="D31" s="217" t="s">
        <v>571</v>
      </c>
      <c r="E31" s="217" t="s">
        <v>677</v>
      </c>
      <c r="F31" s="218" t="s">
        <v>678</v>
      </c>
      <c r="G31" s="217" t="s">
        <v>122</v>
      </c>
      <c r="H31" s="219">
        <v>20</v>
      </c>
      <c r="I31" s="220" t="str">
        <f t="shared" si="0"/>
        <v>Baja</v>
      </c>
      <c r="J31" s="221">
        <f t="shared" si="10"/>
        <v>0.4</v>
      </c>
      <c r="K31" s="222" t="s">
        <v>152</v>
      </c>
      <c r="L31" s="221" t="str">
        <f t="shared" ca="1" si="18"/>
        <v xml:space="preserve">     El riesgo afecta la imagen de la entidad internamente, de conocimiento general, nivel interno, de junta dircetiva y accionistas y/o de provedores</v>
      </c>
      <c r="M31" s="220" t="str">
        <f ca="1">IF(OR(L31='Tabla Impacto'!$C$11,L31='Tabla Impacto'!$D$11),"Leve",IF(OR(L31='Tabla Impacto'!$C$12,L31='Tabla Impacto'!$D$12),"Menor",IF(OR(L31='Tabla Impacto'!$C$13,L31='Tabla Impacto'!$D$13),"Moderado",IF(OR(L31='Tabla Impacto'!$C$14,L31='Tabla Impacto'!$D$14),"Mayor",IF(OR(L31='Tabla Impacto'!$C$15,L31='Tabla Impacto'!$D$15),"Catastrófico","")))))</f>
        <v>Menor</v>
      </c>
      <c r="N31" s="221">
        <f t="shared" ca="1" si="1"/>
        <v>0.4</v>
      </c>
      <c r="O31" s="223" t="str">
        <f t="shared" ca="1" si="2"/>
        <v>Moderado</v>
      </c>
      <c r="P31" s="216">
        <v>1</v>
      </c>
      <c r="Q31" s="224" t="s">
        <v>679</v>
      </c>
      <c r="R31" s="225" t="str">
        <f t="shared" ref="R31:R33" si="20">IF(OR(S31="Preventivo",S31="Detectivo"),"Probabilidad",IF(S31="Correctivo","Impacto",""))</f>
        <v>Probabilidad</v>
      </c>
      <c r="S31" s="226" t="s">
        <v>14</v>
      </c>
      <c r="T31" s="226" t="s">
        <v>9</v>
      </c>
      <c r="U31" s="227" t="str">
        <f t="shared" ref="U31:U33" si="21">IF(AND(S31="Preventivo",T31="Automático"),"50%",IF(AND(S31="Preventivo",T31="Manual"),"40%",IF(AND(S31="Detectivo",T31="Automático"),"40%",IF(AND(S31="Detectivo",T31="Manual"),"30%",IF(AND(S31="Correctivo",T31="Automático"),"35%",IF(AND(S31="Correctivo",T31="Manual"),"25%",""))))))</f>
        <v>40%</v>
      </c>
      <c r="V31" s="226" t="s">
        <v>19</v>
      </c>
      <c r="W31" s="226" t="s">
        <v>22</v>
      </c>
      <c r="X31" s="226" t="s">
        <v>118</v>
      </c>
      <c r="Y31" s="228">
        <f t="shared" si="4"/>
        <v>0.24</v>
      </c>
      <c r="Z31" s="229" t="str">
        <f t="shared" si="5"/>
        <v>Baja</v>
      </c>
      <c r="AA31" s="227">
        <f t="shared" si="6"/>
        <v>0.24</v>
      </c>
      <c r="AB31" s="229" t="str">
        <f t="shared" ca="1" si="7"/>
        <v>Menor</v>
      </c>
      <c r="AC31" s="227">
        <f t="shared" ca="1" si="8"/>
        <v>0.4</v>
      </c>
      <c r="AD31" s="230" t="str">
        <f t="shared" ca="1" si="9"/>
        <v>Moderado</v>
      </c>
      <c r="AE31" s="226" t="s">
        <v>31</v>
      </c>
      <c r="AF31" s="217"/>
      <c r="AG31" s="219"/>
      <c r="AH31" s="231"/>
      <c r="AI31" s="231"/>
      <c r="AJ31" s="217"/>
      <c r="AK31" s="219"/>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row>
    <row r="32" spans="1:69" ht="132" customHeight="1" x14ac:dyDescent="0.25">
      <c r="A32" s="333" t="s">
        <v>567</v>
      </c>
      <c r="B32" s="335">
        <v>18</v>
      </c>
      <c r="C32" s="311" t="s">
        <v>131</v>
      </c>
      <c r="D32" s="311" t="s">
        <v>680</v>
      </c>
      <c r="E32" s="311" t="s">
        <v>681</v>
      </c>
      <c r="F32" s="327" t="s">
        <v>682</v>
      </c>
      <c r="G32" s="311" t="s">
        <v>122</v>
      </c>
      <c r="H32" s="219">
        <v>365</v>
      </c>
      <c r="I32" s="220" t="str">
        <f t="shared" si="0"/>
        <v>Media</v>
      </c>
      <c r="J32" s="221">
        <f t="shared" si="10"/>
        <v>0.6</v>
      </c>
      <c r="K32" s="222" t="s">
        <v>153</v>
      </c>
      <c r="L32" s="221" t="str">
        <f t="shared" ca="1" si="18"/>
        <v xml:space="preserve">     El riesgo afecta la imagen de la entidad con algunos usuarios de relevancia frente al logro de los objetivos</v>
      </c>
      <c r="M32" s="220" t="str">
        <f ca="1">IF(OR(L32='Tabla Impacto'!$C$11,L32='Tabla Impacto'!$D$11),"Leve",IF(OR(L32='Tabla Impacto'!$C$12,L32='Tabla Impacto'!$D$12),"Menor",IF(OR(L32='Tabla Impacto'!$C$13,L32='Tabla Impacto'!$D$13),"Moderado",IF(OR(L32='Tabla Impacto'!$C$14,L32='Tabla Impacto'!$D$14),"Mayor",IF(OR(L32='Tabla Impacto'!$C$15,L32='Tabla Impacto'!$D$15),"Catastrófico","")))))</f>
        <v>Moderado</v>
      </c>
      <c r="N32" s="221">
        <f t="shared" ca="1" si="1"/>
        <v>0.6</v>
      </c>
      <c r="O32" s="223" t="str">
        <f t="shared" ca="1" si="2"/>
        <v>Moderado</v>
      </c>
      <c r="P32" s="216">
        <v>1</v>
      </c>
      <c r="Q32" s="224" t="s">
        <v>572</v>
      </c>
      <c r="R32" s="225" t="str">
        <f>IF(OR(S32="Preventivo",S32="Detectivo"),"Probabilidad",IF(S32="Correctivo","Impacto",""))</f>
        <v>Probabilidad</v>
      </c>
      <c r="S32" s="226" t="s">
        <v>14</v>
      </c>
      <c r="T32" s="226" t="s">
        <v>9</v>
      </c>
      <c r="U32" s="227" t="str">
        <f t="shared" si="21"/>
        <v>40%</v>
      </c>
      <c r="V32" s="226" t="s">
        <v>19</v>
      </c>
      <c r="W32" s="226" t="s">
        <v>22</v>
      </c>
      <c r="X32" s="226" t="s">
        <v>118</v>
      </c>
      <c r="Y32" s="228">
        <f t="shared" si="4"/>
        <v>0.36</v>
      </c>
      <c r="Z32" s="229" t="str">
        <f t="shared" si="5"/>
        <v>Baja</v>
      </c>
      <c r="AA32" s="227">
        <f t="shared" si="6"/>
        <v>0.36</v>
      </c>
      <c r="AB32" s="229" t="str">
        <f t="shared" ca="1" si="7"/>
        <v>Moderado</v>
      </c>
      <c r="AC32" s="227">
        <f t="shared" ca="1" si="8"/>
        <v>0.6</v>
      </c>
      <c r="AD32" s="230" t="str">
        <f t="shared" ca="1" si="9"/>
        <v>Moderado</v>
      </c>
      <c r="AE32" s="226" t="s">
        <v>31</v>
      </c>
      <c r="AF32" s="217"/>
      <c r="AG32" s="219"/>
      <c r="AH32" s="231"/>
      <c r="AI32" s="231"/>
      <c r="AJ32" s="217"/>
      <c r="AK32" s="219"/>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c r="BI32" s="208"/>
      <c r="BJ32" s="208"/>
      <c r="BK32" s="208"/>
      <c r="BL32" s="208"/>
      <c r="BM32" s="208"/>
      <c r="BN32" s="208"/>
      <c r="BO32" s="208"/>
      <c r="BP32" s="208"/>
      <c r="BQ32" s="208"/>
    </row>
    <row r="33" spans="1:69" ht="76.5" x14ac:dyDescent="0.25">
      <c r="A33" s="334"/>
      <c r="B33" s="336"/>
      <c r="C33" s="312"/>
      <c r="D33" s="312"/>
      <c r="E33" s="312"/>
      <c r="F33" s="328"/>
      <c r="G33" s="312"/>
      <c r="H33" s="219">
        <v>365</v>
      </c>
      <c r="I33" s="220" t="str">
        <f t="shared" si="0"/>
        <v>Media</v>
      </c>
      <c r="J33" s="221">
        <f t="shared" si="10"/>
        <v>0.6</v>
      </c>
      <c r="K33" s="222" t="s">
        <v>153</v>
      </c>
      <c r="L33" s="221" t="str">
        <f t="shared" ca="1" si="18"/>
        <v xml:space="preserve">     El riesgo afecta la imagen de la entidad con algunos usuarios de relevancia frente al logro de los objetivos</v>
      </c>
      <c r="M33" s="220" t="str">
        <f ca="1">IF(OR(L33='Tabla Impacto'!$C$11,L33='Tabla Impacto'!$D$11),"Leve",IF(OR(L33='Tabla Impacto'!$C$12,L33='Tabla Impacto'!$D$12),"Menor",IF(OR(L33='Tabla Impacto'!$C$13,L33='Tabla Impacto'!$D$13),"Moderado",IF(OR(L33='Tabla Impacto'!$C$14,L33='Tabla Impacto'!$D$14),"Mayor",IF(OR(L33='Tabla Impacto'!$C$15,L33='Tabla Impacto'!$D$15),"Catastrófico","")))))</f>
        <v>Moderado</v>
      </c>
      <c r="N33" s="221">
        <f t="shared" ca="1" si="1"/>
        <v>0.6</v>
      </c>
      <c r="O33" s="223" t="str">
        <f t="shared" ca="1" si="2"/>
        <v>Moderado</v>
      </c>
      <c r="P33" s="216">
        <v>2</v>
      </c>
      <c r="Q33" s="224" t="s">
        <v>683</v>
      </c>
      <c r="R33" s="225" t="str">
        <f t="shared" si="20"/>
        <v>Probabilidad</v>
      </c>
      <c r="S33" s="226" t="s">
        <v>14</v>
      </c>
      <c r="T33" s="226" t="s">
        <v>9</v>
      </c>
      <c r="U33" s="227" t="str">
        <f t="shared" si="21"/>
        <v>40%</v>
      </c>
      <c r="V33" s="226" t="s">
        <v>19</v>
      </c>
      <c r="W33" s="226" t="s">
        <v>22</v>
      </c>
      <c r="X33" s="226" t="s">
        <v>118</v>
      </c>
      <c r="Y33" s="228">
        <f t="shared" si="4"/>
        <v>0.36</v>
      </c>
      <c r="Z33" s="229" t="str">
        <f t="shared" si="5"/>
        <v>Baja</v>
      </c>
      <c r="AA33" s="227">
        <f t="shared" si="6"/>
        <v>0.36</v>
      </c>
      <c r="AB33" s="229" t="str">
        <f t="shared" ca="1" si="7"/>
        <v>Moderado</v>
      </c>
      <c r="AC33" s="227">
        <f t="shared" ca="1" si="8"/>
        <v>0.6</v>
      </c>
      <c r="AD33" s="230" t="str">
        <f t="shared" ca="1" si="9"/>
        <v>Moderado</v>
      </c>
      <c r="AE33" s="226" t="s">
        <v>31</v>
      </c>
      <c r="AF33" s="217"/>
      <c r="AG33" s="219"/>
      <c r="AH33" s="231"/>
      <c r="AI33" s="231"/>
      <c r="AJ33" s="217"/>
      <c r="AK33" s="219"/>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c r="BI33" s="208"/>
      <c r="BJ33" s="208"/>
      <c r="BK33" s="208"/>
      <c r="BL33" s="208"/>
      <c r="BM33" s="208"/>
      <c r="BN33" s="208"/>
      <c r="BO33" s="208"/>
      <c r="BP33" s="208"/>
      <c r="BQ33" s="208"/>
    </row>
    <row r="34" spans="1:69" ht="148.5" customHeight="1" x14ac:dyDescent="0.25">
      <c r="A34" s="333" t="s">
        <v>567</v>
      </c>
      <c r="B34" s="335">
        <v>19</v>
      </c>
      <c r="C34" s="311" t="s">
        <v>131</v>
      </c>
      <c r="D34" s="311" t="s">
        <v>573</v>
      </c>
      <c r="E34" s="311" t="s">
        <v>681</v>
      </c>
      <c r="F34" s="327" t="s">
        <v>684</v>
      </c>
      <c r="G34" s="311" t="s">
        <v>122</v>
      </c>
      <c r="H34" s="219">
        <v>365</v>
      </c>
      <c r="I34" s="220" t="str">
        <f t="shared" si="0"/>
        <v>Media</v>
      </c>
      <c r="J34" s="221">
        <f t="shared" si="10"/>
        <v>0.6</v>
      </c>
      <c r="K34" s="222" t="s">
        <v>153</v>
      </c>
      <c r="L34" s="221" t="str">
        <f ca="1">IF(NOT(ISERROR(MATCH(K34,'Tabla Impacto'!$B$221:$B$223,0))),'Tabla Impacto'!$F$223&amp;"Por favor no seleccionar los criterios de impacto(Afectación Económica o presupuestal y Pérdida Reputacional)",K34)</f>
        <v xml:space="preserve">     El riesgo afecta la imagen de la entidad con algunos usuarios de relevancia frente al logro de los objetivos</v>
      </c>
      <c r="M34" s="220" t="str">
        <f ca="1">IF(OR(L34='Tabla Impacto'!$C$11,L34='Tabla Impacto'!$D$11),"Leve",IF(OR(L34='Tabla Impacto'!$C$12,L34='Tabla Impacto'!$D$12),"Menor",IF(OR(L34='Tabla Impacto'!$C$13,L34='Tabla Impacto'!$D$13),"Moderado",IF(OR(L34='Tabla Impacto'!$C$14,L34='Tabla Impacto'!$D$14),"Mayor",IF(OR(L34='Tabla Impacto'!$C$15,L34='Tabla Impacto'!$D$15),"Catastrófico","")))))</f>
        <v>Moderado</v>
      </c>
      <c r="N34" s="221">
        <f t="shared" ca="1" si="1"/>
        <v>0.6</v>
      </c>
      <c r="O34" s="223" t="str">
        <f t="shared" ca="1" si="2"/>
        <v>Moderado</v>
      </c>
      <c r="P34" s="216">
        <v>1</v>
      </c>
      <c r="Q34" s="224" t="s">
        <v>574</v>
      </c>
      <c r="R34" s="225" t="str">
        <f>IF(OR(S34="Preventivo",S34="Detectivo"),"Probabilidad",IF(S34="Correctivo","Impacto",""))</f>
        <v>Probabilidad</v>
      </c>
      <c r="S34" s="226" t="s">
        <v>14</v>
      </c>
      <c r="T34" s="226" t="s">
        <v>9</v>
      </c>
      <c r="U34" s="227" t="str">
        <f>IF(AND(S34="Preventivo",T34="Automático"),"50%",IF(AND(S34="Preventivo",T34="Manual"),"40%",IF(AND(S34="Detectivo",T34="Automático"),"40%",IF(AND(S34="Detectivo",T34="Manual"),"30%",IF(AND(S34="Correctivo",T34="Automático"),"35%",IF(AND(S34="Correctivo",T34="Manual"),"25%",""))))))</f>
        <v>40%</v>
      </c>
      <c r="V34" s="226" t="s">
        <v>19</v>
      </c>
      <c r="W34" s="226" t="s">
        <v>22</v>
      </c>
      <c r="X34" s="226" t="s">
        <v>118</v>
      </c>
      <c r="Y34" s="228">
        <f t="shared" si="4"/>
        <v>0.36</v>
      </c>
      <c r="Z34" s="229" t="str">
        <f t="shared" si="5"/>
        <v>Baja</v>
      </c>
      <c r="AA34" s="227">
        <f t="shared" si="6"/>
        <v>0.36</v>
      </c>
      <c r="AB34" s="229" t="str">
        <f t="shared" ca="1" si="7"/>
        <v>Moderado</v>
      </c>
      <c r="AC34" s="227">
        <f t="shared" ca="1" si="8"/>
        <v>0.6</v>
      </c>
      <c r="AD34" s="230" t="str">
        <f t="shared" ca="1" si="9"/>
        <v>Moderado</v>
      </c>
      <c r="AE34" s="226" t="s">
        <v>31</v>
      </c>
      <c r="AF34" s="217"/>
      <c r="AG34" s="219"/>
      <c r="AH34" s="231"/>
      <c r="AI34" s="231"/>
      <c r="AJ34" s="217"/>
      <c r="AK34" s="219"/>
      <c r="AL34" s="208"/>
      <c r="AM34" s="208"/>
      <c r="AN34" s="208"/>
      <c r="AO34" s="208"/>
      <c r="AP34" s="208"/>
      <c r="AQ34" s="208"/>
      <c r="AR34" s="208"/>
      <c r="AS34" s="208"/>
      <c r="AT34" s="208"/>
      <c r="AU34" s="208"/>
      <c r="AV34" s="208"/>
      <c r="AW34" s="208"/>
      <c r="AX34" s="208"/>
      <c r="AY34" s="208"/>
      <c r="AZ34" s="208"/>
      <c r="BA34" s="208"/>
      <c r="BB34" s="208"/>
      <c r="BC34" s="208"/>
      <c r="BD34" s="208"/>
      <c r="BE34" s="208"/>
      <c r="BF34" s="208"/>
      <c r="BG34" s="208"/>
      <c r="BH34" s="208"/>
      <c r="BI34" s="208"/>
      <c r="BJ34" s="208"/>
      <c r="BK34" s="208"/>
      <c r="BL34" s="208"/>
      <c r="BM34" s="208"/>
      <c r="BN34" s="208"/>
      <c r="BO34" s="208"/>
      <c r="BP34" s="208"/>
      <c r="BQ34" s="208"/>
    </row>
    <row r="35" spans="1:69" ht="76.5" x14ac:dyDescent="0.25">
      <c r="A35" s="334"/>
      <c r="B35" s="336"/>
      <c r="C35" s="312"/>
      <c r="D35" s="312"/>
      <c r="E35" s="312"/>
      <c r="F35" s="328"/>
      <c r="G35" s="312"/>
      <c r="H35" s="219">
        <v>365</v>
      </c>
      <c r="I35" s="220" t="str">
        <f t="shared" si="0"/>
        <v>Media</v>
      </c>
      <c r="J35" s="221">
        <f t="shared" si="10"/>
        <v>0.6</v>
      </c>
      <c r="K35" s="222" t="s">
        <v>153</v>
      </c>
      <c r="L35" s="221" t="str">
        <f t="shared" ref="L35:L39" ca="1" si="22">IF(NOT(ISERROR(MATCH(K35,_xlfn.ANCHORARRAY(F46),0))),J48&amp;"Por favor no seleccionar los criterios de impacto",K35)</f>
        <v xml:space="preserve">     El riesgo afecta la imagen de la entidad con algunos usuarios de relevancia frente al logro de los objetivos</v>
      </c>
      <c r="M35" s="220" t="str">
        <f ca="1">IF(OR(L35='Tabla Impacto'!$C$11,L35='Tabla Impacto'!$D$11),"Leve",IF(OR(L35='Tabla Impacto'!$C$12,L35='Tabla Impacto'!$D$12),"Menor",IF(OR(L35='Tabla Impacto'!$C$13,L35='Tabla Impacto'!$D$13),"Moderado",IF(OR(L35='Tabla Impacto'!$C$14,L35='Tabla Impacto'!$D$14),"Mayor",IF(OR(L35='Tabla Impacto'!$C$15,L35='Tabla Impacto'!$D$15),"Catastrófico","")))))</f>
        <v>Moderado</v>
      </c>
      <c r="N35" s="221">
        <f t="shared" ca="1" si="1"/>
        <v>0.6</v>
      </c>
      <c r="O35" s="223" t="str">
        <f t="shared" ca="1" si="2"/>
        <v>Moderado</v>
      </c>
      <c r="P35" s="216">
        <v>2</v>
      </c>
      <c r="Q35" s="224" t="s">
        <v>683</v>
      </c>
      <c r="R35" s="225" t="str">
        <f>IF(OR(S35="Preventivo",S35="Detectivo"),"Probabilidad",IF(S35="Correctivo","Impacto",""))</f>
        <v>Probabilidad</v>
      </c>
      <c r="S35" s="226" t="s">
        <v>14</v>
      </c>
      <c r="T35" s="226" t="s">
        <v>9</v>
      </c>
      <c r="U35" s="227" t="str">
        <f t="shared" ref="U35:U39" si="23">IF(AND(S35="Preventivo",T35="Automático"),"50%",IF(AND(S35="Preventivo",T35="Manual"),"40%",IF(AND(S35="Detectivo",T35="Automático"),"40%",IF(AND(S35="Detectivo",T35="Manual"),"30%",IF(AND(S35="Correctivo",T35="Automático"),"35%",IF(AND(S35="Correctivo",T35="Manual"),"25%",""))))))</f>
        <v>40%</v>
      </c>
      <c r="V35" s="226" t="s">
        <v>19</v>
      </c>
      <c r="W35" s="226" t="s">
        <v>22</v>
      </c>
      <c r="X35" s="226" t="s">
        <v>118</v>
      </c>
      <c r="Y35" s="228">
        <f t="shared" si="4"/>
        <v>0.36</v>
      </c>
      <c r="Z35" s="229" t="str">
        <f t="shared" si="5"/>
        <v>Baja</v>
      </c>
      <c r="AA35" s="227">
        <f t="shared" si="6"/>
        <v>0.36</v>
      </c>
      <c r="AB35" s="229" t="str">
        <f t="shared" ca="1" si="7"/>
        <v>Moderado</v>
      </c>
      <c r="AC35" s="227">
        <f t="shared" ca="1" si="8"/>
        <v>0.6</v>
      </c>
      <c r="AD35" s="230" t="str">
        <f t="shared" ca="1" si="9"/>
        <v>Moderado</v>
      </c>
      <c r="AE35" s="226" t="s">
        <v>31</v>
      </c>
      <c r="AF35" s="217"/>
      <c r="AG35" s="219"/>
      <c r="AH35" s="231"/>
      <c r="AI35" s="231"/>
      <c r="AJ35" s="217"/>
      <c r="AK35" s="219"/>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c r="BI35" s="208"/>
      <c r="BJ35" s="208"/>
      <c r="BK35" s="208"/>
      <c r="BL35" s="208"/>
      <c r="BM35" s="208"/>
      <c r="BN35" s="208"/>
      <c r="BO35" s="208"/>
      <c r="BP35" s="208"/>
      <c r="BQ35" s="208"/>
    </row>
    <row r="36" spans="1:69" ht="82.5" customHeight="1" x14ac:dyDescent="0.25">
      <c r="A36" s="333" t="s">
        <v>576</v>
      </c>
      <c r="B36" s="335">
        <v>20</v>
      </c>
      <c r="C36" s="311" t="s">
        <v>131</v>
      </c>
      <c r="D36" s="311" t="s">
        <v>577</v>
      </c>
      <c r="E36" s="311" t="s">
        <v>578</v>
      </c>
      <c r="F36" s="327" t="s">
        <v>575</v>
      </c>
      <c r="G36" s="311" t="s">
        <v>122</v>
      </c>
      <c r="H36" s="219">
        <v>800</v>
      </c>
      <c r="I36" s="220" t="str">
        <f t="shared" si="0"/>
        <v>Alta</v>
      </c>
      <c r="J36" s="221">
        <f t="shared" si="10"/>
        <v>0.8</v>
      </c>
      <c r="K36" s="222" t="s">
        <v>153</v>
      </c>
      <c r="L36" s="221" t="str">
        <f t="shared" ca="1" si="22"/>
        <v xml:space="preserve">     El riesgo afecta la imagen de la entidad con algunos usuarios de relevancia frente al logro de los objetivos</v>
      </c>
      <c r="M36" s="220" t="str">
        <f ca="1">IF(OR(L36='Tabla Impacto'!$C$11,L36='Tabla Impacto'!$D$11),"Leve",IF(OR(L36='Tabla Impacto'!$C$12,L36='Tabla Impacto'!$D$12),"Menor",IF(OR(L36='Tabla Impacto'!$C$13,L36='Tabla Impacto'!$D$13),"Moderado",IF(OR(L36='Tabla Impacto'!$C$14,L36='Tabla Impacto'!$D$14),"Mayor",IF(OR(L36='Tabla Impacto'!$C$15,L36='Tabla Impacto'!$D$15),"Catastrófico","")))))</f>
        <v>Moderado</v>
      </c>
      <c r="N36" s="221">
        <f t="shared" ca="1" si="1"/>
        <v>0.6</v>
      </c>
      <c r="O36" s="223" t="str">
        <f t="shared" ca="1" si="2"/>
        <v>Alto</v>
      </c>
      <c r="P36" s="216">
        <v>1</v>
      </c>
      <c r="Q36" s="224" t="s">
        <v>685</v>
      </c>
      <c r="R36" s="225" t="str">
        <f>IF(OR(S36="Preventivo",S36="Detectivo"),"Probabilidad",IF(S36="Correctivo","Impacto",""))</f>
        <v>Probabilidad</v>
      </c>
      <c r="S36" s="226" t="s">
        <v>15</v>
      </c>
      <c r="T36" s="226" t="s">
        <v>9</v>
      </c>
      <c r="U36" s="227" t="str">
        <f t="shared" si="23"/>
        <v>30%</v>
      </c>
      <c r="V36" s="226" t="s">
        <v>19</v>
      </c>
      <c r="W36" s="226" t="s">
        <v>22</v>
      </c>
      <c r="X36" s="226" t="s">
        <v>118</v>
      </c>
      <c r="Y36" s="228">
        <f t="shared" si="4"/>
        <v>0.56000000000000005</v>
      </c>
      <c r="Z36" s="229" t="str">
        <f t="shared" si="5"/>
        <v>Media</v>
      </c>
      <c r="AA36" s="227">
        <f t="shared" si="6"/>
        <v>0.56000000000000005</v>
      </c>
      <c r="AB36" s="229" t="str">
        <f t="shared" ca="1" si="7"/>
        <v>Moderado</v>
      </c>
      <c r="AC36" s="227">
        <f t="shared" ca="1" si="8"/>
        <v>0.6</v>
      </c>
      <c r="AD36" s="230" t="str">
        <f t="shared" ca="1" si="9"/>
        <v>Moderado</v>
      </c>
      <c r="AE36" s="226" t="s">
        <v>31</v>
      </c>
      <c r="AF36" s="217"/>
      <c r="AG36" s="219"/>
      <c r="AH36" s="231"/>
      <c r="AI36" s="231"/>
      <c r="AJ36" s="217"/>
      <c r="AK36" s="219"/>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c r="BI36" s="208"/>
      <c r="BJ36" s="208"/>
      <c r="BK36" s="208"/>
      <c r="BL36" s="208"/>
      <c r="BM36" s="208"/>
      <c r="BN36" s="208"/>
      <c r="BO36" s="208"/>
      <c r="BP36" s="208"/>
      <c r="BQ36" s="208"/>
    </row>
    <row r="37" spans="1:69" ht="66" x14ac:dyDescent="0.25">
      <c r="A37" s="334"/>
      <c r="B37" s="336"/>
      <c r="C37" s="312"/>
      <c r="D37" s="312"/>
      <c r="E37" s="312"/>
      <c r="F37" s="328"/>
      <c r="G37" s="312"/>
      <c r="H37" s="219">
        <v>800</v>
      </c>
      <c r="I37" s="220" t="str">
        <f t="shared" si="0"/>
        <v>Alta</v>
      </c>
      <c r="J37" s="221">
        <f t="shared" si="10"/>
        <v>0.8</v>
      </c>
      <c r="K37" s="222" t="s">
        <v>153</v>
      </c>
      <c r="L37" s="221" t="str">
        <f t="shared" ca="1" si="22"/>
        <v xml:space="preserve">     El riesgo afecta la imagen de la entidad con algunos usuarios de relevancia frente al logro de los objetivos</v>
      </c>
      <c r="M37" s="220" t="str">
        <f ca="1">IF(OR(L37='Tabla Impacto'!$C$11,L37='Tabla Impacto'!$D$11),"Leve",IF(OR(L37='Tabla Impacto'!$C$12,L37='Tabla Impacto'!$D$12),"Menor",IF(OR(L37='Tabla Impacto'!$C$13,L37='Tabla Impacto'!$D$13),"Moderado",IF(OR(L37='Tabla Impacto'!$C$14,L37='Tabla Impacto'!$D$14),"Mayor",IF(OR(L37='Tabla Impacto'!$C$15,L37='Tabla Impacto'!$D$15),"Catastrófico","")))))</f>
        <v>Moderado</v>
      </c>
      <c r="N37" s="221">
        <f t="shared" ca="1" si="1"/>
        <v>0.6</v>
      </c>
      <c r="O37" s="223" t="str">
        <f t="shared" ca="1" si="2"/>
        <v>Alto</v>
      </c>
      <c r="P37" s="216">
        <v>2</v>
      </c>
      <c r="Q37" s="224" t="s">
        <v>686</v>
      </c>
      <c r="R37" s="225" t="str">
        <f t="shared" ref="R37:R39" si="24">IF(OR(S37="Preventivo",S37="Detectivo"),"Probabilidad",IF(S37="Correctivo","Impacto",""))</f>
        <v>Probabilidad</v>
      </c>
      <c r="S37" s="226" t="s">
        <v>14</v>
      </c>
      <c r="T37" s="226" t="s">
        <v>9</v>
      </c>
      <c r="U37" s="227" t="str">
        <f t="shared" si="23"/>
        <v>40%</v>
      </c>
      <c r="V37" s="226" t="s">
        <v>19</v>
      </c>
      <c r="W37" s="226" t="s">
        <v>22</v>
      </c>
      <c r="X37" s="226" t="s">
        <v>118</v>
      </c>
      <c r="Y37" s="228">
        <f t="shared" si="4"/>
        <v>0.48</v>
      </c>
      <c r="Z37" s="229" t="str">
        <f t="shared" si="5"/>
        <v>Media</v>
      </c>
      <c r="AA37" s="227">
        <f t="shared" si="6"/>
        <v>0.48</v>
      </c>
      <c r="AB37" s="229" t="str">
        <f t="shared" ca="1" si="7"/>
        <v>Moderado</v>
      </c>
      <c r="AC37" s="227">
        <f t="shared" ca="1" si="8"/>
        <v>0.6</v>
      </c>
      <c r="AD37" s="230" t="str">
        <f t="shared" ca="1" si="9"/>
        <v>Moderado</v>
      </c>
      <c r="AE37" s="226" t="s">
        <v>31</v>
      </c>
      <c r="AF37" s="217"/>
      <c r="AG37" s="219"/>
      <c r="AH37" s="231"/>
      <c r="AI37" s="231"/>
      <c r="AJ37" s="217"/>
      <c r="AK37" s="219"/>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c r="BI37" s="208"/>
      <c r="BJ37" s="208"/>
      <c r="BK37" s="208"/>
      <c r="BL37" s="208"/>
      <c r="BM37" s="208"/>
      <c r="BN37" s="208"/>
      <c r="BO37" s="208"/>
      <c r="BP37" s="208"/>
      <c r="BQ37" s="208"/>
    </row>
    <row r="38" spans="1:69" ht="82.5" x14ac:dyDescent="0.25">
      <c r="A38" s="215" t="s">
        <v>576</v>
      </c>
      <c r="B38" s="216">
        <v>21</v>
      </c>
      <c r="C38" s="217" t="s">
        <v>131</v>
      </c>
      <c r="D38" s="217" t="s">
        <v>580</v>
      </c>
      <c r="E38" s="217" t="s">
        <v>581</v>
      </c>
      <c r="F38" s="218" t="s">
        <v>579</v>
      </c>
      <c r="G38" s="217" t="s">
        <v>122</v>
      </c>
      <c r="H38" s="219">
        <v>600</v>
      </c>
      <c r="I38" s="220" t="str">
        <f t="shared" si="0"/>
        <v>Alta</v>
      </c>
      <c r="J38" s="221">
        <f t="shared" si="10"/>
        <v>0.8</v>
      </c>
      <c r="K38" s="222" t="s">
        <v>153</v>
      </c>
      <c r="L38" s="221" t="str">
        <f t="shared" ca="1" si="22"/>
        <v xml:space="preserve">     El riesgo afecta la imagen de la entidad con algunos usuarios de relevancia frente al logro de los objetivos</v>
      </c>
      <c r="M38" s="220" t="str">
        <f ca="1">IF(OR(L38='Tabla Impacto'!$C$11,L38='Tabla Impacto'!$D$11),"Leve",IF(OR(L38='Tabla Impacto'!$C$12,L38='Tabla Impacto'!$D$12),"Menor",IF(OR(L38='Tabla Impacto'!$C$13,L38='Tabla Impacto'!$D$13),"Moderado",IF(OR(L38='Tabla Impacto'!$C$14,L38='Tabla Impacto'!$D$14),"Mayor",IF(OR(L38='Tabla Impacto'!$C$15,L38='Tabla Impacto'!$D$15),"Catastrófico","")))))</f>
        <v>Moderado</v>
      </c>
      <c r="N38" s="221">
        <f t="shared" ca="1" si="1"/>
        <v>0.6</v>
      </c>
      <c r="O38" s="223" t="str">
        <f t="shared" ca="1" si="2"/>
        <v>Alto</v>
      </c>
      <c r="P38" s="216">
        <v>1</v>
      </c>
      <c r="Q38" s="224" t="s">
        <v>582</v>
      </c>
      <c r="R38" s="225" t="str">
        <f t="shared" si="24"/>
        <v>Probabilidad</v>
      </c>
      <c r="S38" s="226" t="s">
        <v>14</v>
      </c>
      <c r="T38" s="226" t="s">
        <v>9</v>
      </c>
      <c r="U38" s="227" t="str">
        <f t="shared" si="23"/>
        <v>40%</v>
      </c>
      <c r="V38" s="226" t="s">
        <v>19</v>
      </c>
      <c r="W38" s="226" t="s">
        <v>22</v>
      </c>
      <c r="X38" s="226" t="s">
        <v>118</v>
      </c>
      <c r="Y38" s="228">
        <f t="shared" si="4"/>
        <v>0.48</v>
      </c>
      <c r="Z38" s="229" t="str">
        <f t="shared" si="5"/>
        <v>Media</v>
      </c>
      <c r="AA38" s="227">
        <f t="shared" si="6"/>
        <v>0.48</v>
      </c>
      <c r="AB38" s="229" t="str">
        <f t="shared" ca="1" si="7"/>
        <v>Moderado</v>
      </c>
      <c r="AC38" s="227">
        <f t="shared" ca="1" si="8"/>
        <v>0.6</v>
      </c>
      <c r="AD38" s="230" t="str">
        <f t="shared" ca="1" si="9"/>
        <v>Moderado</v>
      </c>
      <c r="AE38" s="226" t="s">
        <v>31</v>
      </c>
      <c r="AF38" s="217"/>
      <c r="AG38" s="219"/>
      <c r="AH38" s="231"/>
      <c r="AI38" s="231"/>
      <c r="AJ38" s="217"/>
      <c r="AK38" s="219"/>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c r="BI38" s="208"/>
      <c r="BJ38" s="208"/>
      <c r="BK38" s="208"/>
      <c r="BL38" s="208"/>
      <c r="BM38" s="208"/>
      <c r="BN38" s="208"/>
      <c r="BO38" s="208"/>
      <c r="BP38" s="208"/>
      <c r="BQ38" s="208"/>
    </row>
    <row r="39" spans="1:69" ht="99" x14ac:dyDescent="0.25">
      <c r="A39" s="215" t="s">
        <v>576</v>
      </c>
      <c r="B39" s="216">
        <v>22</v>
      </c>
      <c r="C39" s="217" t="s">
        <v>131</v>
      </c>
      <c r="D39" s="217" t="s">
        <v>583</v>
      </c>
      <c r="E39" s="217" t="s">
        <v>584</v>
      </c>
      <c r="F39" s="218" t="s">
        <v>687</v>
      </c>
      <c r="G39" s="217" t="s">
        <v>122</v>
      </c>
      <c r="H39" s="219">
        <v>1</v>
      </c>
      <c r="I39" s="220" t="str">
        <f t="shared" si="0"/>
        <v>Muy Baja</v>
      </c>
      <c r="J39" s="221">
        <f t="shared" si="10"/>
        <v>0.2</v>
      </c>
      <c r="K39" s="222" t="s">
        <v>152</v>
      </c>
      <c r="L39" s="221" t="str">
        <f t="shared" ca="1" si="22"/>
        <v xml:space="preserve">     El riesgo afecta la imagen de la entidad internamente, de conocimiento general, nivel interno, de junta dircetiva y accionistas y/o de provedores</v>
      </c>
      <c r="M39" s="220" t="str">
        <f ca="1">IF(OR(L39='Tabla Impacto'!$C$11,L39='Tabla Impacto'!$D$11),"Leve",IF(OR(L39='Tabla Impacto'!$C$12,L39='Tabla Impacto'!$D$12),"Menor",IF(OR(L39='Tabla Impacto'!$C$13,L39='Tabla Impacto'!$D$13),"Moderado",IF(OR(L39='Tabla Impacto'!$C$14,L39='Tabla Impacto'!$D$14),"Mayor",IF(OR(L39='Tabla Impacto'!$C$15,L39='Tabla Impacto'!$D$15),"Catastrófico","")))))</f>
        <v>Menor</v>
      </c>
      <c r="N39" s="221">
        <f t="shared" ca="1" si="1"/>
        <v>0.4</v>
      </c>
      <c r="O39" s="223" t="str">
        <f t="shared" ca="1" si="2"/>
        <v>Bajo</v>
      </c>
      <c r="P39" s="216">
        <v>1</v>
      </c>
      <c r="Q39" s="224" t="s">
        <v>585</v>
      </c>
      <c r="R39" s="225" t="str">
        <f t="shared" si="24"/>
        <v>Probabilidad</v>
      </c>
      <c r="S39" s="226" t="s">
        <v>14</v>
      </c>
      <c r="T39" s="226" t="s">
        <v>9</v>
      </c>
      <c r="U39" s="227" t="str">
        <f t="shared" si="23"/>
        <v>40%</v>
      </c>
      <c r="V39" s="226" t="s">
        <v>19</v>
      </c>
      <c r="W39" s="226" t="s">
        <v>23</v>
      </c>
      <c r="X39" s="226" t="s">
        <v>118</v>
      </c>
      <c r="Y39" s="228">
        <f t="shared" si="4"/>
        <v>0.12</v>
      </c>
      <c r="Z39" s="229" t="str">
        <f t="shared" si="5"/>
        <v>Muy Baja</v>
      </c>
      <c r="AA39" s="227">
        <f t="shared" si="6"/>
        <v>0.12</v>
      </c>
      <c r="AB39" s="229" t="str">
        <f t="shared" ca="1" si="7"/>
        <v>Menor</v>
      </c>
      <c r="AC39" s="227">
        <f t="shared" ca="1" si="8"/>
        <v>0.4</v>
      </c>
      <c r="AD39" s="230" t="str">
        <f t="shared" ca="1" si="9"/>
        <v>Bajo</v>
      </c>
      <c r="AE39" s="226" t="s">
        <v>31</v>
      </c>
      <c r="AF39" s="217"/>
      <c r="AG39" s="219"/>
      <c r="AH39" s="231"/>
      <c r="AI39" s="231"/>
      <c r="AJ39" s="217"/>
      <c r="AK39" s="219"/>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c r="BI39" s="208"/>
      <c r="BJ39" s="208"/>
      <c r="BK39" s="208"/>
      <c r="BL39" s="208"/>
      <c r="BM39" s="208"/>
      <c r="BN39" s="208"/>
      <c r="BO39" s="208"/>
      <c r="BP39" s="208"/>
      <c r="BQ39" s="208"/>
    </row>
    <row r="40" spans="1:69" ht="99" customHeight="1" x14ac:dyDescent="0.25">
      <c r="A40" s="339" t="s">
        <v>587</v>
      </c>
      <c r="B40" s="337">
        <v>23</v>
      </c>
      <c r="C40" s="313" t="s">
        <v>133</v>
      </c>
      <c r="D40" s="313" t="s">
        <v>588</v>
      </c>
      <c r="E40" s="313" t="s">
        <v>589</v>
      </c>
      <c r="F40" s="313" t="s">
        <v>586</v>
      </c>
      <c r="G40" s="313" t="s">
        <v>122</v>
      </c>
      <c r="H40" s="238">
        <v>48</v>
      </c>
      <c r="I40" s="239" t="str">
        <f t="shared" si="0"/>
        <v>Media</v>
      </c>
      <c r="J40" s="240">
        <f t="shared" si="10"/>
        <v>0.6</v>
      </c>
      <c r="K40" s="241" t="s">
        <v>154</v>
      </c>
      <c r="L40" s="240" t="str">
        <f ca="1">IF(NOT(ISERROR(MATCH(K40,'Tabla Impacto'!$B$221:$B$223,0))),'Tabla Impacto'!$F$223&amp;"Por favor no seleccionar los criterios de impacto(Afectación Económica o presupuestal y Pérdida Reputacional)",K40)</f>
        <v xml:space="preserve">     El riesgo afecta la imagen de de la entidad con efecto publicitario sostenido a nivel de sector administrativo, nivel departamental o municipal</v>
      </c>
      <c r="M40" s="239" t="str">
        <f ca="1">IF(OR(L40='Tabla Impacto'!$C$11,L40='Tabla Impacto'!$D$11),"Leve",IF(OR(L40='Tabla Impacto'!$C$12,L40='Tabla Impacto'!$D$12),"Menor",IF(OR(L40='Tabla Impacto'!$C$13,L40='Tabla Impacto'!$D$13),"Moderado",IF(OR(L40='Tabla Impacto'!$C$14,L40='Tabla Impacto'!$D$14),"Mayor",IF(OR(L40='Tabla Impacto'!$C$15,L40='Tabla Impacto'!$D$15),"Catastrófico","")))))</f>
        <v>Mayor</v>
      </c>
      <c r="N40" s="240">
        <f t="shared" ca="1" si="1"/>
        <v>0.8</v>
      </c>
      <c r="O40" s="242" t="str">
        <f t="shared" ca="1" si="2"/>
        <v>Alto</v>
      </c>
      <c r="P40" s="243">
        <v>1</v>
      </c>
      <c r="Q40" s="256" t="s">
        <v>592</v>
      </c>
      <c r="R40" s="245" t="str">
        <f>IF(OR(S40="Preventivo",S40="Detectivo"),"Probabilidad",IF(S40="Correctivo","Impacto",""))</f>
        <v>Probabilidad</v>
      </c>
      <c r="S40" s="246" t="s">
        <v>14</v>
      </c>
      <c r="T40" s="246" t="s">
        <v>9</v>
      </c>
      <c r="U40" s="247" t="str">
        <f>IF(AND(S40="Preventivo",T40="Automático"),"50%",IF(AND(S40="Preventivo",T40="Manual"),"40%",IF(AND(S40="Detectivo",T40="Automático"),"40%",IF(AND(S40="Detectivo",T40="Manual"),"30%",IF(AND(S40="Correctivo",T40="Automático"),"35%",IF(AND(S40="Correctivo",T40="Manual"),"25%",""))))))</f>
        <v>40%</v>
      </c>
      <c r="V40" s="246" t="s">
        <v>19</v>
      </c>
      <c r="W40" s="246" t="s">
        <v>23</v>
      </c>
      <c r="X40" s="246" t="s">
        <v>118</v>
      </c>
      <c r="Y40" s="248">
        <f t="shared" si="4"/>
        <v>0.36</v>
      </c>
      <c r="Z40" s="249" t="str">
        <f t="shared" si="5"/>
        <v>Baja</v>
      </c>
      <c r="AA40" s="247">
        <f t="shared" si="6"/>
        <v>0.36</v>
      </c>
      <c r="AB40" s="249" t="str">
        <f t="shared" ca="1" si="7"/>
        <v>Mayor</v>
      </c>
      <c r="AC40" s="247">
        <f t="shared" ca="1" si="8"/>
        <v>0.8</v>
      </c>
      <c r="AD40" s="250" t="str">
        <f t="shared" ca="1" si="9"/>
        <v>Alto</v>
      </c>
      <c r="AE40" s="246" t="s">
        <v>135</v>
      </c>
      <c r="AF40" s="309" t="s">
        <v>632</v>
      </c>
      <c r="AG40" s="217" t="s">
        <v>629</v>
      </c>
      <c r="AH40" s="231">
        <v>45000</v>
      </c>
      <c r="AI40" s="231">
        <v>45057</v>
      </c>
      <c r="AJ40" s="237" t="s">
        <v>630</v>
      </c>
      <c r="AK40" s="219" t="s">
        <v>41</v>
      </c>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c r="BI40" s="208"/>
      <c r="BJ40" s="208"/>
      <c r="BK40" s="208"/>
      <c r="BL40" s="208"/>
      <c r="BM40" s="208"/>
      <c r="BN40" s="208"/>
      <c r="BO40" s="208"/>
      <c r="BP40" s="208"/>
      <c r="BQ40" s="208"/>
    </row>
    <row r="41" spans="1:69" ht="89.25" x14ac:dyDescent="0.25">
      <c r="A41" s="340"/>
      <c r="B41" s="338"/>
      <c r="C41" s="314"/>
      <c r="D41" s="314"/>
      <c r="E41" s="314"/>
      <c r="F41" s="314"/>
      <c r="G41" s="314"/>
      <c r="H41" s="238">
        <v>48</v>
      </c>
      <c r="I41" s="239" t="str">
        <f t="shared" si="0"/>
        <v>Media</v>
      </c>
      <c r="J41" s="240">
        <f t="shared" si="10"/>
        <v>0.6</v>
      </c>
      <c r="K41" s="241" t="s">
        <v>154</v>
      </c>
      <c r="L41" s="240" t="str">
        <f t="shared" ref="L41:L45" ca="1" si="25">IF(NOT(ISERROR(MATCH(K41,_xlfn.ANCHORARRAY(F52),0))),J54&amp;"Por favor no seleccionar los criterios de impacto",K41)</f>
        <v xml:space="preserve">     El riesgo afecta la imagen de de la entidad con efecto publicitario sostenido a nivel de sector administrativo, nivel departamental o municipal</v>
      </c>
      <c r="M41" s="239" t="str">
        <f ca="1">IF(OR(L41='Tabla Impacto'!$C$11,L41='Tabla Impacto'!$D$11),"Leve",IF(OR(L41='Tabla Impacto'!$C$12,L41='Tabla Impacto'!$D$12),"Menor",IF(OR(L41='Tabla Impacto'!$C$13,L41='Tabla Impacto'!$D$13),"Moderado",IF(OR(L41='Tabla Impacto'!$C$14,L41='Tabla Impacto'!$D$14),"Mayor",IF(OR(L41='Tabla Impacto'!$C$15,L41='Tabla Impacto'!$D$15),"Catastrófico","")))))</f>
        <v>Mayor</v>
      </c>
      <c r="N41" s="240">
        <f t="shared" ca="1" si="1"/>
        <v>0.8</v>
      </c>
      <c r="O41" s="242" t="str">
        <f t="shared" ca="1" si="2"/>
        <v>Alto</v>
      </c>
      <c r="P41" s="243">
        <v>2</v>
      </c>
      <c r="Q41" s="256" t="s">
        <v>593</v>
      </c>
      <c r="R41" s="245" t="str">
        <f>IF(OR(S41="Preventivo",S41="Detectivo"),"Probabilidad",IF(S41="Correctivo","Impacto",""))</f>
        <v>Probabilidad</v>
      </c>
      <c r="S41" s="246" t="s">
        <v>14</v>
      </c>
      <c r="T41" s="246" t="s">
        <v>9</v>
      </c>
      <c r="U41" s="247" t="str">
        <f t="shared" ref="U41:U45" si="26">IF(AND(S41="Preventivo",T41="Automático"),"50%",IF(AND(S41="Preventivo",T41="Manual"),"40%",IF(AND(S41="Detectivo",T41="Automático"),"40%",IF(AND(S41="Detectivo",T41="Manual"),"30%",IF(AND(S41="Correctivo",T41="Automático"),"35%",IF(AND(S41="Correctivo",T41="Manual"),"25%",""))))))</f>
        <v>40%</v>
      </c>
      <c r="V41" s="246" t="s">
        <v>19</v>
      </c>
      <c r="W41" s="246" t="s">
        <v>23</v>
      </c>
      <c r="X41" s="246" t="s">
        <v>118</v>
      </c>
      <c r="Y41" s="248">
        <f t="shared" si="4"/>
        <v>0.36</v>
      </c>
      <c r="Z41" s="249" t="str">
        <f t="shared" si="5"/>
        <v>Baja</v>
      </c>
      <c r="AA41" s="247">
        <f t="shared" si="6"/>
        <v>0.36</v>
      </c>
      <c r="AB41" s="249" t="str">
        <f t="shared" ca="1" si="7"/>
        <v>Mayor</v>
      </c>
      <c r="AC41" s="247">
        <f t="shared" ca="1" si="8"/>
        <v>0.8</v>
      </c>
      <c r="AD41" s="250" t="str">
        <f t="shared" ca="1" si="9"/>
        <v>Alto</v>
      </c>
      <c r="AE41" s="246" t="s">
        <v>135</v>
      </c>
      <c r="AF41" s="310"/>
      <c r="AG41" s="217" t="s">
        <v>629</v>
      </c>
      <c r="AH41" s="231">
        <v>45000</v>
      </c>
      <c r="AI41" s="231">
        <v>45057</v>
      </c>
      <c r="AJ41" s="237" t="s">
        <v>631</v>
      </c>
      <c r="AK41" s="219" t="s">
        <v>41</v>
      </c>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c r="BI41" s="208"/>
      <c r="BJ41" s="208"/>
      <c r="BK41" s="208"/>
      <c r="BL41" s="208"/>
      <c r="BM41" s="208"/>
      <c r="BN41" s="208"/>
      <c r="BO41" s="208"/>
      <c r="BP41" s="208"/>
      <c r="BQ41" s="208"/>
    </row>
    <row r="42" spans="1:69" ht="82.5" x14ac:dyDescent="0.25">
      <c r="A42" s="339" t="s">
        <v>587</v>
      </c>
      <c r="B42" s="337">
        <v>24</v>
      </c>
      <c r="C42" s="313" t="s">
        <v>131</v>
      </c>
      <c r="D42" s="313" t="s">
        <v>688</v>
      </c>
      <c r="E42" s="313" t="s">
        <v>590</v>
      </c>
      <c r="F42" s="313" t="s">
        <v>689</v>
      </c>
      <c r="G42" s="313" t="s">
        <v>122</v>
      </c>
      <c r="H42" s="238">
        <v>48</v>
      </c>
      <c r="I42" s="239" t="str">
        <f t="shared" si="0"/>
        <v>Media</v>
      </c>
      <c r="J42" s="240">
        <f t="shared" si="10"/>
        <v>0.6</v>
      </c>
      <c r="K42" s="241" t="s">
        <v>154</v>
      </c>
      <c r="L42" s="240" t="str">
        <f t="shared" ca="1" si="25"/>
        <v xml:space="preserve">     El riesgo afecta la imagen de de la entidad con efecto publicitario sostenido a nivel de sector administrativo, nivel departamental o municipal</v>
      </c>
      <c r="M42" s="239" t="str">
        <f ca="1">IF(OR(L42='Tabla Impacto'!$C$11,L42='Tabla Impacto'!$D$11),"Leve",IF(OR(L42='Tabla Impacto'!$C$12,L42='Tabla Impacto'!$D$12),"Menor",IF(OR(L42='Tabla Impacto'!$C$13,L42='Tabla Impacto'!$D$13),"Moderado",IF(OR(L42='Tabla Impacto'!$C$14,L42='Tabla Impacto'!$D$14),"Mayor",IF(OR(L42='Tabla Impacto'!$C$15,L42='Tabla Impacto'!$D$15),"Catastrófico","")))))</f>
        <v>Mayor</v>
      </c>
      <c r="N42" s="240">
        <f t="shared" ca="1" si="1"/>
        <v>0.8</v>
      </c>
      <c r="O42" s="242" t="str">
        <f t="shared" ca="1" si="2"/>
        <v>Alto</v>
      </c>
      <c r="P42" s="243">
        <v>1</v>
      </c>
      <c r="Q42" s="244" t="s">
        <v>592</v>
      </c>
      <c r="R42" s="245" t="str">
        <f>IF(OR(S42="Preventivo",S42="Detectivo"),"Probabilidad",IF(S42="Correctivo","Impacto",""))</f>
        <v>Probabilidad</v>
      </c>
      <c r="S42" s="246" t="s">
        <v>14</v>
      </c>
      <c r="T42" s="246" t="s">
        <v>9</v>
      </c>
      <c r="U42" s="247" t="str">
        <f t="shared" si="26"/>
        <v>40%</v>
      </c>
      <c r="V42" s="246" t="s">
        <v>19</v>
      </c>
      <c r="W42" s="246" t="s">
        <v>23</v>
      </c>
      <c r="X42" s="246" t="s">
        <v>118</v>
      </c>
      <c r="Y42" s="248">
        <f t="shared" si="4"/>
        <v>0.36</v>
      </c>
      <c r="Z42" s="249" t="str">
        <f t="shared" si="5"/>
        <v>Baja</v>
      </c>
      <c r="AA42" s="247">
        <f t="shared" si="6"/>
        <v>0.36</v>
      </c>
      <c r="AB42" s="249" t="str">
        <f t="shared" ca="1" si="7"/>
        <v>Mayor</v>
      </c>
      <c r="AC42" s="247">
        <f t="shared" ca="1" si="8"/>
        <v>0.8</v>
      </c>
      <c r="AD42" s="250" t="str">
        <f t="shared" ca="1" si="9"/>
        <v>Alto</v>
      </c>
      <c r="AE42" s="246" t="s">
        <v>135</v>
      </c>
      <c r="AF42" s="311" t="s">
        <v>639</v>
      </c>
      <c r="AG42" s="219" t="s">
        <v>635</v>
      </c>
      <c r="AH42" s="231">
        <v>45000</v>
      </c>
      <c r="AI42" s="231">
        <v>45057</v>
      </c>
      <c r="AJ42" s="237" t="s">
        <v>637</v>
      </c>
      <c r="AK42" s="219" t="s">
        <v>41</v>
      </c>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c r="BI42" s="208"/>
      <c r="BJ42" s="208"/>
      <c r="BK42" s="208"/>
      <c r="BL42" s="208"/>
      <c r="BM42" s="208"/>
      <c r="BN42" s="208"/>
      <c r="BO42" s="208"/>
      <c r="BP42" s="208"/>
      <c r="BQ42" s="208"/>
    </row>
    <row r="43" spans="1:69" ht="89.25" x14ac:dyDescent="0.25">
      <c r="A43" s="340"/>
      <c r="B43" s="338"/>
      <c r="C43" s="314"/>
      <c r="D43" s="314"/>
      <c r="E43" s="314"/>
      <c r="F43" s="314"/>
      <c r="G43" s="314"/>
      <c r="H43" s="238">
        <v>48</v>
      </c>
      <c r="I43" s="239" t="str">
        <f t="shared" si="0"/>
        <v>Media</v>
      </c>
      <c r="J43" s="240">
        <f t="shared" si="10"/>
        <v>0.6</v>
      </c>
      <c r="K43" s="241" t="s">
        <v>154</v>
      </c>
      <c r="L43" s="240" t="str">
        <f t="shared" ca="1" si="25"/>
        <v xml:space="preserve">     El riesgo afecta la imagen de de la entidad con efecto publicitario sostenido a nivel de sector administrativo, nivel departamental o municipal</v>
      </c>
      <c r="M43" s="239" t="str">
        <f ca="1">IF(OR(L43='Tabla Impacto'!$C$11,L43='Tabla Impacto'!$D$11),"Leve",IF(OR(L43='Tabla Impacto'!$C$12,L43='Tabla Impacto'!$D$12),"Menor",IF(OR(L43='Tabla Impacto'!$C$13,L43='Tabla Impacto'!$D$13),"Moderado",IF(OR(L43='Tabla Impacto'!$C$14,L43='Tabla Impacto'!$D$14),"Mayor",IF(OR(L43='Tabla Impacto'!$C$15,L43='Tabla Impacto'!$D$15),"Catastrófico","")))))</f>
        <v>Mayor</v>
      </c>
      <c r="N43" s="240">
        <f t="shared" ca="1" si="1"/>
        <v>0.8</v>
      </c>
      <c r="O43" s="242" t="str">
        <f t="shared" ca="1" si="2"/>
        <v>Alto</v>
      </c>
      <c r="P43" s="243">
        <v>2</v>
      </c>
      <c r="Q43" s="244" t="s">
        <v>591</v>
      </c>
      <c r="R43" s="245" t="str">
        <f t="shared" ref="R43:R45" si="27">IF(OR(S43="Preventivo",S43="Detectivo"),"Probabilidad",IF(S43="Correctivo","Impacto",""))</f>
        <v>Probabilidad</v>
      </c>
      <c r="S43" s="246" t="s">
        <v>14</v>
      </c>
      <c r="T43" s="246" t="s">
        <v>9</v>
      </c>
      <c r="U43" s="247" t="str">
        <f t="shared" si="26"/>
        <v>40%</v>
      </c>
      <c r="V43" s="246" t="s">
        <v>19</v>
      </c>
      <c r="W43" s="246" t="s">
        <v>23</v>
      </c>
      <c r="X43" s="246" t="s">
        <v>118</v>
      </c>
      <c r="Y43" s="248">
        <f t="shared" si="4"/>
        <v>0.36</v>
      </c>
      <c r="Z43" s="249" t="str">
        <f t="shared" si="5"/>
        <v>Baja</v>
      </c>
      <c r="AA43" s="247">
        <f t="shared" si="6"/>
        <v>0.36</v>
      </c>
      <c r="AB43" s="249" t="str">
        <f t="shared" ca="1" si="7"/>
        <v>Mayor</v>
      </c>
      <c r="AC43" s="247">
        <f t="shared" ca="1" si="8"/>
        <v>0.8</v>
      </c>
      <c r="AD43" s="250" t="str">
        <f t="shared" ca="1" si="9"/>
        <v>Alto</v>
      </c>
      <c r="AE43" s="246" t="s">
        <v>135</v>
      </c>
      <c r="AF43" s="312"/>
      <c r="AG43" s="219" t="s">
        <v>635</v>
      </c>
      <c r="AH43" s="231">
        <v>45000</v>
      </c>
      <c r="AI43" s="231">
        <v>45057</v>
      </c>
      <c r="AJ43" s="237" t="s">
        <v>638</v>
      </c>
      <c r="AK43" s="219" t="s">
        <v>41</v>
      </c>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c r="BI43" s="208"/>
      <c r="BJ43" s="208"/>
      <c r="BK43" s="208"/>
      <c r="BL43" s="208"/>
      <c r="BM43" s="208"/>
      <c r="BN43" s="208"/>
      <c r="BO43" s="208"/>
      <c r="BP43" s="208"/>
      <c r="BQ43" s="208"/>
    </row>
    <row r="44" spans="1:69" ht="82.5" customHeight="1" x14ac:dyDescent="0.25">
      <c r="A44" s="339" t="s">
        <v>587</v>
      </c>
      <c r="B44" s="337">
        <v>25</v>
      </c>
      <c r="C44" s="313" t="s">
        <v>133</v>
      </c>
      <c r="D44" s="313" t="s">
        <v>594</v>
      </c>
      <c r="E44" s="313" t="s">
        <v>690</v>
      </c>
      <c r="F44" s="313" t="s">
        <v>691</v>
      </c>
      <c r="G44" s="313" t="s">
        <v>122</v>
      </c>
      <c r="H44" s="238">
        <v>12</v>
      </c>
      <c r="I44" s="239" t="str">
        <f t="shared" si="0"/>
        <v>Baja</v>
      </c>
      <c r="J44" s="240">
        <f t="shared" si="10"/>
        <v>0.4</v>
      </c>
      <c r="K44" s="241" t="s">
        <v>149</v>
      </c>
      <c r="L44" s="240" t="str">
        <f t="shared" ca="1" si="25"/>
        <v xml:space="preserve">     Entre 100 y 500 SMLMV </v>
      </c>
      <c r="M44" s="239" t="str">
        <f ca="1">IF(OR(L44='Tabla Impacto'!$C$11,L44='Tabla Impacto'!$D$11),"Leve",IF(OR(L44='Tabla Impacto'!$C$12,L44='Tabla Impacto'!$D$12),"Menor",IF(OR(L44='Tabla Impacto'!$C$13,L44='Tabla Impacto'!$D$13),"Moderado",IF(OR(L44='Tabla Impacto'!$C$14,L44='Tabla Impacto'!$D$14),"Mayor",IF(OR(L44='Tabla Impacto'!$C$15,L44='Tabla Impacto'!$D$15),"Catastrófico","")))))</f>
        <v>Mayor</v>
      </c>
      <c r="N44" s="240">
        <f t="shared" ca="1" si="1"/>
        <v>0.8</v>
      </c>
      <c r="O44" s="242" t="str">
        <f t="shared" ca="1" si="2"/>
        <v>Alto</v>
      </c>
      <c r="P44" s="243">
        <v>1</v>
      </c>
      <c r="Q44" s="244" t="s">
        <v>595</v>
      </c>
      <c r="R44" s="245" t="str">
        <f t="shared" si="27"/>
        <v>Probabilidad</v>
      </c>
      <c r="S44" s="246" t="s">
        <v>14</v>
      </c>
      <c r="T44" s="246" t="s">
        <v>9</v>
      </c>
      <c r="U44" s="247" t="str">
        <f t="shared" si="26"/>
        <v>40%</v>
      </c>
      <c r="V44" s="246" t="s">
        <v>19</v>
      </c>
      <c r="W44" s="246" t="s">
        <v>23</v>
      </c>
      <c r="X44" s="246" t="s">
        <v>118</v>
      </c>
      <c r="Y44" s="248">
        <f t="shared" si="4"/>
        <v>0.24</v>
      </c>
      <c r="Z44" s="249" t="str">
        <f t="shared" si="5"/>
        <v>Baja</v>
      </c>
      <c r="AA44" s="247">
        <f t="shared" si="6"/>
        <v>0.24</v>
      </c>
      <c r="AB44" s="249" t="str">
        <f t="shared" ca="1" si="7"/>
        <v>Mayor</v>
      </c>
      <c r="AC44" s="247">
        <f t="shared" ca="1" si="8"/>
        <v>0.8</v>
      </c>
      <c r="AD44" s="250" t="str">
        <f t="shared" ca="1" si="9"/>
        <v>Alto</v>
      </c>
      <c r="AE44" s="246" t="s">
        <v>135</v>
      </c>
      <c r="AF44" s="311" t="s">
        <v>636</v>
      </c>
      <c r="AG44" s="219" t="s">
        <v>635</v>
      </c>
      <c r="AH44" s="231">
        <v>45000</v>
      </c>
      <c r="AI44" s="231">
        <v>45057</v>
      </c>
      <c r="AJ44" s="237" t="s">
        <v>633</v>
      </c>
      <c r="AK44" s="219" t="s">
        <v>41</v>
      </c>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8"/>
    </row>
    <row r="45" spans="1:69" ht="78.75" x14ac:dyDescent="0.25">
      <c r="A45" s="340"/>
      <c r="B45" s="338"/>
      <c r="C45" s="314"/>
      <c r="D45" s="314"/>
      <c r="E45" s="314"/>
      <c r="F45" s="314"/>
      <c r="G45" s="314"/>
      <c r="H45" s="238">
        <v>12</v>
      </c>
      <c r="I45" s="239" t="str">
        <f t="shared" si="0"/>
        <v>Baja</v>
      </c>
      <c r="J45" s="240">
        <f t="shared" si="10"/>
        <v>0.4</v>
      </c>
      <c r="K45" s="241" t="s">
        <v>149</v>
      </c>
      <c r="L45" s="240" t="str">
        <f t="shared" ca="1" si="25"/>
        <v xml:space="preserve">     Entre 100 y 500 SMLMV </v>
      </c>
      <c r="M45" s="239" t="str">
        <f ca="1">IF(OR(L45='Tabla Impacto'!$C$11,L45='Tabla Impacto'!$D$11),"Leve",IF(OR(L45='Tabla Impacto'!$C$12,L45='Tabla Impacto'!$D$12),"Menor",IF(OR(L45='Tabla Impacto'!$C$13,L45='Tabla Impacto'!$D$13),"Moderado",IF(OR(L45='Tabla Impacto'!$C$14,L45='Tabla Impacto'!$D$14),"Mayor",IF(OR(L45='Tabla Impacto'!$C$15,L45='Tabla Impacto'!$D$15),"Catastrófico","")))))</f>
        <v>Mayor</v>
      </c>
      <c r="N45" s="240">
        <f t="shared" ca="1" si="1"/>
        <v>0.8</v>
      </c>
      <c r="O45" s="242" t="str">
        <f t="shared" ca="1" si="2"/>
        <v>Alto</v>
      </c>
      <c r="P45" s="243">
        <v>2</v>
      </c>
      <c r="Q45" s="244" t="s">
        <v>596</v>
      </c>
      <c r="R45" s="245" t="str">
        <f t="shared" si="27"/>
        <v>Probabilidad</v>
      </c>
      <c r="S45" s="246" t="s">
        <v>14</v>
      </c>
      <c r="T45" s="246" t="s">
        <v>9</v>
      </c>
      <c r="U45" s="247" t="str">
        <f t="shared" si="26"/>
        <v>40%</v>
      </c>
      <c r="V45" s="246" t="s">
        <v>19</v>
      </c>
      <c r="W45" s="246" t="s">
        <v>23</v>
      </c>
      <c r="X45" s="246" t="s">
        <v>118</v>
      </c>
      <c r="Y45" s="248">
        <f t="shared" si="4"/>
        <v>0.24</v>
      </c>
      <c r="Z45" s="249" t="str">
        <f t="shared" si="5"/>
        <v>Baja</v>
      </c>
      <c r="AA45" s="247">
        <f t="shared" si="6"/>
        <v>0.24</v>
      </c>
      <c r="AB45" s="249" t="str">
        <f t="shared" ca="1" si="7"/>
        <v>Mayor</v>
      </c>
      <c r="AC45" s="247">
        <f t="shared" ca="1" si="8"/>
        <v>0.8</v>
      </c>
      <c r="AD45" s="250" t="str">
        <f t="shared" ca="1" si="9"/>
        <v>Alto</v>
      </c>
      <c r="AE45" s="246" t="s">
        <v>135</v>
      </c>
      <c r="AF45" s="312"/>
      <c r="AG45" s="219" t="s">
        <v>635</v>
      </c>
      <c r="AH45" s="231">
        <v>45000</v>
      </c>
      <c r="AI45" s="231">
        <v>45057</v>
      </c>
      <c r="AJ45" s="237" t="s">
        <v>634</v>
      </c>
      <c r="AK45" s="219" t="s">
        <v>41</v>
      </c>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c r="BI45" s="208"/>
      <c r="BJ45" s="208"/>
      <c r="BK45" s="208"/>
      <c r="BL45" s="208"/>
      <c r="BM45" s="208"/>
      <c r="BN45" s="208"/>
      <c r="BO45" s="208"/>
      <c r="BP45" s="208"/>
      <c r="BQ45" s="208"/>
    </row>
    <row r="46" spans="1:69" ht="66" x14ac:dyDescent="0.25">
      <c r="A46" s="215" t="s">
        <v>598</v>
      </c>
      <c r="B46" s="216">
        <v>26</v>
      </c>
      <c r="C46" s="217" t="s">
        <v>132</v>
      </c>
      <c r="D46" s="217" t="s">
        <v>599</v>
      </c>
      <c r="E46" s="217" t="s">
        <v>600</v>
      </c>
      <c r="F46" s="218" t="s">
        <v>597</v>
      </c>
      <c r="G46" s="217" t="s">
        <v>122</v>
      </c>
      <c r="H46" s="219">
        <v>30</v>
      </c>
      <c r="I46" s="220" t="str">
        <f t="shared" si="0"/>
        <v>Media</v>
      </c>
      <c r="J46" s="221">
        <f t="shared" si="10"/>
        <v>0.6</v>
      </c>
      <c r="K46" s="222" t="s">
        <v>147</v>
      </c>
      <c r="L46" s="221" t="str">
        <f ca="1">IF(NOT(ISERROR(MATCH(K46,'Tabla Impacto'!$B$221:$B$223,0))),'Tabla Impacto'!$F$223&amp;"Por favor no seleccionar los criterios de impacto(Afectación Económica o presupuestal y Pérdida Reputacional)",K46)</f>
        <v xml:space="preserve">     Entre 50 y 100 SMLMV </v>
      </c>
      <c r="M46" s="220" t="str">
        <f ca="1">IF(OR(L46='Tabla Impacto'!$C$11,L46='Tabla Impacto'!$D$11),"Leve",IF(OR(L46='Tabla Impacto'!$C$12,L46='Tabla Impacto'!$D$12),"Menor",IF(OR(L46='Tabla Impacto'!$C$13,L46='Tabla Impacto'!$D$13),"Moderado",IF(OR(L46='Tabla Impacto'!$C$14,L46='Tabla Impacto'!$D$14),"Mayor",IF(OR(L46='Tabla Impacto'!$C$15,L46='Tabla Impacto'!$D$15),"Catastrófico","")))))</f>
        <v>Moderado</v>
      </c>
      <c r="N46" s="221">
        <f t="shared" ca="1" si="1"/>
        <v>0.6</v>
      </c>
      <c r="O46" s="223" t="str">
        <f t="shared" ca="1" si="2"/>
        <v>Moderado</v>
      </c>
      <c r="P46" s="216">
        <v>1</v>
      </c>
      <c r="Q46" s="224" t="s">
        <v>692</v>
      </c>
      <c r="R46" s="225" t="str">
        <f>IF(OR(S46="Preventivo",S46="Detectivo"),"Probabilidad",IF(S46="Correctivo","Impacto",""))</f>
        <v>Probabilidad</v>
      </c>
      <c r="S46" s="226" t="s">
        <v>14</v>
      </c>
      <c r="T46" s="226" t="s">
        <v>9</v>
      </c>
      <c r="U46" s="227" t="str">
        <f>IF(AND(S46="Preventivo",T46="Automático"),"50%",IF(AND(S46="Preventivo",T46="Manual"),"40%",IF(AND(S46="Detectivo",T46="Automático"),"40%",IF(AND(S46="Detectivo",T46="Manual"),"30%",IF(AND(S46="Correctivo",T46="Automático"),"35%",IF(AND(S46="Correctivo",T46="Manual"),"25%",""))))))</f>
        <v>40%</v>
      </c>
      <c r="V46" s="226" t="s">
        <v>19</v>
      </c>
      <c r="W46" s="226" t="s">
        <v>23</v>
      </c>
      <c r="X46" s="226" t="s">
        <v>118</v>
      </c>
      <c r="Y46" s="228">
        <f t="shared" si="4"/>
        <v>0.36</v>
      </c>
      <c r="Z46" s="229" t="str">
        <f t="shared" si="5"/>
        <v>Baja</v>
      </c>
      <c r="AA46" s="227">
        <f t="shared" si="6"/>
        <v>0.36</v>
      </c>
      <c r="AB46" s="229" t="str">
        <f t="shared" ca="1" si="7"/>
        <v>Moderado</v>
      </c>
      <c r="AC46" s="227">
        <f t="shared" ca="1" si="8"/>
        <v>0.6</v>
      </c>
      <c r="AD46" s="230" t="str">
        <f t="shared" ca="1" si="9"/>
        <v>Moderado</v>
      </c>
      <c r="AE46" s="226" t="s">
        <v>31</v>
      </c>
      <c r="AF46" s="217"/>
      <c r="AG46" s="219"/>
      <c r="AH46" s="231"/>
      <c r="AI46" s="231"/>
      <c r="AJ46" s="217"/>
      <c r="AK46" s="219"/>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c r="BI46" s="208"/>
      <c r="BJ46" s="208"/>
      <c r="BK46" s="208"/>
      <c r="BL46" s="208"/>
      <c r="BM46" s="208"/>
      <c r="BN46" s="208"/>
      <c r="BO46" s="208"/>
      <c r="BP46" s="208"/>
      <c r="BQ46" s="208"/>
    </row>
    <row r="47" spans="1:69" ht="99" x14ac:dyDescent="0.25">
      <c r="A47" s="215" t="s">
        <v>602</v>
      </c>
      <c r="B47" s="216">
        <v>27</v>
      </c>
      <c r="C47" s="217" t="s">
        <v>133</v>
      </c>
      <c r="D47" s="217" t="s">
        <v>604</v>
      </c>
      <c r="E47" s="217" t="s">
        <v>605</v>
      </c>
      <c r="F47" s="218" t="s">
        <v>603</v>
      </c>
      <c r="G47" s="217" t="s">
        <v>122</v>
      </c>
      <c r="H47" s="219">
        <v>48</v>
      </c>
      <c r="I47" s="220" t="str">
        <f t="shared" si="0"/>
        <v>Media</v>
      </c>
      <c r="J47" s="221">
        <f t="shared" si="10"/>
        <v>0.6</v>
      </c>
      <c r="K47" s="222" t="s">
        <v>152</v>
      </c>
      <c r="L47" s="221" t="str">
        <f t="shared" ref="L47:L51" ca="1" si="28">IF(NOT(ISERROR(MATCH(K47,_xlfn.ANCHORARRAY(F58),0))),J60&amp;"Por favor no seleccionar los criterios de impacto",K47)</f>
        <v xml:space="preserve">     El riesgo afecta la imagen de la entidad internamente, de conocimiento general, nivel interno, de junta dircetiva y accionistas y/o de provedores</v>
      </c>
      <c r="M47" s="220" t="str">
        <f ca="1">IF(OR(L47='Tabla Impacto'!$C$11,L47='Tabla Impacto'!$D$11),"Leve",IF(OR(L47='Tabla Impacto'!$C$12,L47='Tabla Impacto'!$D$12),"Menor",IF(OR(L47='Tabla Impacto'!$C$13,L47='Tabla Impacto'!$D$13),"Moderado",IF(OR(L47='Tabla Impacto'!$C$14,L47='Tabla Impacto'!$D$14),"Mayor",IF(OR(L47='Tabla Impacto'!$C$15,L47='Tabla Impacto'!$D$15),"Catastrófico","")))))</f>
        <v>Menor</v>
      </c>
      <c r="N47" s="221">
        <f t="shared" ca="1" si="1"/>
        <v>0.4</v>
      </c>
      <c r="O47" s="223" t="str">
        <f t="shared" ca="1" si="2"/>
        <v>Moderado</v>
      </c>
      <c r="P47" s="216">
        <v>1</v>
      </c>
      <c r="Q47" s="224" t="s">
        <v>606</v>
      </c>
      <c r="R47" s="225" t="str">
        <f>IF(OR(S47="Preventivo",S47="Detectivo"),"Probabilidad",IF(S47="Correctivo","Impacto",""))</f>
        <v>Probabilidad</v>
      </c>
      <c r="S47" s="226" t="s">
        <v>14</v>
      </c>
      <c r="T47" s="226" t="s">
        <v>9</v>
      </c>
      <c r="U47" s="227" t="str">
        <f t="shared" ref="U47:U51" si="29">IF(AND(S47="Preventivo",T47="Automático"),"50%",IF(AND(S47="Preventivo",T47="Manual"),"40%",IF(AND(S47="Detectivo",T47="Automático"),"40%",IF(AND(S47="Detectivo",T47="Manual"),"30%",IF(AND(S47="Correctivo",T47="Automático"),"35%",IF(AND(S47="Correctivo",T47="Manual"),"25%",""))))))</f>
        <v>40%</v>
      </c>
      <c r="V47" s="226" t="s">
        <v>19</v>
      </c>
      <c r="W47" s="226" t="s">
        <v>23</v>
      </c>
      <c r="X47" s="226" t="s">
        <v>118</v>
      </c>
      <c r="Y47" s="228">
        <f t="shared" si="4"/>
        <v>0.36</v>
      </c>
      <c r="Z47" s="229" t="str">
        <f t="shared" si="5"/>
        <v>Baja</v>
      </c>
      <c r="AA47" s="227">
        <f t="shared" si="6"/>
        <v>0.36</v>
      </c>
      <c r="AB47" s="229" t="str">
        <f t="shared" ca="1" si="7"/>
        <v>Menor</v>
      </c>
      <c r="AC47" s="227">
        <f t="shared" ca="1" si="8"/>
        <v>0.4</v>
      </c>
      <c r="AD47" s="230" t="str">
        <f t="shared" ca="1" si="9"/>
        <v>Moderado</v>
      </c>
      <c r="AE47" s="226" t="s">
        <v>31</v>
      </c>
      <c r="AF47" s="217"/>
      <c r="AG47" s="219"/>
      <c r="AH47" s="231"/>
      <c r="AI47" s="231"/>
      <c r="AJ47" s="217"/>
      <c r="AK47" s="219"/>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c r="BI47" s="208"/>
      <c r="BJ47" s="208"/>
      <c r="BK47" s="208"/>
      <c r="BL47" s="208"/>
      <c r="BM47" s="208"/>
      <c r="BN47" s="208"/>
      <c r="BO47" s="208"/>
      <c r="BP47" s="208"/>
      <c r="BQ47" s="208"/>
    </row>
    <row r="48" spans="1:69" ht="99" x14ac:dyDescent="0.25">
      <c r="A48" s="215" t="s">
        <v>608</v>
      </c>
      <c r="B48" s="216">
        <v>28</v>
      </c>
      <c r="C48" s="217" t="s">
        <v>132</v>
      </c>
      <c r="D48" s="217" t="s">
        <v>609</v>
      </c>
      <c r="E48" s="217" t="s">
        <v>610</v>
      </c>
      <c r="F48" s="218" t="s">
        <v>607</v>
      </c>
      <c r="G48" s="217" t="s">
        <v>122</v>
      </c>
      <c r="H48" s="219">
        <v>3000</v>
      </c>
      <c r="I48" s="220" t="str">
        <f t="shared" si="0"/>
        <v>Alta</v>
      </c>
      <c r="J48" s="221">
        <f t="shared" si="10"/>
        <v>0.8</v>
      </c>
      <c r="K48" s="222" t="s">
        <v>148</v>
      </c>
      <c r="L48" s="221" t="str">
        <f t="shared" ca="1" si="28"/>
        <v xml:space="preserve">     Entre 10 y 50 SMLMV </v>
      </c>
      <c r="M48" s="220" t="str">
        <f ca="1">IF(OR(L48='Tabla Impacto'!$C$11,L48='Tabla Impacto'!$D$11),"Leve",IF(OR(L48='Tabla Impacto'!$C$12,L48='Tabla Impacto'!$D$12),"Menor",IF(OR(L48='Tabla Impacto'!$C$13,L48='Tabla Impacto'!$D$13),"Moderado",IF(OR(L48='Tabla Impacto'!$C$14,L48='Tabla Impacto'!$D$14),"Mayor",IF(OR(L48='Tabla Impacto'!$C$15,L48='Tabla Impacto'!$D$15),"Catastrófico","")))))</f>
        <v>Menor</v>
      </c>
      <c r="N48" s="221">
        <f t="shared" ca="1" si="1"/>
        <v>0.4</v>
      </c>
      <c r="O48" s="223" t="str">
        <f t="shared" ca="1" si="2"/>
        <v>Moderado</v>
      </c>
      <c r="P48" s="216">
        <v>1</v>
      </c>
      <c r="Q48" s="224" t="s">
        <v>693</v>
      </c>
      <c r="R48" s="225" t="str">
        <f>IF(OR(S48="Preventivo",S48="Detectivo"),"Probabilidad",IF(S48="Correctivo","Impacto",""))</f>
        <v>Probabilidad</v>
      </c>
      <c r="S48" s="226" t="s">
        <v>14</v>
      </c>
      <c r="T48" s="226" t="s">
        <v>9</v>
      </c>
      <c r="U48" s="227" t="str">
        <f t="shared" si="29"/>
        <v>40%</v>
      </c>
      <c r="V48" s="226" t="s">
        <v>19</v>
      </c>
      <c r="W48" s="226" t="s">
        <v>23</v>
      </c>
      <c r="X48" s="226" t="s">
        <v>118</v>
      </c>
      <c r="Y48" s="228">
        <f t="shared" si="4"/>
        <v>0.48</v>
      </c>
      <c r="Z48" s="229" t="str">
        <f t="shared" si="5"/>
        <v>Media</v>
      </c>
      <c r="AA48" s="227">
        <f t="shared" si="6"/>
        <v>0.48</v>
      </c>
      <c r="AB48" s="229" t="str">
        <f t="shared" ca="1" si="7"/>
        <v>Menor</v>
      </c>
      <c r="AC48" s="227">
        <f t="shared" ca="1" si="8"/>
        <v>0.4</v>
      </c>
      <c r="AD48" s="230" t="str">
        <f t="shared" ca="1" si="9"/>
        <v>Moderado</v>
      </c>
      <c r="AE48" s="226" t="s">
        <v>31</v>
      </c>
      <c r="AF48" s="217"/>
      <c r="AG48" s="219"/>
      <c r="AH48" s="231"/>
      <c r="AI48" s="231"/>
      <c r="AJ48" s="217"/>
      <c r="AK48" s="219"/>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c r="BI48" s="208"/>
      <c r="BJ48" s="208"/>
      <c r="BK48" s="208"/>
      <c r="BL48" s="208"/>
      <c r="BM48" s="208"/>
      <c r="BN48" s="208"/>
      <c r="BO48" s="208"/>
      <c r="BP48" s="208"/>
      <c r="BQ48" s="208"/>
    </row>
    <row r="49" spans="1:69" ht="115.5" x14ac:dyDescent="0.25">
      <c r="A49" s="215" t="s">
        <v>608</v>
      </c>
      <c r="B49" s="216">
        <v>29</v>
      </c>
      <c r="C49" s="217" t="s">
        <v>133</v>
      </c>
      <c r="D49" s="217" t="s">
        <v>612</v>
      </c>
      <c r="E49" s="217" t="s">
        <v>613</v>
      </c>
      <c r="F49" s="218" t="s">
        <v>611</v>
      </c>
      <c r="G49" s="217" t="s">
        <v>122</v>
      </c>
      <c r="H49" s="219">
        <v>28</v>
      </c>
      <c r="I49" s="220" t="str">
        <f t="shared" si="0"/>
        <v>Media</v>
      </c>
      <c r="J49" s="221">
        <f t="shared" si="10"/>
        <v>0.6</v>
      </c>
      <c r="K49" s="222" t="s">
        <v>153</v>
      </c>
      <c r="L49" s="221" t="str">
        <f t="shared" ca="1" si="28"/>
        <v xml:space="preserve">     El riesgo afecta la imagen de la entidad con algunos usuarios de relevancia frente al logro de los objetivos</v>
      </c>
      <c r="M49" s="220" t="str">
        <f ca="1">IF(OR(L49='Tabla Impacto'!$C$11,L49='Tabla Impacto'!$D$11),"Leve",IF(OR(L49='Tabla Impacto'!$C$12,L49='Tabla Impacto'!$D$12),"Menor",IF(OR(L49='Tabla Impacto'!$C$13,L49='Tabla Impacto'!$D$13),"Moderado",IF(OR(L49='Tabla Impacto'!$C$14,L49='Tabla Impacto'!$D$14),"Mayor",IF(OR(L49='Tabla Impacto'!$C$15,L49='Tabla Impacto'!$D$15),"Catastrófico","")))))</f>
        <v>Moderado</v>
      </c>
      <c r="N49" s="221">
        <f t="shared" ca="1" si="1"/>
        <v>0.6</v>
      </c>
      <c r="O49" s="223" t="str">
        <f t="shared" ca="1" si="2"/>
        <v>Moderado</v>
      </c>
      <c r="P49" s="216">
        <v>1</v>
      </c>
      <c r="Q49" s="224" t="s">
        <v>614</v>
      </c>
      <c r="R49" s="225" t="str">
        <f t="shared" ref="R49:R51" si="30">IF(OR(S49="Preventivo",S49="Detectivo"),"Probabilidad",IF(S49="Correctivo","Impacto",""))</f>
        <v>Probabilidad</v>
      </c>
      <c r="S49" s="226" t="s">
        <v>14</v>
      </c>
      <c r="T49" s="226" t="s">
        <v>9</v>
      </c>
      <c r="U49" s="227" t="str">
        <f t="shared" si="29"/>
        <v>40%</v>
      </c>
      <c r="V49" s="226" t="s">
        <v>19</v>
      </c>
      <c r="W49" s="226" t="s">
        <v>23</v>
      </c>
      <c r="X49" s="226" t="s">
        <v>118</v>
      </c>
      <c r="Y49" s="228">
        <f t="shared" si="4"/>
        <v>0.36</v>
      </c>
      <c r="Z49" s="229" t="str">
        <f t="shared" si="5"/>
        <v>Baja</v>
      </c>
      <c r="AA49" s="227">
        <f t="shared" si="6"/>
        <v>0.36</v>
      </c>
      <c r="AB49" s="229" t="str">
        <f t="shared" ca="1" si="7"/>
        <v>Moderado</v>
      </c>
      <c r="AC49" s="227">
        <f t="shared" ca="1" si="8"/>
        <v>0.6</v>
      </c>
      <c r="AD49" s="230" t="str">
        <f t="shared" ca="1" si="9"/>
        <v>Moderado</v>
      </c>
      <c r="AE49" s="226" t="s">
        <v>31</v>
      </c>
      <c r="AF49" s="217"/>
      <c r="AG49" s="219"/>
      <c r="AH49" s="231"/>
      <c r="AI49" s="231"/>
      <c r="AJ49" s="217"/>
      <c r="AK49" s="219"/>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8"/>
      <c r="BQ49" s="208"/>
    </row>
    <row r="50" spans="1:69" ht="82.5" x14ac:dyDescent="0.25">
      <c r="A50" s="215" t="s">
        <v>616</v>
      </c>
      <c r="B50" s="216">
        <v>30</v>
      </c>
      <c r="C50" s="217" t="s">
        <v>131</v>
      </c>
      <c r="D50" s="217" t="s">
        <v>617</v>
      </c>
      <c r="E50" s="217" t="s">
        <v>618</v>
      </c>
      <c r="F50" s="218" t="s">
        <v>615</v>
      </c>
      <c r="G50" s="217" t="s">
        <v>122</v>
      </c>
      <c r="H50" s="219">
        <v>36</v>
      </c>
      <c r="I50" s="220" t="str">
        <f t="shared" si="0"/>
        <v>Media</v>
      </c>
      <c r="J50" s="221">
        <f t="shared" si="10"/>
        <v>0.6</v>
      </c>
      <c r="K50" s="222" t="s">
        <v>152</v>
      </c>
      <c r="L50" s="221" t="str">
        <f t="shared" ca="1" si="28"/>
        <v xml:space="preserve">     El riesgo afecta la imagen de la entidad internamente, de conocimiento general, nivel interno, de junta dircetiva y accionistas y/o de provedores</v>
      </c>
      <c r="M50" s="220" t="str">
        <f ca="1">IF(OR(L50='Tabla Impacto'!$C$11,L50='Tabla Impacto'!$D$11),"Leve",IF(OR(L50='Tabla Impacto'!$C$12,L50='Tabla Impacto'!$D$12),"Menor",IF(OR(L50='Tabla Impacto'!$C$13,L50='Tabla Impacto'!$D$13),"Moderado",IF(OR(L50='Tabla Impacto'!$C$14,L50='Tabla Impacto'!$D$14),"Mayor",IF(OR(L50='Tabla Impacto'!$C$15,L50='Tabla Impacto'!$D$15),"Catastrófico","")))))</f>
        <v>Menor</v>
      </c>
      <c r="N50" s="221">
        <f t="shared" ca="1" si="1"/>
        <v>0.4</v>
      </c>
      <c r="O50" s="223" t="str">
        <f t="shared" ca="1" si="2"/>
        <v>Moderado</v>
      </c>
      <c r="P50" s="216">
        <v>1</v>
      </c>
      <c r="Q50" s="224" t="s">
        <v>619</v>
      </c>
      <c r="R50" s="225" t="str">
        <f t="shared" si="30"/>
        <v>Probabilidad</v>
      </c>
      <c r="S50" s="226" t="s">
        <v>14</v>
      </c>
      <c r="T50" s="226" t="s">
        <v>9</v>
      </c>
      <c r="U50" s="227" t="str">
        <f t="shared" si="29"/>
        <v>40%</v>
      </c>
      <c r="V50" s="226" t="s">
        <v>20</v>
      </c>
      <c r="W50" s="226" t="s">
        <v>23</v>
      </c>
      <c r="X50" s="226" t="s">
        <v>118</v>
      </c>
      <c r="Y50" s="228">
        <f t="shared" si="4"/>
        <v>0.36</v>
      </c>
      <c r="Z50" s="229" t="str">
        <f t="shared" si="5"/>
        <v>Baja</v>
      </c>
      <c r="AA50" s="227">
        <f t="shared" si="6"/>
        <v>0.36</v>
      </c>
      <c r="AB50" s="229" t="str">
        <f t="shared" ca="1" si="7"/>
        <v>Menor</v>
      </c>
      <c r="AC50" s="227">
        <f t="shared" ca="1" si="8"/>
        <v>0.4</v>
      </c>
      <c r="AD50" s="230" t="str">
        <f t="shared" ca="1" si="9"/>
        <v>Moderado</v>
      </c>
      <c r="AE50" s="226" t="s">
        <v>31</v>
      </c>
      <c r="AF50" s="217"/>
      <c r="AG50" s="219"/>
      <c r="AH50" s="231"/>
      <c r="AI50" s="231"/>
      <c r="AJ50" s="217"/>
      <c r="AK50" s="219"/>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8"/>
      <c r="BQ50" s="208"/>
    </row>
    <row r="51" spans="1:69" ht="82.5" x14ac:dyDescent="0.25">
      <c r="A51" s="215" t="s">
        <v>616</v>
      </c>
      <c r="B51" s="216">
        <v>31</v>
      </c>
      <c r="C51" s="217" t="s">
        <v>131</v>
      </c>
      <c r="D51" s="217" t="s">
        <v>621</v>
      </c>
      <c r="E51" s="217" t="s">
        <v>622</v>
      </c>
      <c r="F51" s="218" t="s">
        <v>620</v>
      </c>
      <c r="G51" s="217" t="s">
        <v>122</v>
      </c>
      <c r="H51" s="219">
        <v>20</v>
      </c>
      <c r="I51" s="220" t="str">
        <f t="shared" si="0"/>
        <v>Baja</v>
      </c>
      <c r="J51" s="221">
        <f t="shared" si="10"/>
        <v>0.4</v>
      </c>
      <c r="K51" s="222" t="s">
        <v>153</v>
      </c>
      <c r="L51" s="221" t="str">
        <f t="shared" ca="1" si="28"/>
        <v xml:space="preserve">     El riesgo afecta la imagen de la entidad con algunos usuarios de relevancia frente al logro de los objetivos</v>
      </c>
      <c r="M51" s="220" t="str">
        <f ca="1">IF(OR(L51='Tabla Impacto'!$C$11,L51='Tabla Impacto'!$D$11),"Leve",IF(OR(L51='Tabla Impacto'!$C$12,L51='Tabla Impacto'!$D$12),"Menor",IF(OR(L51='Tabla Impacto'!$C$13,L51='Tabla Impacto'!$D$13),"Moderado",IF(OR(L51='Tabla Impacto'!$C$14,L51='Tabla Impacto'!$D$14),"Mayor",IF(OR(L51='Tabla Impacto'!$C$15,L51='Tabla Impacto'!$D$15),"Catastrófico","")))))</f>
        <v>Moderado</v>
      </c>
      <c r="N51" s="221">
        <f t="shared" ca="1" si="1"/>
        <v>0.6</v>
      </c>
      <c r="O51" s="223" t="str">
        <f t="shared" ca="1" si="2"/>
        <v>Moderado</v>
      </c>
      <c r="P51" s="216">
        <v>1</v>
      </c>
      <c r="Q51" s="224" t="s">
        <v>623</v>
      </c>
      <c r="R51" s="225" t="str">
        <f t="shared" si="30"/>
        <v>Probabilidad</v>
      </c>
      <c r="S51" s="226" t="s">
        <v>14</v>
      </c>
      <c r="T51" s="226" t="s">
        <v>9</v>
      </c>
      <c r="U51" s="227" t="str">
        <f t="shared" si="29"/>
        <v>40%</v>
      </c>
      <c r="V51" s="226" t="s">
        <v>19</v>
      </c>
      <c r="W51" s="226" t="s">
        <v>23</v>
      </c>
      <c r="X51" s="226" t="s">
        <v>118</v>
      </c>
      <c r="Y51" s="228">
        <f t="shared" si="4"/>
        <v>0.24</v>
      </c>
      <c r="Z51" s="229" t="str">
        <f t="shared" si="5"/>
        <v>Baja</v>
      </c>
      <c r="AA51" s="227">
        <f t="shared" si="6"/>
        <v>0.24</v>
      </c>
      <c r="AB51" s="229" t="str">
        <f t="shared" ca="1" si="7"/>
        <v>Moderado</v>
      </c>
      <c r="AC51" s="227">
        <f t="shared" ca="1" si="8"/>
        <v>0.6</v>
      </c>
      <c r="AD51" s="230" t="str">
        <f t="shared" ca="1" si="9"/>
        <v>Moderado</v>
      </c>
      <c r="AE51" s="226" t="s">
        <v>31</v>
      </c>
      <c r="AF51" s="217"/>
      <c r="AG51" s="219"/>
      <c r="AH51" s="231"/>
      <c r="AI51" s="231"/>
      <c r="AJ51" s="217"/>
      <c r="AK51" s="219"/>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8"/>
    </row>
    <row r="52" spans="1:69" ht="82.5" x14ac:dyDescent="0.25">
      <c r="A52" s="215" t="s">
        <v>625</v>
      </c>
      <c r="B52" s="216">
        <v>32</v>
      </c>
      <c r="C52" s="217" t="s">
        <v>133</v>
      </c>
      <c r="D52" s="217" t="s">
        <v>626</v>
      </c>
      <c r="E52" s="217" t="s">
        <v>627</v>
      </c>
      <c r="F52" s="218" t="s">
        <v>624</v>
      </c>
      <c r="G52" s="217" t="s">
        <v>127</v>
      </c>
      <c r="H52" s="219">
        <v>11</v>
      </c>
      <c r="I52" s="220" t="str">
        <f t="shared" si="0"/>
        <v>Baja</v>
      </c>
      <c r="J52" s="221">
        <f t="shared" si="10"/>
        <v>0.4</v>
      </c>
      <c r="K52" s="222" t="s">
        <v>153</v>
      </c>
      <c r="L52" s="221" t="str">
        <f ca="1">IF(NOT(ISERROR(MATCH(K52,'Tabla Impacto'!$B$221:$B$223,0))),'Tabla Impacto'!$F$223&amp;"Por favor no seleccionar los criterios de impacto(Afectación Económica o presupuestal y Pérdida Reputacional)",K52)</f>
        <v xml:space="preserve">     El riesgo afecta la imagen de la entidad con algunos usuarios de relevancia frente al logro de los objetivos</v>
      </c>
      <c r="M52" s="220" t="str">
        <f ca="1">IF(OR(L52='Tabla Impacto'!$C$11,L52='Tabla Impacto'!$D$11),"Leve",IF(OR(L52='Tabla Impacto'!$C$12,L52='Tabla Impacto'!$D$12),"Menor",IF(OR(L52='Tabla Impacto'!$C$13,L52='Tabla Impacto'!$D$13),"Moderado",IF(OR(L52='Tabla Impacto'!$C$14,L52='Tabla Impacto'!$D$14),"Mayor",IF(OR(L52='Tabla Impacto'!$C$15,L52='Tabla Impacto'!$D$15),"Catastrófico","")))))</f>
        <v>Moderado</v>
      </c>
      <c r="N52" s="221">
        <f t="shared" ca="1" si="1"/>
        <v>0.6</v>
      </c>
      <c r="O52" s="223" t="str">
        <f t="shared" ca="1" si="2"/>
        <v>Moderado</v>
      </c>
      <c r="P52" s="216">
        <v>1</v>
      </c>
      <c r="Q52" s="224" t="s">
        <v>628</v>
      </c>
      <c r="R52" s="225" t="str">
        <f>IF(OR(S52="Preventivo",S52="Detectivo"),"Probabilidad",IF(S52="Correctivo","Impacto",""))</f>
        <v>Probabilidad</v>
      </c>
      <c r="S52" s="226" t="s">
        <v>14</v>
      </c>
      <c r="T52" s="226" t="s">
        <v>9</v>
      </c>
      <c r="U52" s="227" t="str">
        <f>IF(AND(S52="Preventivo",T52="Automático"),"50%",IF(AND(S52="Preventivo",T52="Manual"),"40%",IF(AND(S52="Detectivo",T52="Automático"),"40%",IF(AND(S52="Detectivo",T52="Manual"),"30%",IF(AND(S52="Correctivo",T52="Automático"),"35%",IF(AND(S52="Correctivo",T52="Manual"),"25%",""))))))</f>
        <v>40%</v>
      </c>
      <c r="V52" s="226" t="s">
        <v>20</v>
      </c>
      <c r="W52" s="226" t="s">
        <v>22</v>
      </c>
      <c r="X52" s="226" t="s">
        <v>119</v>
      </c>
      <c r="Y52" s="228">
        <f t="shared" si="4"/>
        <v>0.24</v>
      </c>
      <c r="Z52" s="229" t="str">
        <f t="shared" si="5"/>
        <v>Baja</v>
      </c>
      <c r="AA52" s="227">
        <f t="shared" si="6"/>
        <v>0.24</v>
      </c>
      <c r="AB52" s="229" t="str">
        <f t="shared" ca="1" si="7"/>
        <v>Moderado</v>
      </c>
      <c r="AC52" s="227">
        <f t="shared" ca="1" si="8"/>
        <v>0.6</v>
      </c>
      <c r="AD52" s="230" t="str">
        <f t="shared" ca="1" si="9"/>
        <v>Moderado</v>
      </c>
      <c r="AE52" s="226" t="s">
        <v>31</v>
      </c>
      <c r="AF52" s="217"/>
      <c r="AG52" s="219"/>
      <c r="AH52" s="231"/>
      <c r="AI52" s="231"/>
      <c r="AJ52" s="217"/>
      <c r="AK52" s="219"/>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8"/>
      <c r="BQ52" s="208"/>
    </row>
    <row r="53" spans="1:69" hidden="1" x14ac:dyDescent="0.25">
      <c r="C53" s="217"/>
      <c r="D53" s="217"/>
      <c r="E53" s="217"/>
      <c r="F53" s="218"/>
      <c r="G53" s="217"/>
      <c r="H53" s="219"/>
      <c r="I53" s="220" t="str">
        <f t="shared" si="0"/>
        <v/>
      </c>
      <c r="J53" s="221" t="str">
        <f t="shared" si="10"/>
        <v/>
      </c>
      <c r="K53" s="222"/>
      <c r="L53" s="221">
        <f ca="1">IF(NOT(ISERROR(MATCH(K53,_xlfn.ANCHORARRAY(F64),0))),J66&amp;"Por favor no seleccionar los criterios de impacto",K53)</f>
        <v>0</v>
      </c>
      <c r="M53" s="220" t="str">
        <f ca="1">IF(OR(L53='Tabla Impacto'!$C$11,L53='Tabla Impacto'!$D$11),"Leve",IF(OR(L53='Tabla Impacto'!$C$12,L53='Tabla Impacto'!$D$12),"Menor",IF(OR(L53='Tabla Impacto'!$C$13,L53='Tabla Impacto'!$D$13),"Moderado",IF(OR(L53='Tabla Impacto'!$C$14,L53='Tabla Impacto'!$D$14),"Mayor",IF(OR(L53='Tabla Impacto'!$C$15,L53='Tabla Impacto'!$D$15),"Catastrófico","")))))</f>
        <v/>
      </c>
      <c r="N53" s="221" t="str">
        <f t="shared" ca="1" si="1"/>
        <v/>
      </c>
      <c r="O53" s="223" t="str">
        <f t="shared" ca="1" si="2"/>
        <v/>
      </c>
      <c r="Q53" s="224"/>
      <c r="R53" s="225" t="str">
        <f>IF(OR(S53="Preventivo",S53="Detectivo"),"Probabilidad",IF(S53="Correctivo","Impacto",""))</f>
        <v/>
      </c>
      <c r="S53" s="226"/>
      <c r="T53" s="226"/>
      <c r="U53" s="227" t="str">
        <f t="shared" ref="U53:U57" si="31">IF(AND(S53="Preventivo",T53="Automático"),"50%",IF(AND(S53="Preventivo",T53="Manual"),"40%",IF(AND(S53="Detectivo",T53="Automático"),"40%",IF(AND(S53="Detectivo",T53="Manual"),"30%",IF(AND(S53="Correctivo",T53="Automático"),"35%",IF(AND(S53="Correctivo",T53="Manual"),"25%",""))))))</f>
        <v/>
      </c>
      <c r="V53" s="226"/>
      <c r="W53" s="226"/>
      <c r="X53" s="226"/>
      <c r="Y53" s="228" t="str">
        <f t="shared" si="4"/>
        <v/>
      </c>
      <c r="Z53" s="229" t="str">
        <f t="shared" si="5"/>
        <v/>
      </c>
      <c r="AA53" s="227" t="str">
        <f t="shared" si="6"/>
        <v/>
      </c>
      <c r="AB53" s="229" t="str">
        <f t="shared" si="7"/>
        <v/>
      </c>
      <c r="AC53" s="227" t="str">
        <f t="shared" si="8"/>
        <v/>
      </c>
      <c r="AD53" s="230" t="str">
        <f t="shared" si="9"/>
        <v/>
      </c>
      <c r="AE53" s="226"/>
      <c r="AF53" s="217"/>
      <c r="AG53" s="219"/>
      <c r="AH53" s="231"/>
      <c r="AI53" s="231"/>
      <c r="AJ53" s="217"/>
      <c r="AK53" s="219"/>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c r="BN53" s="208"/>
      <c r="BO53" s="208"/>
      <c r="BP53" s="208"/>
      <c r="BQ53" s="208"/>
    </row>
    <row r="54" spans="1:69" hidden="1" x14ac:dyDescent="0.25">
      <c r="C54" s="217"/>
      <c r="D54" s="217"/>
      <c r="E54" s="217"/>
      <c r="F54" s="218"/>
      <c r="G54" s="217"/>
      <c r="H54" s="219"/>
      <c r="I54" s="220" t="str">
        <f t="shared" si="0"/>
        <v/>
      </c>
      <c r="J54" s="221" t="str">
        <f t="shared" si="10"/>
        <v/>
      </c>
      <c r="K54" s="222"/>
      <c r="L54" s="221">
        <f ca="1">IF(NOT(ISERROR(MATCH(K54,_xlfn.ANCHORARRAY(F65),0))),J67&amp;"Por favor no seleccionar los criterios de impacto",K54)</f>
        <v>0</v>
      </c>
      <c r="M54" s="220" t="str">
        <f ca="1">IF(OR(L54='Tabla Impacto'!$C$11,L54='Tabla Impacto'!$D$11),"Leve",IF(OR(L54='Tabla Impacto'!$C$12,L54='Tabla Impacto'!$D$12),"Menor",IF(OR(L54='Tabla Impacto'!$C$13,L54='Tabla Impacto'!$D$13),"Moderado",IF(OR(L54='Tabla Impacto'!$C$14,L54='Tabla Impacto'!$D$14),"Mayor",IF(OR(L54='Tabla Impacto'!$C$15,L54='Tabla Impacto'!$D$15),"Catastrófico","")))))</f>
        <v/>
      </c>
      <c r="N54" s="221" t="str">
        <f t="shared" ca="1" si="1"/>
        <v/>
      </c>
      <c r="O54" s="223" t="str">
        <f t="shared" ca="1" si="2"/>
        <v/>
      </c>
      <c r="Q54" s="224"/>
      <c r="R54" s="225" t="str">
        <f>IF(OR(S54="Preventivo",S54="Detectivo"),"Probabilidad",IF(S54="Correctivo","Impacto",""))</f>
        <v/>
      </c>
      <c r="S54" s="226"/>
      <c r="T54" s="226"/>
      <c r="U54" s="227" t="str">
        <f t="shared" si="31"/>
        <v/>
      </c>
      <c r="V54" s="226"/>
      <c r="W54" s="226"/>
      <c r="X54" s="226"/>
      <c r="Y54" s="228" t="str">
        <f t="shared" si="4"/>
        <v/>
      </c>
      <c r="Z54" s="229" t="str">
        <f t="shared" si="5"/>
        <v/>
      </c>
      <c r="AA54" s="227" t="str">
        <f t="shared" si="6"/>
        <v/>
      </c>
      <c r="AB54" s="229" t="str">
        <f t="shared" si="7"/>
        <v/>
      </c>
      <c r="AC54" s="227" t="str">
        <f t="shared" si="8"/>
        <v/>
      </c>
      <c r="AD54" s="230" t="str">
        <f t="shared" si="9"/>
        <v/>
      </c>
      <c r="AE54" s="226"/>
      <c r="AF54" s="217"/>
      <c r="AG54" s="219"/>
      <c r="AH54" s="231"/>
      <c r="AI54" s="231"/>
      <c r="AJ54" s="217"/>
      <c r="AK54" s="219"/>
      <c r="AL54" s="208"/>
      <c r="AM54" s="208"/>
      <c r="AN54" s="208"/>
      <c r="AO54" s="208"/>
      <c r="AP54" s="208"/>
      <c r="AQ54" s="208"/>
      <c r="AR54" s="208"/>
      <c r="AS54" s="208"/>
      <c r="AT54" s="208"/>
      <c r="AU54" s="208"/>
      <c r="AV54" s="208"/>
      <c r="AW54" s="208"/>
      <c r="AX54" s="208"/>
      <c r="AY54" s="208"/>
      <c r="AZ54" s="208"/>
      <c r="BA54" s="208"/>
      <c r="BB54" s="208"/>
      <c r="BC54" s="208"/>
      <c r="BD54" s="208"/>
      <c r="BE54" s="208"/>
      <c r="BF54" s="208"/>
      <c r="BG54" s="208"/>
      <c r="BH54" s="208"/>
      <c r="BI54" s="208"/>
      <c r="BJ54" s="208"/>
      <c r="BK54" s="208"/>
      <c r="BL54" s="208"/>
      <c r="BM54" s="208"/>
      <c r="BN54" s="208"/>
      <c r="BO54" s="208"/>
      <c r="BP54" s="208"/>
      <c r="BQ54" s="208"/>
    </row>
    <row r="55" spans="1:69" hidden="1" x14ac:dyDescent="0.25">
      <c r="C55" s="217"/>
      <c r="D55" s="217"/>
      <c r="E55" s="217"/>
      <c r="F55" s="218"/>
      <c r="G55" s="217"/>
      <c r="H55" s="219"/>
      <c r="I55" s="220" t="str">
        <f t="shared" si="0"/>
        <v/>
      </c>
      <c r="J55" s="221" t="str">
        <f t="shared" si="10"/>
        <v/>
      </c>
      <c r="K55" s="222"/>
      <c r="L55" s="221">
        <f ca="1">IF(NOT(ISERROR(MATCH(K55,_xlfn.ANCHORARRAY(F66),0))),J68&amp;"Por favor no seleccionar los criterios de impacto",K55)</f>
        <v>0</v>
      </c>
      <c r="M55" s="220" t="str">
        <f ca="1">IF(OR(L55='Tabla Impacto'!$C$11,L55='Tabla Impacto'!$D$11),"Leve",IF(OR(L55='Tabla Impacto'!$C$12,L55='Tabla Impacto'!$D$12),"Menor",IF(OR(L55='Tabla Impacto'!$C$13,L55='Tabla Impacto'!$D$13),"Moderado",IF(OR(L55='Tabla Impacto'!$C$14,L55='Tabla Impacto'!$D$14),"Mayor",IF(OR(L55='Tabla Impacto'!$C$15,L55='Tabla Impacto'!$D$15),"Catastrófico","")))))</f>
        <v/>
      </c>
      <c r="N55" s="221" t="str">
        <f t="shared" ca="1" si="1"/>
        <v/>
      </c>
      <c r="O55" s="223" t="str">
        <f t="shared" ca="1" si="2"/>
        <v/>
      </c>
      <c r="Q55" s="224"/>
      <c r="R55" s="225" t="str">
        <f t="shared" ref="R55:R57" si="32">IF(OR(S55="Preventivo",S55="Detectivo"),"Probabilidad",IF(S55="Correctivo","Impacto",""))</f>
        <v/>
      </c>
      <c r="S55" s="226"/>
      <c r="T55" s="226"/>
      <c r="U55" s="227" t="str">
        <f t="shared" si="31"/>
        <v/>
      </c>
      <c r="V55" s="226"/>
      <c r="W55" s="226"/>
      <c r="X55" s="226"/>
      <c r="Y55" s="228" t="str">
        <f t="shared" si="4"/>
        <v/>
      </c>
      <c r="Z55" s="229" t="str">
        <f t="shared" si="5"/>
        <v/>
      </c>
      <c r="AA55" s="227" t="str">
        <f t="shared" si="6"/>
        <v/>
      </c>
      <c r="AB55" s="229" t="str">
        <f t="shared" si="7"/>
        <v/>
      </c>
      <c r="AC55" s="227" t="str">
        <f t="shared" si="8"/>
        <v/>
      </c>
      <c r="AD55" s="230" t="str">
        <f t="shared" si="9"/>
        <v/>
      </c>
      <c r="AE55" s="226"/>
      <c r="AF55" s="217"/>
      <c r="AG55" s="219"/>
      <c r="AH55" s="231"/>
      <c r="AI55" s="231"/>
      <c r="AJ55" s="217"/>
      <c r="AK55" s="219"/>
      <c r="AL55" s="208"/>
      <c r="AM55" s="208"/>
      <c r="AN55" s="208"/>
      <c r="AO55" s="208"/>
      <c r="AP55" s="208"/>
      <c r="AQ55" s="208"/>
      <c r="AR55" s="208"/>
      <c r="AS55" s="208"/>
      <c r="AT55" s="208"/>
      <c r="AU55" s="208"/>
      <c r="AV55" s="208"/>
      <c r="AW55" s="208"/>
      <c r="AX55" s="208"/>
      <c r="AY55" s="208"/>
      <c r="AZ55" s="208"/>
      <c r="BA55" s="208"/>
      <c r="BB55" s="208"/>
      <c r="BC55" s="208"/>
      <c r="BD55" s="208"/>
      <c r="BE55" s="208"/>
      <c r="BF55" s="208"/>
      <c r="BG55" s="208"/>
      <c r="BH55" s="208"/>
      <c r="BI55" s="208"/>
      <c r="BJ55" s="208"/>
      <c r="BK55" s="208"/>
      <c r="BL55" s="208"/>
      <c r="BM55" s="208"/>
      <c r="BN55" s="208"/>
      <c r="BO55" s="208"/>
      <c r="BP55" s="208"/>
      <c r="BQ55" s="208"/>
    </row>
    <row r="56" spans="1:69" hidden="1" x14ac:dyDescent="0.25">
      <c r="C56" s="217"/>
      <c r="D56" s="217"/>
      <c r="E56" s="217"/>
      <c r="F56" s="218"/>
      <c r="G56" s="217"/>
      <c r="H56" s="219"/>
      <c r="I56" s="220" t="str">
        <f t="shared" ref="I56:I67" si="33">IF(H56&lt;=0,"",IF(H56&lt;=2,"Muy Baja",IF(H56&lt;=24,"Baja",IF(H56&lt;=500,"Media",IF(H56&lt;=5000,"Alta","Muy Alta")))))</f>
        <v/>
      </c>
      <c r="J56" s="221" t="str">
        <f t="shared" si="10"/>
        <v/>
      </c>
      <c r="K56" s="222"/>
      <c r="L56" s="221">
        <f ca="1">IF(NOT(ISERROR(MATCH(K56,_xlfn.ANCHORARRAY(F67),0))),J69&amp;"Por favor no seleccionar los criterios de impacto",K56)</f>
        <v>0</v>
      </c>
      <c r="M56" s="220" t="str">
        <f ca="1">IF(OR(L56='Tabla Impacto'!$C$11,L56='Tabla Impacto'!$D$11),"Leve",IF(OR(L56='Tabla Impacto'!$C$12,L56='Tabla Impacto'!$D$12),"Menor",IF(OR(L56='Tabla Impacto'!$C$13,L56='Tabla Impacto'!$D$13),"Moderado",IF(OR(L56='Tabla Impacto'!$C$14,L56='Tabla Impacto'!$D$14),"Mayor",IF(OR(L56='Tabla Impacto'!$C$15,L56='Tabla Impacto'!$D$15),"Catastrófico","")))))</f>
        <v/>
      </c>
      <c r="N56" s="221" t="str">
        <f t="shared" ca="1" si="1"/>
        <v/>
      </c>
      <c r="O56" s="223" t="str">
        <f t="shared" ca="1" si="2"/>
        <v/>
      </c>
      <c r="Q56" s="224"/>
      <c r="R56" s="225" t="str">
        <f t="shared" si="32"/>
        <v/>
      </c>
      <c r="S56" s="226"/>
      <c r="T56" s="226"/>
      <c r="U56" s="227" t="str">
        <f t="shared" si="31"/>
        <v/>
      </c>
      <c r="V56" s="226"/>
      <c r="W56" s="226"/>
      <c r="X56" s="226"/>
      <c r="Y56" s="228" t="str">
        <f t="shared" si="4"/>
        <v/>
      </c>
      <c r="Z56" s="229" t="str">
        <f t="shared" si="5"/>
        <v/>
      </c>
      <c r="AA56" s="227" t="str">
        <f t="shared" si="6"/>
        <v/>
      </c>
      <c r="AB56" s="229" t="str">
        <f t="shared" si="7"/>
        <v/>
      </c>
      <c r="AC56" s="227" t="str">
        <f t="shared" si="8"/>
        <v/>
      </c>
      <c r="AD56" s="230" t="str">
        <f t="shared" si="9"/>
        <v/>
      </c>
      <c r="AE56" s="226"/>
      <c r="AF56" s="217"/>
      <c r="AG56" s="219"/>
      <c r="AH56" s="231"/>
      <c r="AI56" s="231"/>
      <c r="AJ56" s="217"/>
      <c r="AK56" s="219"/>
      <c r="AL56" s="208"/>
      <c r="AM56" s="208"/>
      <c r="AN56" s="208"/>
      <c r="AO56" s="208"/>
      <c r="AP56" s="208"/>
      <c r="AQ56" s="208"/>
      <c r="AR56" s="208"/>
      <c r="AS56" s="208"/>
      <c r="AT56" s="208"/>
      <c r="AU56" s="208"/>
      <c r="AV56" s="208"/>
      <c r="AW56" s="208"/>
      <c r="AX56" s="208"/>
      <c r="AY56" s="208"/>
      <c r="AZ56" s="208"/>
      <c r="BA56" s="208"/>
      <c r="BB56" s="208"/>
      <c r="BC56" s="208"/>
      <c r="BD56" s="208"/>
      <c r="BE56" s="208"/>
      <c r="BF56" s="208"/>
      <c r="BG56" s="208"/>
      <c r="BH56" s="208"/>
      <c r="BI56" s="208"/>
      <c r="BJ56" s="208"/>
      <c r="BK56" s="208"/>
      <c r="BL56" s="208"/>
      <c r="BM56" s="208"/>
      <c r="BN56" s="208"/>
      <c r="BO56" s="208"/>
      <c r="BP56" s="208"/>
      <c r="BQ56" s="208"/>
    </row>
    <row r="57" spans="1:69" hidden="1" x14ac:dyDescent="0.25">
      <c r="C57" s="217"/>
      <c r="D57" s="217"/>
      <c r="E57" s="217"/>
      <c r="F57" s="218"/>
      <c r="G57" s="217"/>
      <c r="H57" s="219"/>
      <c r="I57" s="220" t="str">
        <f t="shared" si="33"/>
        <v/>
      </c>
      <c r="J57" s="221" t="str">
        <f t="shared" si="10"/>
        <v/>
      </c>
      <c r="K57" s="222"/>
      <c r="L57" s="221">
        <f ca="1">IF(NOT(ISERROR(MATCH(K57,_xlfn.ANCHORARRAY(F68),0))),J70&amp;"Por favor no seleccionar los criterios de impacto",K57)</f>
        <v>0</v>
      </c>
      <c r="M57" s="220" t="str">
        <f ca="1">IF(OR(L57='Tabla Impacto'!$C$11,L57='Tabla Impacto'!$D$11),"Leve",IF(OR(L57='Tabla Impacto'!$C$12,L57='Tabla Impacto'!$D$12),"Menor",IF(OR(L57='Tabla Impacto'!$C$13,L57='Tabla Impacto'!$D$13),"Moderado",IF(OR(L57='Tabla Impacto'!$C$14,L57='Tabla Impacto'!$D$14),"Mayor",IF(OR(L57='Tabla Impacto'!$C$15,L57='Tabla Impacto'!$D$15),"Catastrófico","")))))</f>
        <v/>
      </c>
      <c r="N57" s="221" t="str">
        <f t="shared" ca="1" si="1"/>
        <v/>
      </c>
      <c r="O57" s="223" t="str">
        <f t="shared" ca="1" si="2"/>
        <v/>
      </c>
      <c r="Q57" s="224"/>
      <c r="R57" s="225" t="str">
        <f t="shared" si="32"/>
        <v/>
      </c>
      <c r="S57" s="226"/>
      <c r="T57" s="226"/>
      <c r="U57" s="227" t="str">
        <f t="shared" si="31"/>
        <v/>
      </c>
      <c r="V57" s="226"/>
      <c r="W57" s="226"/>
      <c r="X57" s="226"/>
      <c r="Y57" s="228" t="str">
        <f t="shared" si="4"/>
        <v/>
      </c>
      <c r="Z57" s="229" t="str">
        <f t="shared" si="5"/>
        <v/>
      </c>
      <c r="AA57" s="227" t="str">
        <f t="shared" si="6"/>
        <v/>
      </c>
      <c r="AB57" s="229" t="str">
        <f t="shared" si="7"/>
        <v/>
      </c>
      <c r="AC57" s="227" t="str">
        <f t="shared" si="8"/>
        <v/>
      </c>
      <c r="AD57" s="230" t="str">
        <f t="shared" si="9"/>
        <v/>
      </c>
      <c r="AE57" s="226"/>
      <c r="AF57" s="217"/>
      <c r="AG57" s="219"/>
      <c r="AH57" s="231"/>
      <c r="AI57" s="231"/>
      <c r="AJ57" s="217"/>
      <c r="AK57" s="219"/>
      <c r="AL57" s="208"/>
      <c r="AM57" s="208"/>
      <c r="AN57" s="208"/>
      <c r="AO57" s="208"/>
      <c r="AP57" s="208"/>
      <c r="AQ57" s="208"/>
      <c r="AR57" s="208"/>
      <c r="AS57" s="208"/>
      <c r="AT57" s="208"/>
      <c r="AU57" s="208"/>
      <c r="AV57" s="208"/>
      <c r="AW57" s="208"/>
      <c r="AX57" s="208"/>
      <c r="AY57" s="208"/>
      <c r="AZ57" s="208"/>
      <c r="BA57" s="208"/>
      <c r="BB57" s="208"/>
      <c r="BC57" s="208"/>
      <c r="BD57" s="208"/>
      <c r="BE57" s="208"/>
      <c r="BF57" s="208"/>
      <c r="BG57" s="208"/>
      <c r="BH57" s="208"/>
      <c r="BI57" s="208"/>
      <c r="BJ57" s="208"/>
      <c r="BK57" s="208"/>
      <c r="BL57" s="208"/>
      <c r="BM57" s="208"/>
      <c r="BN57" s="208"/>
      <c r="BO57" s="208"/>
      <c r="BP57" s="208"/>
      <c r="BQ57" s="208"/>
    </row>
    <row r="58" spans="1:69" hidden="1" x14ac:dyDescent="0.25">
      <c r="C58" s="217"/>
      <c r="D58" s="217"/>
      <c r="E58" s="217"/>
      <c r="F58" s="218"/>
      <c r="G58" s="217"/>
      <c r="H58" s="219"/>
      <c r="I58" s="220" t="str">
        <f t="shared" si="33"/>
        <v/>
      </c>
      <c r="J58" s="221" t="str">
        <f t="shared" si="10"/>
        <v/>
      </c>
      <c r="K58" s="222"/>
      <c r="L58" s="221">
        <f ca="1">IF(NOT(ISERROR(MATCH(K58,'Tabla Impacto'!$B$221:$B$223,0))),'Tabla Impacto'!$F$223&amp;"Por favor no seleccionar los criterios de impacto(Afectación Económica o presupuestal y Pérdida Reputacional)",K58)</f>
        <v>0</v>
      </c>
      <c r="M58" s="220" t="str">
        <f ca="1">IF(OR(L58='Tabla Impacto'!$C$11,L58='Tabla Impacto'!$D$11),"Leve",IF(OR(L58='Tabla Impacto'!$C$12,L58='Tabla Impacto'!$D$12),"Menor",IF(OR(L58='Tabla Impacto'!$C$13,L58='Tabla Impacto'!$D$13),"Moderado",IF(OR(L58='Tabla Impacto'!$C$14,L58='Tabla Impacto'!$D$14),"Mayor",IF(OR(L58='Tabla Impacto'!$C$15,L58='Tabla Impacto'!$D$15),"Catastrófico","")))))</f>
        <v/>
      </c>
      <c r="N58" s="221" t="str">
        <f t="shared" ca="1" si="1"/>
        <v/>
      </c>
      <c r="O58" s="223" t="str">
        <f t="shared" ca="1" si="2"/>
        <v/>
      </c>
      <c r="Q58" s="224"/>
      <c r="R58" s="225" t="str">
        <f>IF(OR(S58="Preventivo",S58="Detectivo"),"Probabilidad",IF(S58="Correctivo","Impacto",""))</f>
        <v/>
      </c>
      <c r="S58" s="226"/>
      <c r="T58" s="226"/>
      <c r="U58" s="227" t="str">
        <f>IF(AND(S58="Preventivo",T58="Automático"),"50%",IF(AND(S58="Preventivo",T58="Manual"),"40%",IF(AND(S58="Detectivo",T58="Automático"),"40%",IF(AND(S58="Detectivo",T58="Manual"),"30%",IF(AND(S58="Correctivo",T58="Automático"),"35%",IF(AND(S58="Correctivo",T58="Manual"),"25%",""))))))</f>
        <v/>
      </c>
      <c r="V58" s="226"/>
      <c r="W58" s="226"/>
      <c r="X58" s="226"/>
      <c r="Y58" s="228" t="str">
        <f t="shared" si="4"/>
        <v/>
      </c>
      <c r="Z58" s="229" t="str">
        <f t="shared" si="5"/>
        <v/>
      </c>
      <c r="AA58" s="227" t="str">
        <f t="shared" si="6"/>
        <v/>
      </c>
      <c r="AB58" s="229" t="str">
        <f t="shared" si="7"/>
        <v/>
      </c>
      <c r="AC58" s="227" t="str">
        <f t="shared" si="8"/>
        <v/>
      </c>
      <c r="AD58" s="230" t="str">
        <f t="shared" si="9"/>
        <v/>
      </c>
      <c r="AE58" s="226"/>
      <c r="AF58" s="217"/>
      <c r="AG58" s="219"/>
      <c r="AH58" s="231"/>
      <c r="AI58" s="231"/>
      <c r="AJ58" s="217"/>
      <c r="AK58" s="219"/>
      <c r="AL58" s="208"/>
      <c r="AM58" s="208"/>
      <c r="AN58" s="208"/>
      <c r="AO58" s="208"/>
      <c r="AP58" s="208"/>
      <c r="AQ58" s="208"/>
      <c r="AR58" s="208"/>
      <c r="AS58" s="208"/>
      <c r="AT58" s="208"/>
      <c r="AU58" s="208"/>
      <c r="AV58" s="208"/>
      <c r="AW58" s="208"/>
      <c r="AX58" s="208"/>
      <c r="AY58" s="208"/>
      <c r="AZ58" s="208"/>
      <c r="BA58" s="208"/>
      <c r="BB58" s="208"/>
      <c r="BC58" s="208"/>
      <c r="BD58" s="208"/>
      <c r="BE58" s="208"/>
      <c r="BF58" s="208"/>
      <c r="BG58" s="208"/>
      <c r="BH58" s="208"/>
      <c r="BI58" s="208"/>
      <c r="BJ58" s="208"/>
      <c r="BK58" s="208"/>
      <c r="BL58" s="208"/>
      <c r="BM58" s="208"/>
      <c r="BN58" s="208"/>
      <c r="BO58" s="208"/>
      <c r="BP58" s="208"/>
      <c r="BQ58" s="208"/>
    </row>
    <row r="59" spans="1:69" hidden="1" x14ac:dyDescent="0.25">
      <c r="C59" s="217"/>
      <c r="D59" s="217"/>
      <c r="E59" s="217"/>
      <c r="F59" s="218"/>
      <c r="G59" s="217"/>
      <c r="H59" s="219"/>
      <c r="I59" s="220" t="str">
        <f t="shared" si="33"/>
        <v/>
      </c>
      <c r="J59" s="221" t="str">
        <f t="shared" si="10"/>
        <v/>
      </c>
      <c r="K59" s="222"/>
      <c r="L59" s="221">
        <f ca="1">IF(NOT(ISERROR(MATCH(K59,_xlfn.ANCHORARRAY(F70),0))),J72&amp;"Por favor no seleccionar los criterios de impacto",K59)</f>
        <v>0</v>
      </c>
      <c r="M59" s="220" t="str">
        <f ca="1">IF(OR(L59='Tabla Impacto'!$C$11,L59='Tabla Impacto'!$D$11),"Leve",IF(OR(L59='Tabla Impacto'!$C$12,L59='Tabla Impacto'!$D$12),"Menor",IF(OR(L59='Tabla Impacto'!$C$13,L59='Tabla Impacto'!$D$13),"Moderado",IF(OR(L59='Tabla Impacto'!$C$14,L59='Tabla Impacto'!$D$14),"Mayor",IF(OR(L59='Tabla Impacto'!$C$15,L59='Tabla Impacto'!$D$15),"Catastrófico","")))))</f>
        <v/>
      </c>
      <c r="N59" s="221" t="str">
        <f t="shared" ca="1" si="1"/>
        <v/>
      </c>
      <c r="O59" s="223" t="str">
        <f t="shared" ca="1" si="2"/>
        <v/>
      </c>
      <c r="Q59" s="224"/>
      <c r="R59" s="225" t="str">
        <f>IF(OR(S59="Preventivo",S59="Detectivo"),"Probabilidad",IF(S59="Correctivo","Impacto",""))</f>
        <v/>
      </c>
      <c r="S59" s="226"/>
      <c r="T59" s="226"/>
      <c r="U59" s="227" t="str">
        <f t="shared" ref="U59:U63" si="34">IF(AND(S59="Preventivo",T59="Automático"),"50%",IF(AND(S59="Preventivo",T59="Manual"),"40%",IF(AND(S59="Detectivo",T59="Automático"),"40%",IF(AND(S59="Detectivo",T59="Manual"),"30%",IF(AND(S59="Correctivo",T59="Automático"),"35%",IF(AND(S59="Correctivo",T59="Manual"),"25%",""))))))</f>
        <v/>
      </c>
      <c r="V59" s="226"/>
      <c r="W59" s="226"/>
      <c r="X59" s="226"/>
      <c r="Y59" s="228" t="str">
        <f t="shared" si="4"/>
        <v/>
      </c>
      <c r="Z59" s="229" t="str">
        <f t="shared" si="5"/>
        <v/>
      </c>
      <c r="AA59" s="227" t="str">
        <f t="shared" si="6"/>
        <v/>
      </c>
      <c r="AB59" s="229" t="str">
        <f t="shared" si="7"/>
        <v/>
      </c>
      <c r="AC59" s="227" t="str">
        <f t="shared" si="8"/>
        <v/>
      </c>
      <c r="AD59" s="230" t="str">
        <f t="shared" si="9"/>
        <v/>
      </c>
      <c r="AE59" s="226"/>
      <c r="AF59" s="217"/>
      <c r="AG59" s="219"/>
      <c r="AH59" s="231"/>
      <c r="AI59" s="231"/>
      <c r="AJ59" s="217"/>
      <c r="AK59" s="219"/>
      <c r="AL59" s="208"/>
      <c r="AM59" s="208"/>
      <c r="AN59" s="208"/>
      <c r="AO59" s="208"/>
      <c r="AP59" s="208"/>
      <c r="AQ59" s="208"/>
      <c r="AR59" s="208"/>
      <c r="AS59" s="208"/>
      <c r="AT59" s="208"/>
      <c r="AU59" s="208"/>
      <c r="AV59" s="208"/>
      <c r="AW59" s="208"/>
      <c r="AX59" s="208"/>
      <c r="AY59" s="208"/>
      <c r="AZ59" s="208"/>
      <c r="BA59" s="208"/>
      <c r="BB59" s="208"/>
      <c r="BC59" s="208"/>
      <c r="BD59" s="208"/>
      <c r="BE59" s="208"/>
      <c r="BF59" s="208"/>
      <c r="BG59" s="208"/>
      <c r="BH59" s="208"/>
      <c r="BI59" s="208"/>
      <c r="BJ59" s="208"/>
      <c r="BK59" s="208"/>
      <c r="BL59" s="208"/>
      <c r="BM59" s="208"/>
      <c r="BN59" s="208"/>
      <c r="BO59" s="208"/>
      <c r="BP59" s="208"/>
      <c r="BQ59" s="208"/>
    </row>
    <row r="60" spans="1:69" hidden="1" x14ac:dyDescent="0.25">
      <c r="C60" s="217"/>
      <c r="D60" s="217"/>
      <c r="E60" s="217"/>
      <c r="F60" s="218"/>
      <c r="G60" s="217"/>
      <c r="H60" s="219"/>
      <c r="I60" s="220" t="str">
        <f t="shared" si="33"/>
        <v/>
      </c>
      <c r="J60" s="221" t="str">
        <f t="shared" si="10"/>
        <v/>
      </c>
      <c r="K60" s="222"/>
      <c r="L60" s="221">
        <f ca="1">IF(NOT(ISERROR(MATCH(K60,_xlfn.ANCHORARRAY(F71),0))),J73&amp;"Por favor no seleccionar los criterios de impacto",K60)</f>
        <v>0</v>
      </c>
      <c r="M60" s="220" t="str">
        <f ca="1">IF(OR(L60='Tabla Impacto'!$C$11,L60='Tabla Impacto'!$D$11),"Leve",IF(OR(L60='Tabla Impacto'!$C$12,L60='Tabla Impacto'!$D$12),"Menor",IF(OR(L60='Tabla Impacto'!$C$13,L60='Tabla Impacto'!$D$13),"Moderado",IF(OR(L60='Tabla Impacto'!$C$14,L60='Tabla Impacto'!$D$14),"Mayor",IF(OR(L60='Tabla Impacto'!$C$15,L60='Tabla Impacto'!$D$15),"Catastrófico","")))))</f>
        <v/>
      </c>
      <c r="N60" s="221" t="str">
        <f t="shared" ca="1" si="1"/>
        <v/>
      </c>
      <c r="O60" s="223" t="str">
        <f t="shared" ca="1" si="2"/>
        <v/>
      </c>
      <c r="Q60" s="224"/>
      <c r="R60" s="225" t="str">
        <f>IF(OR(S60="Preventivo",S60="Detectivo"),"Probabilidad",IF(S60="Correctivo","Impacto",""))</f>
        <v/>
      </c>
      <c r="S60" s="226"/>
      <c r="T60" s="226"/>
      <c r="U60" s="227" t="str">
        <f t="shared" si="34"/>
        <v/>
      </c>
      <c r="V60" s="226"/>
      <c r="W60" s="226"/>
      <c r="X60" s="226"/>
      <c r="Y60" s="228" t="str">
        <f t="shared" si="4"/>
        <v/>
      </c>
      <c r="Z60" s="229" t="str">
        <f t="shared" si="5"/>
        <v/>
      </c>
      <c r="AA60" s="227" t="str">
        <f t="shared" si="6"/>
        <v/>
      </c>
      <c r="AB60" s="229" t="str">
        <f t="shared" si="7"/>
        <v/>
      </c>
      <c r="AC60" s="227" t="str">
        <f t="shared" si="8"/>
        <v/>
      </c>
      <c r="AD60" s="230" t="str">
        <f t="shared" si="9"/>
        <v/>
      </c>
      <c r="AE60" s="226"/>
      <c r="AF60" s="217"/>
      <c r="AG60" s="219"/>
      <c r="AH60" s="231"/>
      <c r="AI60" s="231"/>
      <c r="AJ60" s="217"/>
      <c r="AK60" s="219"/>
      <c r="AL60" s="208"/>
      <c r="AM60" s="208"/>
      <c r="AN60" s="208"/>
      <c r="AO60" s="208"/>
      <c r="AP60" s="208"/>
      <c r="AQ60" s="208"/>
      <c r="AR60" s="208"/>
      <c r="AS60" s="208"/>
      <c r="AT60" s="208"/>
      <c r="AU60" s="208"/>
      <c r="AV60" s="208"/>
      <c r="AW60" s="208"/>
      <c r="AX60" s="208"/>
      <c r="AY60" s="208"/>
      <c r="AZ60" s="208"/>
      <c r="BA60" s="208"/>
      <c r="BB60" s="208"/>
      <c r="BC60" s="208"/>
      <c r="BD60" s="208"/>
      <c r="BE60" s="208"/>
      <c r="BF60" s="208"/>
      <c r="BG60" s="208"/>
      <c r="BH60" s="208"/>
      <c r="BI60" s="208"/>
      <c r="BJ60" s="208"/>
      <c r="BK60" s="208"/>
      <c r="BL60" s="208"/>
      <c r="BM60" s="208"/>
      <c r="BN60" s="208"/>
      <c r="BO60" s="208"/>
      <c r="BP60" s="208"/>
      <c r="BQ60" s="208"/>
    </row>
    <row r="61" spans="1:69" hidden="1" x14ac:dyDescent="0.25">
      <c r="C61" s="217"/>
      <c r="D61" s="217"/>
      <c r="E61" s="217"/>
      <c r="F61" s="218"/>
      <c r="G61" s="217"/>
      <c r="H61" s="219"/>
      <c r="I61" s="220" t="str">
        <f t="shared" si="33"/>
        <v/>
      </c>
      <c r="J61" s="221" t="str">
        <f t="shared" si="10"/>
        <v/>
      </c>
      <c r="K61" s="222"/>
      <c r="L61" s="221">
        <f ca="1">IF(NOT(ISERROR(MATCH(K61,_xlfn.ANCHORARRAY(F72),0))),J74&amp;"Por favor no seleccionar los criterios de impacto",K61)</f>
        <v>0</v>
      </c>
      <c r="M61" s="220" t="str">
        <f ca="1">IF(OR(L61='Tabla Impacto'!$C$11,L61='Tabla Impacto'!$D$11),"Leve",IF(OR(L61='Tabla Impacto'!$C$12,L61='Tabla Impacto'!$D$12),"Menor",IF(OR(L61='Tabla Impacto'!$C$13,L61='Tabla Impacto'!$D$13),"Moderado",IF(OR(L61='Tabla Impacto'!$C$14,L61='Tabla Impacto'!$D$14),"Mayor",IF(OR(L61='Tabla Impacto'!$C$15,L61='Tabla Impacto'!$D$15),"Catastrófico","")))))</f>
        <v/>
      </c>
      <c r="N61" s="221" t="str">
        <f t="shared" ca="1" si="1"/>
        <v/>
      </c>
      <c r="O61" s="223" t="str">
        <f t="shared" ca="1" si="2"/>
        <v/>
      </c>
      <c r="Q61" s="224"/>
      <c r="R61" s="225" t="str">
        <f t="shared" ref="R61:R63" si="35">IF(OR(S61="Preventivo",S61="Detectivo"),"Probabilidad",IF(S61="Correctivo","Impacto",""))</f>
        <v/>
      </c>
      <c r="S61" s="226"/>
      <c r="T61" s="226"/>
      <c r="U61" s="227" t="str">
        <f t="shared" si="34"/>
        <v/>
      </c>
      <c r="V61" s="226"/>
      <c r="W61" s="226"/>
      <c r="X61" s="226"/>
      <c r="Y61" s="228" t="str">
        <f t="shared" si="4"/>
        <v/>
      </c>
      <c r="Z61" s="229" t="str">
        <f t="shared" si="5"/>
        <v/>
      </c>
      <c r="AA61" s="227" t="str">
        <f t="shared" si="6"/>
        <v/>
      </c>
      <c r="AB61" s="229" t="str">
        <f t="shared" si="7"/>
        <v/>
      </c>
      <c r="AC61" s="227" t="str">
        <f t="shared" si="8"/>
        <v/>
      </c>
      <c r="AD61" s="230" t="str">
        <f t="shared" si="9"/>
        <v/>
      </c>
      <c r="AE61" s="226"/>
      <c r="AF61" s="217"/>
      <c r="AG61" s="219"/>
      <c r="AH61" s="231"/>
      <c r="AI61" s="231"/>
      <c r="AJ61" s="217"/>
      <c r="AK61" s="219"/>
      <c r="AL61" s="208"/>
      <c r="AM61" s="208"/>
      <c r="AN61" s="208"/>
      <c r="AO61" s="208"/>
      <c r="AP61" s="208"/>
      <c r="AQ61" s="208"/>
      <c r="AR61" s="208"/>
      <c r="AS61" s="208"/>
      <c r="AT61" s="208"/>
      <c r="AU61" s="208"/>
      <c r="AV61" s="208"/>
      <c r="AW61" s="208"/>
      <c r="AX61" s="208"/>
      <c r="AY61" s="208"/>
      <c r="AZ61" s="208"/>
      <c r="BA61" s="208"/>
      <c r="BB61" s="208"/>
      <c r="BC61" s="208"/>
      <c r="BD61" s="208"/>
      <c r="BE61" s="208"/>
      <c r="BF61" s="208"/>
      <c r="BG61" s="208"/>
      <c r="BH61" s="208"/>
      <c r="BI61" s="208"/>
      <c r="BJ61" s="208"/>
      <c r="BK61" s="208"/>
      <c r="BL61" s="208"/>
      <c r="BM61" s="208"/>
      <c r="BN61" s="208"/>
      <c r="BO61" s="208"/>
      <c r="BP61" s="208"/>
      <c r="BQ61" s="208"/>
    </row>
    <row r="62" spans="1:69" hidden="1" x14ac:dyDescent="0.25">
      <c r="C62" s="217"/>
      <c r="D62" s="217"/>
      <c r="E62" s="217"/>
      <c r="F62" s="218"/>
      <c r="G62" s="217"/>
      <c r="H62" s="219"/>
      <c r="I62" s="220" t="str">
        <f t="shared" si="33"/>
        <v/>
      </c>
      <c r="J62" s="221" t="str">
        <f t="shared" si="10"/>
        <v/>
      </c>
      <c r="K62" s="222"/>
      <c r="L62" s="221">
        <f ca="1">IF(NOT(ISERROR(MATCH(K62,_xlfn.ANCHORARRAY(F73),0))),J75&amp;"Por favor no seleccionar los criterios de impacto",K62)</f>
        <v>0</v>
      </c>
      <c r="M62" s="220" t="str">
        <f ca="1">IF(OR(L62='Tabla Impacto'!$C$11,L62='Tabla Impacto'!$D$11),"Leve",IF(OR(L62='Tabla Impacto'!$C$12,L62='Tabla Impacto'!$D$12),"Menor",IF(OR(L62='Tabla Impacto'!$C$13,L62='Tabla Impacto'!$D$13),"Moderado",IF(OR(L62='Tabla Impacto'!$C$14,L62='Tabla Impacto'!$D$14),"Mayor",IF(OR(L62='Tabla Impacto'!$C$15,L62='Tabla Impacto'!$D$15),"Catastrófico","")))))</f>
        <v/>
      </c>
      <c r="N62" s="221" t="str">
        <f t="shared" ca="1" si="1"/>
        <v/>
      </c>
      <c r="O62" s="223" t="str">
        <f t="shared" ca="1" si="2"/>
        <v/>
      </c>
      <c r="Q62" s="224"/>
      <c r="R62" s="225" t="str">
        <f t="shared" si="35"/>
        <v/>
      </c>
      <c r="S62" s="226"/>
      <c r="T62" s="226"/>
      <c r="U62" s="227" t="str">
        <f t="shared" si="34"/>
        <v/>
      </c>
      <c r="V62" s="226"/>
      <c r="W62" s="226"/>
      <c r="X62" s="226"/>
      <c r="Y62" s="228" t="str">
        <f t="shared" si="4"/>
        <v/>
      </c>
      <c r="Z62" s="229" t="str">
        <f t="shared" si="5"/>
        <v/>
      </c>
      <c r="AA62" s="227" t="str">
        <f t="shared" si="6"/>
        <v/>
      </c>
      <c r="AB62" s="229" t="str">
        <f t="shared" si="7"/>
        <v/>
      </c>
      <c r="AC62" s="227" t="str">
        <f t="shared" si="8"/>
        <v/>
      </c>
      <c r="AD62" s="230" t="str">
        <f t="shared" si="9"/>
        <v/>
      </c>
      <c r="AE62" s="226"/>
      <c r="AF62" s="217"/>
      <c r="AG62" s="219"/>
      <c r="AH62" s="231"/>
      <c r="AI62" s="231"/>
      <c r="AJ62" s="217"/>
      <c r="AK62" s="219"/>
      <c r="AL62" s="208"/>
      <c r="AM62" s="208"/>
      <c r="AN62" s="208"/>
      <c r="AO62" s="208"/>
      <c r="AP62" s="208"/>
      <c r="AQ62" s="208"/>
      <c r="AR62" s="208"/>
      <c r="AS62" s="208"/>
      <c r="AT62" s="208"/>
      <c r="AU62" s="208"/>
      <c r="AV62" s="208"/>
      <c r="AW62" s="208"/>
      <c r="AX62" s="208"/>
      <c r="AY62" s="208"/>
      <c r="AZ62" s="208"/>
      <c r="BA62" s="208"/>
      <c r="BB62" s="208"/>
      <c r="BC62" s="208"/>
      <c r="BD62" s="208"/>
      <c r="BE62" s="208"/>
      <c r="BF62" s="208"/>
      <c r="BG62" s="208"/>
      <c r="BH62" s="208"/>
      <c r="BI62" s="208"/>
      <c r="BJ62" s="208"/>
      <c r="BK62" s="208"/>
      <c r="BL62" s="208"/>
      <c r="BM62" s="208"/>
      <c r="BN62" s="208"/>
      <c r="BO62" s="208"/>
      <c r="BP62" s="208"/>
      <c r="BQ62" s="208"/>
    </row>
    <row r="63" spans="1:69" hidden="1" x14ac:dyDescent="0.25">
      <c r="C63" s="217"/>
      <c r="D63" s="217"/>
      <c r="E63" s="217"/>
      <c r="F63" s="218"/>
      <c r="G63" s="217"/>
      <c r="H63" s="219"/>
      <c r="I63" s="220" t="str">
        <f t="shared" si="33"/>
        <v/>
      </c>
      <c r="J63" s="221" t="str">
        <f t="shared" si="10"/>
        <v/>
      </c>
      <c r="K63" s="222"/>
      <c r="L63" s="221">
        <f ca="1">IF(NOT(ISERROR(MATCH(K63,_xlfn.ANCHORARRAY(F74),0))),J76&amp;"Por favor no seleccionar los criterios de impacto",K63)</f>
        <v>0</v>
      </c>
      <c r="M63" s="220" t="str">
        <f ca="1">IF(OR(L63='Tabla Impacto'!$C$11,L63='Tabla Impacto'!$D$11),"Leve",IF(OR(L63='Tabla Impacto'!$C$12,L63='Tabla Impacto'!$D$12),"Menor",IF(OR(L63='Tabla Impacto'!$C$13,L63='Tabla Impacto'!$D$13),"Moderado",IF(OR(L63='Tabla Impacto'!$C$14,L63='Tabla Impacto'!$D$14),"Mayor",IF(OR(L63='Tabla Impacto'!$C$15,L63='Tabla Impacto'!$D$15),"Catastrófico","")))))</f>
        <v/>
      </c>
      <c r="N63" s="221" t="str">
        <f t="shared" ca="1" si="1"/>
        <v/>
      </c>
      <c r="O63" s="223" t="str">
        <f t="shared" ca="1" si="2"/>
        <v/>
      </c>
      <c r="Q63" s="224"/>
      <c r="R63" s="225" t="str">
        <f t="shared" si="35"/>
        <v/>
      </c>
      <c r="S63" s="226"/>
      <c r="T63" s="226"/>
      <c r="U63" s="227" t="str">
        <f t="shared" si="34"/>
        <v/>
      </c>
      <c r="V63" s="226"/>
      <c r="W63" s="226"/>
      <c r="X63" s="226"/>
      <c r="Y63" s="228" t="str">
        <f t="shared" ref="Y63" si="36">IFERROR(IF(AND(R62="Probabilidad",R63="Probabilidad"),(AA62-(+AA62*U63)),IF(AND(R62="Impacto",R63="Probabilidad"),(AA61-(+AA61*U63)),IF(R63="Impacto",AA62,""))),"")</f>
        <v/>
      </c>
      <c r="Z63" s="229" t="str">
        <f t="shared" ref="Z63:Z69" si="37">IFERROR(IF(Y63="","",IF(Y63&lt;=0.2,"Muy Baja",IF(Y63&lt;=0.4,"Baja",IF(Y63&lt;=0.6,"Media",IF(Y63&lt;=0.8,"Alta","Muy Alta"))))),"")</f>
        <v/>
      </c>
      <c r="AA63" s="227" t="str">
        <f t="shared" ref="AA63" si="38">+Y63</f>
        <v/>
      </c>
      <c r="AB63" s="229" t="str">
        <f t="shared" ref="AB63:AB69" si="39">IFERROR(IF(AC63="","",IF(AC63&lt;=0.2,"Leve",IF(AC63&lt;=0.4,"Menor",IF(AC63&lt;=0.6,"Moderado",IF(AC63&lt;=0.8,"Mayor","Catastrófico"))))),"")</f>
        <v/>
      </c>
      <c r="AC63" s="227" t="str">
        <f t="shared" ref="AC63" si="40">IFERROR(IF(AND(R62="Impacto",R63="Impacto"),(AC62-(+AC62*U63)),IF(AND(R62="Probabilidad",R63="Impacto"),(AC61-(+AC61*U63)),IF(R63="Probabilidad",AC62,""))),"")</f>
        <v/>
      </c>
      <c r="AD63" s="230" t="str">
        <f t="shared" ref="AD63" si="41">IFERROR(IF(OR(AND(Z63="Muy Baja",AB63="Leve"),AND(Z63="Muy Baja",AB63="Menor"),AND(Z63="Baja",AB63="Leve")),"Bajo",IF(OR(AND(Z63="Muy baja",AB63="Moderado"),AND(Z63="Baja",AB63="Menor"),AND(Z63="Baja",AB63="Moderado"),AND(Z63="Media",AB63="Leve"),AND(Z63="Media",AB63="Menor"),AND(Z63="Media",AB63="Moderado"),AND(Z63="Alta",AB63="Leve"),AND(Z63="Alta",AB63="Menor")),"Moderado",IF(OR(AND(Z63="Muy Baja",AB63="Mayor"),AND(Z63="Baja",AB63="Mayor"),AND(Z63="Media",AB63="Mayor"),AND(Z63="Alta",AB63="Moderado"),AND(Z63="Alta",AB63="Mayor"),AND(Z63="Muy Alta",AB63="Leve"),AND(Z63="Muy Alta",AB63="Menor"),AND(Z63="Muy Alta",AB63="Moderado"),AND(Z63="Muy Alta",AB63="Mayor")),"Alto",IF(OR(AND(Z63="Muy Baja",AB63="Catastrófico"),AND(Z63="Baja",AB63="Catastrófico"),AND(Z63="Media",AB63="Catastrófico"),AND(Z63="Alta",AB63="Catastrófico"),AND(Z63="Muy Alta",AB63="Catastrófico")),"Extremo","")))),"")</f>
        <v/>
      </c>
      <c r="AE63" s="226"/>
      <c r="AF63" s="217"/>
      <c r="AG63" s="219"/>
      <c r="AH63" s="231"/>
      <c r="AI63" s="231"/>
      <c r="AJ63" s="217"/>
      <c r="AK63" s="219"/>
      <c r="AL63" s="208"/>
      <c r="AM63" s="208"/>
      <c r="AN63" s="208"/>
      <c r="AO63" s="208"/>
      <c r="AP63" s="208"/>
      <c r="AQ63" s="208"/>
      <c r="AR63" s="208"/>
      <c r="AS63" s="208"/>
      <c r="AT63" s="208"/>
      <c r="AU63" s="208"/>
      <c r="AV63" s="208"/>
      <c r="AW63" s="208"/>
      <c r="AX63" s="208"/>
      <c r="AY63" s="208"/>
      <c r="AZ63" s="208"/>
      <c r="BA63" s="208"/>
      <c r="BB63" s="208"/>
      <c r="BC63" s="208"/>
      <c r="BD63" s="208"/>
      <c r="BE63" s="208"/>
      <c r="BF63" s="208"/>
      <c r="BG63" s="208"/>
      <c r="BH63" s="208"/>
      <c r="BI63" s="208"/>
      <c r="BJ63" s="208"/>
      <c r="BK63" s="208"/>
      <c r="BL63" s="208"/>
      <c r="BM63" s="208"/>
      <c r="BN63" s="208"/>
      <c r="BO63" s="208"/>
      <c r="BP63" s="208"/>
      <c r="BQ63" s="208"/>
    </row>
    <row r="64" spans="1:69" hidden="1" x14ac:dyDescent="0.25">
      <c r="C64" s="217"/>
      <c r="D64" s="217"/>
      <c r="E64" s="217"/>
      <c r="F64" s="218"/>
      <c r="G64" s="217"/>
      <c r="H64" s="219"/>
      <c r="I64" s="220" t="str">
        <f t="shared" si="33"/>
        <v/>
      </c>
      <c r="J64" s="221" t="str">
        <f t="shared" si="10"/>
        <v/>
      </c>
      <c r="K64" s="222"/>
      <c r="L64" s="221">
        <f ca="1">IF(NOT(ISERROR(MATCH(K64,'Tabla Impacto'!$B$221:$B$223,0))),'Tabla Impacto'!$F$223&amp;"Por favor no seleccionar los criterios de impacto(Afectación Económica o presupuestal y Pérdida Reputacional)",K64)</f>
        <v>0</v>
      </c>
      <c r="M64" s="220" t="str">
        <f ca="1">IF(OR(L64='Tabla Impacto'!$C$11,L64='Tabla Impacto'!$D$11),"Leve",IF(OR(L64='Tabla Impacto'!$C$12,L64='Tabla Impacto'!$D$12),"Menor",IF(OR(L64='Tabla Impacto'!$C$13,L64='Tabla Impacto'!$D$13),"Moderado",IF(OR(L64='Tabla Impacto'!$C$14,L64='Tabla Impacto'!$D$14),"Mayor",IF(OR(L64='Tabla Impacto'!$C$15,L64='Tabla Impacto'!$D$15),"Catastrófico","")))))</f>
        <v/>
      </c>
      <c r="N64" s="221" t="str">
        <f t="shared" ca="1" si="1"/>
        <v/>
      </c>
      <c r="O64" s="223" t="str">
        <f t="shared" ca="1" si="2"/>
        <v/>
      </c>
      <c r="Q64" s="224"/>
      <c r="R64" s="225" t="str">
        <f>IF(OR(S64="Preventivo",S64="Detectivo"),"Probabilidad",IF(S64="Correctivo","Impacto",""))</f>
        <v/>
      </c>
      <c r="S64" s="226"/>
      <c r="T64" s="226"/>
      <c r="U64" s="227" t="str">
        <f>IF(AND(S64="Preventivo",T64="Automático"),"50%",IF(AND(S64="Preventivo",T64="Manual"),"40%",IF(AND(S64="Detectivo",T64="Automático"),"40%",IF(AND(S64="Detectivo",T64="Manual"),"30%",IF(AND(S64="Correctivo",T64="Automático"),"35%",IF(AND(S64="Correctivo",T64="Manual"),"25%",""))))))</f>
        <v/>
      </c>
      <c r="V64" s="226"/>
      <c r="W64" s="226"/>
      <c r="X64" s="226"/>
      <c r="Y64" s="228" t="str">
        <f>IFERROR(IF(R64="Probabilidad",(J64-(+J64*U64)),IF(R64="Impacto",J64,"")),"")</f>
        <v/>
      </c>
      <c r="Z64" s="229" t="str">
        <f>IFERROR(IF(Y64="","",IF(Y64&lt;=0.2,"Muy Baja",IF(Y64&lt;=0.4,"Baja",IF(Y64&lt;=0.6,"Media",IF(Y64&lt;=0.8,"Alta","Muy Alta"))))),"")</f>
        <v/>
      </c>
      <c r="AA64" s="227" t="str">
        <f>+Y64</f>
        <v/>
      </c>
      <c r="AB64" s="229" t="str">
        <f>IFERROR(IF(AC64="","",IF(AC64&lt;=0.2,"Leve",IF(AC64&lt;=0.4,"Menor",IF(AC64&lt;=0.6,"Moderado",IF(AC64&lt;=0.8,"Mayor","Catastrófico"))))),"")</f>
        <v/>
      </c>
      <c r="AC64" s="227" t="str">
        <f>IFERROR(IF(R64="Impacto",(N64-(+N64*U64)),IF(R64="Probabilidad",N64,"")),"")</f>
        <v/>
      </c>
      <c r="AD64" s="230" t="str">
        <f>IFERROR(IF(OR(AND(Z64="Muy Baja",AB64="Leve"),AND(Z64="Muy Baja",AB64="Menor"),AND(Z64="Baja",AB64="Leve")),"Bajo",IF(OR(AND(Z64="Muy baja",AB64="Moderado"),AND(Z64="Baja",AB64="Menor"),AND(Z64="Baja",AB64="Moderado"),AND(Z64="Media",AB64="Leve"),AND(Z64="Media",AB64="Menor"),AND(Z64="Media",AB64="Moderado"),AND(Z64="Alta",AB64="Leve"),AND(Z64="Alta",AB64="Menor")),"Moderado",IF(OR(AND(Z64="Muy Baja",AB64="Mayor"),AND(Z64="Baja",AB64="Mayor"),AND(Z64="Media",AB64="Mayor"),AND(Z64="Alta",AB64="Moderado"),AND(Z64="Alta",AB64="Mayor"),AND(Z64="Muy Alta",AB64="Leve"),AND(Z64="Muy Alta",AB64="Menor"),AND(Z64="Muy Alta",AB64="Moderado"),AND(Z64="Muy Alta",AB64="Mayor")),"Alto",IF(OR(AND(Z64="Muy Baja",AB64="Catastrófico"),AND(Z64="Baja",AB64="Catastrófico"),AND(Z64="Media",AB64="Catastrófico"),AND(Z64="Alta",AB64="Catastrófico"),AND(Z64="Muy Alta",AB64="Catastrófico")),"Extremo","")))),"")</f>
        <v/>
      </c>
      <c r="AE64" s="226"/>
      <c r="AF64" s="217"/>
      <c r="AG64" s="219"/>
      <c r="AH64" s="231"/>
      <c r="AI64" s="231"/>
      <c r="AJ64" s="217"/>
      <c r="AK64" s="219"/>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8"/>
    </row>
    <row r="65" spans="3:37" hidden="1" x14ac:dyDescent="0.25">
      <c r="C65" s="217"/>
      <c r="D65" s="217"/>
      <c r="E65" s="217"/>
      <c r="F65" s="218"/>
      <c r="G65" s="217"/>
      <c r="H65" s="219"/>
      <c r="I65" s="220" t="str">
        <f t="shared" si="33"/>
        <v/>
      </c>
      <c r="J65" s="221" t="str">
        <f t="shared" si="10"/>
        <v/>
      </c>
      <c r="K65" s="222"/>
      <c r="L65" s="221">
        <f ca="1">IF(NOT(ISERROR(MATCH(K65,_xlfn.ANCHORARRAY(F76),0))),J78&amp;"Por favor no seleccionar los criterios de impacto",K65)</f>
        <v>0</v>
      </c>
      <c r="M65" s="220"/>
      <c r="N65" s="221"/>
      <c r="O65" s="223"/>
      <c r="Q65" s="224"/>
      <c r="R65" s="225" t="str">
        <f>IF(OR(S65="Preventivo",S65="Detectivo"),"Probabilidad",IF(S65="Correctivo","Impacto",""))</f>
        <v/>
      </c>
      <c r="S65" s="226"/>
      <c r="T65" s="226"/>
      <c r="U65" s="227" t="str">
        <f t="shared" ref="U65:U69" si="42">IF(AND(S65="Preventivo",T65="Automático"),"50%",IF(AND(S65="Preventivo",T65="Manual"),"40%",IF(AND(S65="Detectivo",T65="Automático"),"40%",IF(AND(S65="Detectivo",T65="Manual"),"30%",IF(AND(S65="Correctivo",T65="Automático"),"35%",IF(AND(S65="Correctivo",T65="Manual"),"25%",""))))))</f>
        <v/>
      </c>
      <c r="V65" s="226"/>
      <c r="W65" s="226"/>
      <c r="X65" s="226"/>
      <c r="Y65" s="228" t="str">
        <f>IFERROR(IF(AND(R64="Probabilidad",R65="Probabilidad"),(AA64-(+AA64*U65)),IF(R65="Probabilidad",(J64-(+J64*U65)),IF(R65="Impacto",AA64,""))),"")</f>
        <v/>
      </c>
      <c r="Z65" s="229" t="str">
        <f t="shared" si="37"/>
        <v/>
      </c>
      <c r="AA65" s="227" t="str">
        <f t="shared" ref="AA65:AA69" si="43">+Y65</f>
        <v/>
      </c>
      <c r="AB65" s="229" t="str">
        <f t="shared" si="39"/>
        <v/>
      </c>
      <c r="AC65" s="227" t="str">
        <f>IFERROR(IF(AND(R64="Impacto",R65="Impacto"),(AC64-(+AC64*U65)),IF(R65="Impacto",(N64-(+N64*U65)),IF(R65="Probabilidad",AC64,""))),"")</f>
        <v/>
      </c>
      <c r="AD65" s="230" t="str">
        <f t="shared" ref="AD65:AD66" si="44">IFERROR(IF(OR(AND(Z65="Muy Baja",AB65="Leve"),AND(Z65="Muy Baja",AB65="Menor"),AND(Z65="Baja",AB65="Leve")),"Bajo",IF(OR(AND(Z65="Muy baja",AB65="Moderado"),AND(Z65="Baja",AB65="Menor"),AND(Z65="Baja",AB65="Moderado"),AND(Z65="Media",AB65="Leve"),AND(Z65="Media",AB65="Menor"),AND(Z65="Media",AB65="Moderado"),AND(Z65="Alta",AB65="Leve"),AND(Z65="Alta",AB65="Menor")),"Moderado",IF(OR(AND(Z65="Muy Baja",AB65="Mayor"),AND(Z65="Baja",AB65="Mayor"),AND(Z65="Media",AB65="Mayor"),AND(Z65="Alta",AB65="Moderado"),AND(Z65="Alta",AB65="Mayor"),AND(Z65="Muy Alta",AB65="Leve"),AND(Z65="Muy Alta",AB65="Menor"),AND(Z65="Muy Alta",AB65="Moderado"),AND(Z65="Muy Alta",AB65="Mayor")),"Alto",IF(OR(AND(Z65="Muy Baja",AB65="Catastrófico"),AND(Z65="Baja",AB65="Catastrófico"),AND(Z65="Media",AB65="Catastrófico"),AND(Z65="Alta",AB65="Catastrófico"),AND(Z65="Muy Alta",AB65="Catastrófico")),"Extremo","")))),"")</f>
        <v/>
      </c>
      <c r="AE65" s="226"/>
      <c r="AF65" s="217"/>
      <c r="AG65" s="219"/>
      <c r="AH65" s="231"/>
      <c r="AI65" s="231"/>
      <c r="AJ65" s="217"/>
      <c r="AK65" s="219"/>
    </row>
    <row r="66" spans="3:37" hidden="1" x14ac:dyDescent="0.25">
      <c r="C66" s="217"/>
      <c r="D66" s="217"/>
      <c r="E66" s="217"/>
      <c r="F66" s="218"/>
      <c r="G66" s="217"/>
      <c r="H66" s="219"/>
      <c r="I66" s="220" t="str">
        <f t="shared" si="33"/>
        <v/>
      </c>
      <c r="J66" s="221" t="str">
        <f t="shared" si="10"/>
        <v/>
      </c>
      <c r="K66" s="222"/>
      <c r="L66" s="221">
        <f ca="1">IF(NOT(ISERROR(MATCH(K66,_xlfn.ANCHORARRAY(F77),0))),J79&amp;"Por favor no seleccionar los criterios de impacto",K66)</f>
        <v>0</v>
      </c>
      <c r="M66" s="220"/>
      <c r="N66" s="221"/>
      <c r="O66" s="223"/>
      <c r="Q66" s="219"/>
      <c r="R66" s="225" t="str">
        <f>IF(OR(S66="Preventivo",S66="Detectivo"),"Probabilidad",IF(S66="Correctivo","Impacto",""))</f>
        <v/>
      </c>
      <c r="S66" s="226"/>
      <c r="T66" s="226"/>
      <c r="U66" s="227" t="str">
        <f t="shared" si="42"/>
        <v/>
      </c>
      <c r="V66" s="226"/>
      <c r="W66" s="226"/>
      <c r="X66" s="226"/>
      <c r="Y66" s="228" t="str">
        <f>IFERROR(IF(AND(R65="Probabilidad",R66="Probabilidad"),(AA65-(+AA65*U66)),IF(AND(R65="Impacto",R66="Probabilidad"),(AA64-(+AA64*U66)),IF(R66="Impacto",AA65,""))),"")</f>
        <v/>
      </c>
      <c r="Z66" s="229" t="str">
        <f t="shared" si="37"/>
        <v/>
      </c>
      <c r="AA66" s="227" t="str">
        <f t="shared" si="43"/>
        <v/>
      </c>
      <c r="AB66" s="229" t="str">
        <f t="shared" si="39"/>
        <v/>
      </c>
      <c r="AC66" s="227" t="str">
        <f>IFERROR(IF(AND(R65="Impacto",R66="Impacto"),(AC65-(+AC65*U66)),IF(AND(R65="Probabilidad",R66="Impacto"),(AC64-(+AC64*U66)),IF(R66="Probabilidad",AC65,""))),"")</f>
        <v/>
      </c>
      <c r="AD66" s="230" t="str">
        <f t="shared" si="44"/>
        <v/>
      </c>
      <c r="AE66" s="226"/>
      <c r="AF66" s="217"/>
      <c r="AG66" s="219"/>
      <c r="AH66" s="231"/>
      <c r="AI66" s="231"/>
      <c r="AJ66" s="217"/>
      <c r="AK66" s="219"/>
    </row>
    <row r="67" spans="3:37" hidden="1" x14ac:dyDescent="0.25">
      <c r="C67" s="217"/>
      <c r="D67" s="217"/>
      <c r="E67" s="217"/>
      <c r="F67" s="218"/>
      <c r="G67" s="217"/>
      <c r="H67" s="219"/>
      <c r="I67" s="220" t="str">
        <f t="shared" si="33"/>
        <v/>
      </c>
      <c r="J67" s="221" t="str">
        <f t="shared" si="10"/>
        <v/>
      </c>
      <c r="K67" s="222"/>
      <c r="L67" s="221">
        <f ca="1">IF(NOT(ISERROR(MATCH(K67,_xlfn.ANCHORARRAY(F78),0))),J80&amp;"Por favor no seleccionar los criterios de impacto",K67)</f>
        <v>0</v>
      </c>
      <c r="M67" s="220"/>
      <c r="N67" s="221"/>
      <c r="O67" s="223"/>
      <c r="Q67" s="224"/>
      <c r="R67" s="225" t="str">
        <f t="shared" ref="R67:R69" si="45">IF(OR(S67="Preventivo",S67="Detectivo"),"Probabilidad",IF(S67="Correctivo","Impacto",""))</f>
        <v/>
      </c>
      <c r="S67" s="226"/>
      <c r="T67" s="226"/>
      <c r="U67" s="227" t="str">
        <f t="shared" si="42"/>
        <v/>
      </c>
      <c r="V67" s="226"/>
      <c r="W67" s="226"/>
      <c r="X67" s="226"/>
      <c r="Y67" s="228" t="str">
        <f t="shared" ref="Y67:Y69" si="46">IFERROR(IF(AND(R66="Probabilidad",R67="Probabilidad"),(AA66-(+AA66*U67)),IF(AND(R66="Impacto",R67="Probabilidad"),(AA65-(+AA65*U67)),IF(R67="Impacto",AA66,""))),"")</f>
        <v/>
      </c>
      <c r="Z67" s="229" t="str">
        <f t="shared" si="37"/>
        <v/>
      </c>
      <c r="AA67" s="227" t="str">
        <f t="shared" si="43"/>
        <v/>
      </c>
      <c r="AB67" s="229" t="str">
        <f t="shared" si="39"/>
        <v/>
      </c>
      <c r="AC67" s="227" t="str">
        <f t="shared" ref="AC67:AC69" si="47">IFERROR(IF(AND(R66="Impacto",R67="Impacto"),(AC66-(+AC66*U67)),IF(AND(R66="Probabilidad",R67="Impacto"),(AC65-(+AC65*U67)),IF(R67="Probabilidad",AC66,""))),"")</f>
        <v/>
      </c>
      <c r="AD67" s="230" t="str">
        <f>IFERROR(IF(OR(AND(Z67="Muy Baja",AB67="Leve"),AND(Z67="Muy Baja",AB67="Menor"),AND(Z67="Baja",AB67="Leve")),"Bajo",IF(OR(AND(Z67="Muy baja",AB67="Moderado"),AND(Z67="Baja",AB67="Menor"),AND(Z67="Baja",AB67="Moderado"),AND(Z67="Media",AB67="Leve"),AND(Z67="Media",AB67="Menor"),AND(Z67="Media",AB67="Moderado"),AND(Z67="Alta",AB67="Leve"),AND(Z67="Alta",AB67="Menor")),"Moderado",IF(OR(AND(Z67="Muy Baja",AB67="Mayor"),AND(Z67="Baja",AB67="Mayor"),AND(Z67="Media",AB67="Mayor"),AND(Z67="Alta",AB67="Moderado"),AND(Z67="Alta",AB67="Mayor"),AND(Z67="Muy Alta",AB67="Leve"),AND(Z67="Muy Alta",AB67="Menor"),AND(Z67="Muy Alta",AB67="Moderado"),AND(Z67="Muy Alta",AB67="Mayor")),"Alto",IF(OR(AND(Z67="Muy Baja",AB67="Catastrófico"),AND(Z67="Baja",AB67="Catastrófico"),AND(Z67="Media",AB67="Catastrófico"),AND(Z67="Alta",AB67="Catastrófico"),AND(Z67="Muy Alta",AB67="Catastrófico")),"Extremo","")))),"")</f>
        <v/>
      </c>
      <c r="AE67" s="226"/>
      <c r="AF67" s="217"/>
      <c r="AG67" s="219"/>
      <c r="AH67" s="231"/>
      <c r="AI67" s="231"/>
      <c r="AJ67" s="217"/>
      <c r="AK67" s="219"/>
    </row>
    <row r="68" spans="3:37" hidden="1" x14ac:dyDescent="0.25">
      <c r="C68" s="217"/>
      <c r="D68" s="217"/>
      <c r="E68" s="217"/>
      <c r="F68" s="218"/>
      <c r="G68" s="217"/>
      <c r="H68" s="219"/>
      <c r="I68" s="220"/>
      <c r="J68" s="221" t="str">
        <f t="shared" si="10"/>
        <v/>
      </c>
      <c r="K68" s="222"/>
      <c r="L68" s="221">
        <f ca="1">IF(NOT(ISERROR(MATCH(K68,_xlfn.ANCHORARRAY(F79),0))),J81&amp;"Por favor no seleccionar los criterios de impacto",K68)</f>
        <v>0</v>
      </c>
      <c r="M68" s="220"/>
      <c r="N68" s="221"/>
      <c r="O68" s="223"/>
      <c r="Q68" s="224"/>
      <c r="R68" s="225" t="str">
        <f t="shared" si="45"/>
        <v/>
      </c>
      <c r="S68" s="226"/>
      <c r="T68" s="226"/>
      <c r="U68" s="227" t="str">
        <f t="shared" si="42"/>
        <v/>
      </c>
      <c r="V68" s="226"/>
      <c r="W68" s="226"/>
      <c r="X68" s="226"/>
      <c r="Y68" s="228" t="str">
        <f t="shared" si="46"/>
        <v/>
      </c>
      <c r="Z68" s="229" t="str">
        <f t="shared" si="37"/>
        <v/>
      </c>
      <c r="AA68" s="227" t="str">
        <f t="shared" si="43"/>
        <v/>
      </c>
      <c r="AB68" s="229" t="str">
        <f t="shared" si="39"/>
        <v/>
      </c>
      <c r="AC68" s="227" t="str">
        <f t="shared" si="47"/>
        <v/>
      </c>
      <c r="AD68" s="230" t="str">
        <f t="shared" ref="AD68:AD69" si="48">IFERROR(IF(OR(AND(Z68="Muy Baja",AB68="Leve"),AND(Z68="Muy Baja",AB68="Menor"),AND(Z68="Baja",AB68="Leve")),"Bajo",IF(OR(AND(Z68="Muy baja",AB68="Moderado"),AND(Z68="Baja",AB68="Menor"),AND(Z68="Baja",AB68="Moderado"),AND(Z68="Media",AB68="Leve"),AND(Z68="Media",AB68="Menor"),AND(Z68="Media",AB68="Moderado"),AND(Z68="Alta",AB68="Leve"),AND(Z68="Alta",AB68="Menor")),"Moderado",IF(OR(AND(Z68="Muy Baja",AB68="Mayor"),AND(Z68="Baja",AB68="Mayor"),AND(Z68="Media",AB68="Mayor"),AND(Z68="Alta",AB68="Moderado"),AND(Z68="Alta",AB68="Mayor"),AND(Z68="Muy Alta",AB68="Leve"),AND(Z68="Muy Alta",AB68="Menor"),AND(Z68="Muy Alta",AB68="Moderado"),AND(Z68="Muy Alta",AB68="Mayor")),"Alto",IF(OR(AND(Z68="Muy Baja",AB68="Catastrófico"),AND(Z68="Baja",AB68="Catastrófico"),AND(Z68="Media",AB68="Catastrófico"),AND(Z68="Alta",AB68="Catastrófico"),AND(Z68="Muy Alta",AB68="Catastrófico")),"Extremo","")))),"")</f>
        <v/>
      </c>
      <c r="AE68" s="226"/>
      <c r="AF68" s="217"/>
      <c r="AG68" s="219"/>
      <c r="AH68" s="231"/>
      <c r="AI68" s="231"/>
      <c r="AJ68" s="217"/>
      <c r="AK68" s="219"/>
    </row>
    <row r="69" spans="3:37" hidden="1" x14ac:dyDescent="0.25">
      <c r="C69" s="217"/>
      <c r="D69" s="217"/>
      <c r="E69" s="217"/>
      <c r="F69" s="218"/>
      <c r="G69" s="217"/>
      <c r="H69" s="219"/>
      <c r="I69" s="220"/>
      <c r="J69" s="221"/>
      <c r="K69" s="222"/>
      <c r="L69" s="221">
        <f ca="1">IF(NOT(ISERROR(MATCH(K69,_xlfn.ANCHORARRAY(F80),0))),J82&amp;"Por favor no seleccionar los criterios de impacto",K69)</f>
        <v>0</v>
      </c>
      <c r="M69" s="220"/>
      <c r="N69" s="221"/>
      <c r="O69" s="223"/>
      <c r="Q69" s="224"/>
      <c r="R69" s="225" t="str">
        <f t="shared" si="45"/>
        <v/>
      </c>
      <c r="S69" s="226"/>
      <c r="T69" s="226"/>
      <c r="U69" s="227" t="str">
        <f t="shared" si="42"/>
        <v/>
      </c>
      <c r="V69" s="226"/>
      <c r="W69" s="226"/>
      <c r="X69" s="226"/>
      <c r="Y69" s="228" t="str">
        <f t="shared" si="46"/>
        <v/>
      </c>
      <c r="Z69" s="229" t="str">
        <f t="shared" si="37"/>
        <v/>
      </c>
      <c r="AA69" s="227" t="str">
        <f t="shared" si="43"/>
        <v/>
      </c>
      <c r="AB69" s="229" t="str">
        <f t="shared" si="39"/>
        <v/>
      </c>
      <c r="AC69" s="227" t="str">
        <f t="shared" si="47"/>
        <v/>
      </c>
      <c r="AD69" s="230" t="str">
        <f t="shared" si="48"/>
        <v/>
      </c>
      <c r="AE69" s="226"/>
      <c r="AF69" s="217"/>
      <c r="AG69" s="219"/>
      <c r="AH69" s="231"/>
      <c r="AI69" s="231"/>
      <c r="AJ69" s="217"/>
      <c r="AK69" s="219"/>
    </row>
    <row r="70" spans="3:37" ht="16.5" hidden="1" customHeight="1" x14ac:dyDescent="0.25">
      <c r="C70" s="306" t="s">
        <v>130</v>
      </c>
      <c r="D70" s="307"/>
      <c r="E70" s="307"/>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c r="AJ70" s="307"/>
      <c r="AK70" s="308"/>
    </row>
    <row r="71" spans="3:37" ht="16.5" hidden="1" customHeight="1" x14ac:dyDescent="0.25"/>
    <row r="72" spans="3:37" ht="16.5" hidden="1" customHeight="1" x14ac:dyDescent="0.25">
      <c r="C72" s="232" t="s">
        <v>142</v>
      </c>
    </row>
  </sheetData>
  <dataConsolidate/>
  <mergeCells count="127">
    <mergeCell ref="F42:F43"/>
    <mergeCell ref="E42:E43"/>
    <mergeCell ref="D42:D43"/>
    <mergeCell ref="C42:C43"/>
    <mergeCell ref="B42:B43"/>
    <mergeCell ref="A42:A43"/>
    <mergeCell ref="G44:G45"/>
    <mergeCell ref="F44:F45"/>
    <mergeCell ref="E44:E45"/>
    <mergeCell ref="D44:D45"/>
    <mergeCell ref="C44:C45"/>
    <mergeCell ref="B44:B45"/>
    <mergeCell ref="A44:A45"/>
    <mergeCell ref="G42:G43"/>
    <mergeCell ref="A34:A35"/>
    <mergeCell ref="G36:G37"/>
    <mergeCell ref="F36:F37"/>
    <mergeCell ref="E36:E37"/>
    <mergeCell ref="D36:D37"/>
    <mergeCell ref="C36:C37"/>
    <mergeCell ref="B36:B37"/>
    <mergeCell ref="A36:A37"/>
    <mergeCell ref="G40:G41"/>
    <mergeCell ref="F40:F41"/>
    <mergeCell ref="E40:E41"/>
    <mergeCell ref="D40:D41"/>
    <mergeCell ref="C40:C41"/>
    <mergeCell ref="B40:B41"/>
    <mergeCell ref="A40:A41"/>
    <mergeCell ref="G34:G35"/>
    <mergeCell ref="F34:F35"/>
    <mergeCell ref="E34:E35"/>
    <mergeCell ref="D34:D35"/>
    <mergeCell ref="C34:C35"/>
    <mergeCell ref="B34:B35"/>
    <mergeCell ref="A29:A30"/>
    <mergeCell ref="G29:G30"/>
    <mergeCell ref="F29:F30"/>
    <mergeCell ref="E29:E30"/>
    <mergeCell ref="D29:D30"/>
    <mergeCell ref="C29:C30"/>
    <mergeCell ref="B29:B30"/>
    <mergeCell ref="A32:A33"/>
    <mergeCell ref="B32:B33"/>
    <mergeCell ref="G32:G33"/>
    <mergeCell ref="F32:F33"/>
    <mergeCell ref="E32:E33"/>
    <mergeCell ref="D32:D33"/>
    <mergeCell ref="C32:C33"/>
    <mergeCell ref="A16:A17"/>
    <mergeCell ref="A13:A14"/>
    <mergeCell ref="G19:G20"/>
    <mergeCell ref="F19:F20"/>
    <mergeCell ref="E19:E20"/>
    <mergeCell ref="D19:D20"/>
    <mergeCell ref="C19:C20"/>
    <mergeCell ref="B19:B20"/>
    <mergeCell ref="A19:A20"/>
    <mergeCell ref="B16:B17"/>
    <mergeCell ref="F16:F17"/>
    <mergeCell ref="E16:E17"/>
    <mergeCell ref="D16:D17"/>
    <mergeCell ref="C16:C17"/>
    <mergeCell ref="G16:G17"/>
    <mergeCell ref="G13:G14"/>
    <mergeCell ref="F13:F14"/>
    <mergeCell ref="E13:E14"/>
    <mergeCell ref="D13:D14"/>
    <mergeCell ref="C13:C14"/>
    <mergeCell ref="B13:B14"/>
    <mergeCell ref="A4:C4"/>
    <mergeCell ref="A1:AK2"/>
    <mergeCell ref="A7:A9"/>
    <mergeCell ref="G11:G12"/>
    <mergeCell ref="F11:F12"/>
    <mergeCell ref="E11:E12"/>
    <mergeCell ref="D11:D12"/>
    <mergeCell ref="C11:C12"/>
    <mergeCell ref="B11:B12"/>
    <mergeCell ref="A11:A12"/>
    <mergeCell ref="AB8:AB9"/>
    <mergeCell ref="Z8:Z9"/>
    <mergeCell ref="AA8:AA9"/>
    <mergeCell ref="H8:H9"/>
    <mergeCell ref="I8:I9"/>
    <mergeCell ref="J8:J9"/>
    <mergeCell ref="M8:M9"/>
    <mergeCell ref="N8:N9"/>
    <mergeCell ref="C8:C9"/>
    <mergeCell ref="O8:O9"/>
    <mergeCell ref="K8:K9"/>
    <mergeCell ref="L8:L9"/>
    <mergeCell ref="R8:R9"/>
    <mergeCell ref="S8:X8"/>
    <mergeCell ref="D8:D9"/>
    <mergeCell ref="AE8:AE9"/>
    <mergeCell ref="D5:O5"/>
    <mergeCell ref="D6:O6"/>
    <mergeCell ref="P8:P9"/>
    <mergeCell ref="AD8:AD9"/>
    <mergeCell ref="AC8:AC9"/>
    <mergeCell ref="Y8:Y9"/>
    <mergeCell ref="Q8:Q9"/>
    <mergeCell ref="D4:O4"/>
    <mergeCell ref="P4:R4"/>
    <mergeCell ref="B7:H7"/>
    <mergeCell ref="I7:O7"/>
    <mergeCell ref="P7:X7"/>
    <mergeCell ref="Y7:AE7"/>
    <mergeCell ref="AF7:AK7"/>
    <mergeCell ref="C70:AK70"/>
    <mergeCell ref="AF40:AF41"/>
    <mergeCell ref="AF44:AF45"/>
    <mergeCell ref="AF42:AF43"/>
    <mergeCell ref="AF19:AF20"/>
    <mergeCell ref="AF8:AF9"/>
    <mergeCell ref="AK8:AK9"/>
    <mergeCell ref="AJ8:AJ9"/>
    <mergeCell ref="AI8:AI9"/>
    <mergeCell ref="AH8:AH9"/>
    <mergeCell ref="AG8:AG9"/>
    <mergeCell ref="B5:C5"/>
    <mergeCell ref="B6:C6"/>
    <mergeCell ref="B8:B9"/>
    <mergeCell ref="G8:G9"/>
    <mergeCell ref="F8:F9"/>
    <mergeCell ref="E8:E9"/>
  </mergeCells>
  <conditionalFormatting sqref="I10:I67">
    <cfRule type="cellIs" dxfId="158" priority="221" operator="equal">
      <formula>"Muy Alta"</formula>
    </cfRule>
    <cfRule type="cellIs" dxfId="157" priority="222" operator="equal">
      <formula>"Alta"</formula>
    </cfRule>
    <cfRule type="cellIs" dxfId="156" priority="223" operator="equal">
      <formula>"Media"</formula>
    </cfRule>
    <cfRule type="cellIs" dxfId="155" priority="224" operator="equal">
      <formula>"Baja"</formula>
    </cfRule>
    <cfRule type="cellIs" dxfId="154" priority="225" operator="equal">
      <formula>"Muy Baja"</formula>
    </cfRule>
  </conditionalFormatting>
  <conditionalFormatting sqref="L10:L69">
    <cfRule type="containsText" dxfId="153" priority="1" operator="containsText" text="❌">
      <formula>NOT(ISERROR(SEARCH("❌",L10)))</formula>
    </cfRule>
  </conditionalFormatting>
  <conditionalFormatting sqref="M10:M64">
    <cfRule type="cellIs" dxfId="152" priority="314" operator="equal">
      <formula>"Catastrófico"</formula>
    </cfRule>
    <cfRule type="cellIs" dxfId="151" priority="315" operator="equal">
      <formula>"Mayor"</formula>
    </cfRule>
    <cfRule type="cellIs" dxfId="150" priority="316" operator="equal">
      <formula>"Moderado"</formula>
    </cfRule>
    <cfRule type="cellIs" dxfId="149" priority="317" operator="equal">
      <formula>"Menor"</formula>
    </cfRule>
    <cfRule type="cellIs" dxfId="148" priority="318" operator="equal">
      <formula>"Leve"</formula>
    </cfRule>
  </conditionalFormatting>
  <conditionalFormatting sqref="O10:O64">
    <cfRule type="cellIs" dxfId="147" priority="310" operator="equal">
      <formula>"Extremo"</formula>
    </cfRule>
    <cfRule type="cellIs" dxfId="146" priority="311" operator="equal">
      <formula>"Alto"</formula>
    </cfRule>
    <cfRule type="cellIs" dxfId="145" priority="312" operator="equal">
      <formula>"Moderado"</formula>
    </cfRule>
    <cfRule type="cellIs" dxfId="144" priority="313" operator="equal">
      <formula>"Bajo"</formula>
    </cfRule>
  </conditionalFormatting>
  <conditionalFormatting sqref="Z10:Z69">
    <cfRule type="cellIs" dxfId="143" priority="11" operator="equal">
      <formula>"Muy Alta"</formula>
    </cfRule>
    <cfRule type="cellIs" dxfId="142" priority="12" operator="equal">
      <formula>"Alta"</formula>
    </cfRule>
    <cfRule type="cellIs" dxfId="141" priority="13" operator="equal">
      <formula>"Media"</formula>
    </cfRule>
    <cfRule type="cellIs" dxfId="140" priority="14" operator="equal">
      <formula>"Baja"</formula>
    </cfRule>
    <cfRule type="cellIs" dxfId="139" priority="15" operator="equal">
      <formula>"Muy Baja"</formula>
    </cfRule>
  </conditionalFormatting>
  <conditionalFormatting sqref="AB10:AB69">
    <cfRule type="cellIs" dxfId="138" priority="6" operator="equal">
      <formula>"Catastrófico"</formula>
    </cfRule>
    <cfRule type="cellIs" dxfId="137" priority="7" operator="equal">
      <formula>"Mayor"</formula>
    </cfRule>
    <cfRule type="cellIs" dxfId="136" priority="8" operator="equal">
      <formula>"Moderado"</formula>
    </cfRule>
    <cfRule type="cellIs" dxfId="135" priority="9" operator="equal">
      <formula>"Menor"</formula>
    </cfRule>
    <cfRule type="cellIs" dxfId="134" priority="10" operator="equal">
      <formula>"Leve"</formula>
    </cfRule>
  </conditionalFormatting>
  <conditionalFormatting sqref="AD10:AD69">
    <cfRule type="cellIs" dxfId="133" priority="2" operator="equal">
      <formula>"Extremo"</formula>
    </cfRule>
    <cfRule type="cellIs" dxfId="132" priority="3" operator="equal">
      <formula>"Alto"</formula>
    </cfRule>
    <cfRule type="cellIs" dxfId="131" priority="4" operator="equal">
      <formula>"Moderado"</formula>
    </cfRule>
    <cfRule type="cellIs" dxfId="130" priority="5" operator="equal">
      <formula>"Bajo"</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6">
        <x14:dataValidation type="list" allowBlank="1" showInputMessage="1" showErrorMessage="1">
          <x14:formula1>
            <xm:f>'Tabla Valoración controles'!$D$4:$D$6</xm:f>
          </x14:formula1>
          <xm:sqref>S10:S69</xm:sqref>
        </x14:dataValidation>
        <x14:dataValidation type="list" allowBlank="1" showInputMessage="1" showErrorMessage="1">
          <x14:formula1>
            <xm:f>'Tabla Valoración controles'!$D$7:$D$8</xm:f>
          </x14:formula1>
          <xm:sqref>T10:T69</xm:sqref>
        </x14:dataValidation>
        <x14:dataValidation type="list" allowBlank="1" showInputMessage="1" showErrorMessage="1">
          <x14:formula1>
            <xm:f>'Tabla Valoración controles'!$D$9:$D$10</xm:f>
          </x14:formula1>
          <xm:sqref>V10:V69</xm:sqref>
        </x14:dataValidation>
        <x14:dataValidation type="list" allowBlank="1" showInputMessage="1" showErrorMessage="1">
          <x14:formula1>
            <xm:f>'Tabla Valoración controles'!$D$11:$D$12</xm:f>
          </x14:formula1>
          <xm:sqref>W10:W69</xm:sqref>
        </x14:dataValidation>
        <x14:dataValidation type="list" allowBlank="1" showInputMessage="1" showErrorMessage="1">
          <x14:formula1>
            <xm:f>'Opciones Tratamiento'!$B$9:$B$10</xm:f>
          </x14:formula1>
          <xm:sqref>AK10:AK11 AK13:AK14 AK16:AK17 AK19:AK20 AK22:AK23 AK25:AK26 AK28:AK29 AK31:AK32 AK34:AK35 AK37:AK38 AK67:AK68 AK49:AK50 AK52:AK53 AK55:AK56 AK58:AK59 AK61:AK62 AK64:AK65 AK40:AK47</xm:sqref>
        </x14:dataValidation>
        <x14:dataValidation type="list" allowBlank="1" showInputMessage="1" showErrorMessage="1">
          <x14:formula1>
            <xm:f>'Tabla Valoración controles'!$D$13:$D$14</xm:f>
          </x14:formula1>
          <xm:sqref>X10:X69</xm:sqref>
        </x14:dataValidation>
        <x14:dataValidation type="list" allowBlank="1" showInputMessage="1" showErrorMessage="1">
          <x14:formula1>
            <xm:f>'Opciones Tratamiento'!$B$13:$B$19</xm:f>
          </x14:formula1>
          <xm:sqref>G10:G11 G13 G15:G16 G18:G19 G21:G29 G31:G32 G34 G36 G38:G40 G42 G44 G46:G69</xm:sqref>
        </x14:dataValidation>
        <x14:dataValidation type="list" allowBlank="1" showInputMessage="1" showErrorMessage="1">
          <x14:formula1>
            <xm:f>'Opciones Tratamiento'!$E$2:$E$4</xm:f>
          </x14:formula1>
          <xm:sqref>C10:C11 C13 C15:C16 C18:C19 C21:C29 C31:C32 C34 C36 C38:C40 C42 C44 C46:C69</xm:sqref>
        </x14:dataValidation>
        <x14:dataValidation type="list" allowBlank="1" showInputMessage="1" showErrorMessage="1">
          <x14:formula1>
            <xm:f>'Opciones Tratamiento'!$B$2:$B$5</xm:f>
          </x14:formula1>
          <xm:sqref>AE10:AE69</xm:sqref>
        </x14:dataValidation>
        <x14:dataValidation type="list" allowBlank="1" showInputMessage="1" showErrorMessage="1">
          <x14:formula1>
            <xm:f>'Tabla Impacto'!$F$210:$F$221</xm:f>
          </x14:formula1>
          <xm:sqref>K10:K69</xm:sqref>
        </x14:dataValidation>
        <x14:dataValidation type="custom" allowBlank="1" showInputMessage="1" showErrorMessage="1" error="Recuerde que las acciones se generan bajo la medida de mitigar el riesgo">
          <x14:formula1>
            <xm:f>IF(OR(AE10='Opciones Tratamiento'!$B$2,AE10='Opciones Tratamiento'!$B$3,AE10='Opciones Tratamiento'!$B$4),ISBLANK(AE10),ISTEXT(AE10))</xm:f>
          </x14:formula1>
          <xm:sqref>AF44 AF46:AF69 AF10:AF19 AF21:AF40</xm:sqref>
        </x14:dataValidation>
        <x14:dataValidation type="custom" allowBlank="1" showInputMessage="1" showErrorMessage="1" error="Recuerde que las acciones se generan bajo la medida de mitigar el riesgo">
          <x14:formula1>
            <xm:f>IF(OR(AE10='Opciones Tratamiento'!$B$2,AE10='Opciones Tratamiento'!$B$3,AE10='Opciones Tratamiento'!$B$4),ISBLANK(AE10),ISTEXT(AE10))</xm:f>
          </x14:formula1>
          <xm:sqref>AG10:AG69</xm:sqref>
        </x14:dataValidation>
        <x14:dataValidation type="custom" allowBlank="1" showInputMessage="1" showErrorMessage="1" error="Recuerde que las acciones se generan bajo la medida de mitigar el riesgo">
          <x14:formula1>
            <xm:f>IF(OR(AE10='Opciones Tratamiento'!$B$2,AE10='Opciones Tratamiento'!$B$3,AE10='Opciones Tratamiento'!$B$4),ISBLANK(AE10),ISTEXT(AE10))</xm:f>
          </x14:formula1>
          <xm:sqref>AH10:AH69</xm:sqref>
        </x14:dataValidation>
        <x14:dataValidation type="custom" allowBlank="1" showInputMessage="1" showErrorMessage="1" error="Recuerde que las acciones se generan bajo la medida de mitigar el riesgo">
          <x14:formula1>
            <xm:f>IF(OR(AE10='Opciones Tratamiento'!$B$2,AE10='Opciones Tratamiento'!$B$3,AE10='Opciones Tratamiento'!$B$4),ISBLANK(AE10),ISTEXT(AE10))</xm:f>
          </x14:formula1>
          <xm:sqref>AI10:AI69</xm:sqref>
        </x14:dataValidation>
        <x14:dataValidation type="custom" allowBlank="1" showInputMessage="1" showErrorMessage="1" error="Recuerde que las acciones se generan bajo la medida de mitigar el riesgo">
          <x14:formula1>
            <xm:f>IF(OR(AE10='Opciones Tratamiento'!$B$2,AE10='Opciones Tratamiento'!$B$3,AE10='Opciones Tratamiento'!$B$4),ISBLANK(AE10),ISTEXT(AE10))</xm:f>
          </x14:formula1>
          <xm:sqref>AJ10:AJ69</xm:sqref>
        </x14:dataValidation>
        <x14:dataValidation type="custom" allowBlank="1" showInputMessage="1" showErrorMessage="1" error="Recuerde que las acciones se generan bajo la medida de mitigar el riesgo">
          <x14:formula1>
            <xm:f>IF(OR(AE43='Opciones Tratamiento'!$B$2,AE43='Opciones Tratamiento'!$B$3,AE43='Opciones Tratamiento'!$B$4),ISBLANK(AE43),ISTEXT(AE43))</xm:f>
          </x14:formula1>
          <xm:sqref>AF42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BK427"/>
  <sheetViews>
    <sheetView zoomScale="80" zoomScaleNormal="80" zoomScaleSheetLayoutView="55" workbookViewId="0">
      <selection activeCell="D7" sqref="D7"/>
    </sheetView>
  </sheetViews>
  <sheetFormatPr baseColWidth="10" defaultRowHeight="14.25" x14ac:dyDescent="0.25"/>
  <cols>
    <col min="1" max="1" width="5.140625" style="110" customWidth="1"/>
    <col min="2" max="2" width="8.140625" style="110" customWidth="1"/>
    <col min="3" max="3" width="15.28515625" style="110" customWidth="1"/>
    <col min="4" max="4" width="16.28515625" style="110" customWidth="1"/>
    <col min="5" max="10" width="30.140625" style="110" customWidth="1"/>
    <col min="11" max="11" width="18" style="110" customWidth="1"/>
    <col min="12" max="12" width="11.5703125" style="110" customWidth="1"/>
    <col min="13" max="13" width="3.7109375" style="110" hidden="1" customWidth="1"/>
    <col min="14" max="14" width="15.140625" style="180" bestFit="1" customWidth="1"/>
    <col min="15" max="15" width="5" style="181" hidden="1" customWidth="1"/>
    <col min="16" max="16" width="10.5703125" style="110" hidden="1" customWidth="1"/>
    <col min="17" max="17" width="17.140625" style="110" customWidth="1"/>
    <col min="18" max="18" width="77.42578125" style="110" customWidth="1"/>
    <col min="19" max="19" width="15.140625" style="110" customWidth="1"/>
    <col min="20" max="20" width="3.7109375" style="110" hidden="1" customWidth="1"/>
    <col min="21" max="21" width="20.140625" style="110" customWidth="1"/>
    <col min="22" max="22" width="3.28515625" style="110" hidden="1" customWidth="1"/>
    <col min="23" max="23" width="22.28515625" style="110" customWidth="1"/>
    <col min="24" max="24" width="4.85546875" style="110" hidden="1" customWidth="1"/>
    <col min="25" max="25" width="23.28515625" style="110" customWidth="1"/>
    <col min="26" max="26" width="4.85546875" style="110" hidden="1" customWidth="1"/>
    <col min="27" max="27" width="17.140625" style="110" customWidth="1"/>
    <col min="28" max="28" width="4.85546875" style="110" hidden="1" customWidth="1"/>
    <col min="29" max="29" width="22.85546875" style="110" customWidth="1"/>
    <col min="30" max="30" width="4.85546875" style="110" hidden="1" customWidth="1"/>
    <col min="31" max="31" width="25.5703125" style="110" customWidth="1"/>
    <col min="32" max="32" width="4.85546875" style="110" hidden="1" customWidth="1"/>
    <col min="33" max="33" width="6.42578125" style="110" hidden="1" customWidth="1"/>
    <col min="34" max="34" width="13.42578125" style="110" hidden="1" customWidth="1"/>
    <col min="35" max="35" width="34.140625" style="110" hidden="1" customWidth="1"/>
    <col min="36" max="36" width="22.28515625" style="110" hidden="1" customWidth="1"/>
    <col min="37" max="37" width="5" style="110" hidden="1" customWidth="1"/>
    <col min="38" max="38" width="18.42578125" style="110" customWidth="1"/>
    <col min="39" max="39" width="18.85546875" style="110" bestFit="1" customWidth="1"/>
    <col min="40" max="40" width="14.140625" style="110" bestFit="1" customWidth="1"/>
    <col min="41" max="41" width="61.7109375" style="182" customWidth="1"/>
    <col min="42" max="42" width="22.140625" style="110" customWidth="1"/>
    <col min="43" max="43" width="15.5703125" style="110" bestFit="1" customWidth="1"/>
    <col min="44" max="44" width="20.7109375" style="110" customWidth="1"/>
    <col min="45" max="45" width="12.140625" style="110" bestFit="1" customWidth="1"/>
    <col min="46" max="46" width="16.42578125" style="110" customWidth="1"/>
    <col min="47" max="16384" width="11.42578125" style="110"/>
  </cols>
  <sheetData>
    <row r="1" spans="2:63" ht="15" x14ac:dyDescent="0.25">
      <c r="B1" s="109"/>
      <c r="C1" s="109"/>
      <c r="D1" s="109"/>
      <c r="E1" s="109"/>
      <c r="G1" s="348"/>
      <c r="H1" s="348"/>
      <c r="I1" s="348"/>
      <c r="J1" s="348"/>
      <c r="K1" s="348"/>
      <c r="N1" s="348"/>
      <c r="O1" s="348"/>
      <c r="P1" s="348"/>
      <c r="Q1" s="348"/>
      <c r="R1" s="348"/>
      <c r="S1" s="348"/>
      <c r="T1" s="348"/>
      <c r="U1" s="348"/>
      <c r="V1" s="111"/>
      <c r="W1" s="111"/>
      <c r="X1" s="111"/>
      <c r="Y1" s="111"/>
      <c r="Z1" s="111"/>
      <c r="AA1" s="111"/>
      <c r="AB1" s="111"/>
      <c r="AC1" s="111"/>
      <c r="AD1" s="111"/>
      <c r="AE1" s="111"/>
      <c r="AF1" s="111"/>
      <c r="AG1" s="111"/>
      <c r="AH1" s="111"/>
      <c r="AI1" s="111"/>
      <c r="AJ1" s="111"/>
      <c r="AK1" s="111"/>
      <c r="AL1" s="111"/>
      <c r="AO1" s="110"/>
    </row>
    <row r="2" spans="2:63" s="114" customFormat="1" ht="15" hidden="1" x14ac:dyDescent="0.25">
      <c r="B2" s="112"/>
      <c r="C2" s="112"/>
      <c r="D2" s="112"/>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Q2" s="110"/>
      <c r="AR2" s="110"/>
      <c r="AS2" s="115" t="s">
        <v>212</v>
      </c>
      <c r="AT2" s="116">
        <v>44767</v>
      </c>
      <c r="AU2" s="110"/>
      <c r="AV2" s="110"/>
      <c r="AW2" s="110"/>
      <c r="AX2" s="110"/>
      <c r="AY2" s="110"/>
      <c r="AZ2" s="110"/>
      <c r="BA2" s="110"/>
      <c r="BB2" s="110"/>
      <c r="BC2" s="110"/>
      <c r="BD2" s="110"/>
      <c r="BE2" s="110"/>
      <c r="BF2" s="110"/>
      <c r="BG2" s="110"/>
      <c r="BH2" s="110"/>
      <c r="BI2" s="110"/>
      <c r="BJ2" s="110"/>
      <c r="BK2" s="110"/>
    </row>
    <row r="3" spans="2:63" ht="33" customHeight="1" x14ac:dyDescent="0.25">
      <c r="B3" s="349" t="s">
        <v>213</v>
      </c>
      <c r="C3" s="349"/>
      <c r="D3" s="349"/>
      <c r="E3" s="349"/>
      <c r="F3" s="349"/>
      <c r="G3" s="349"/>
      <c r="H3" s="349"/>
      <c r="I3" s="349"/>
      <c r="J3" s="349"/>
      <c r="K3" s="349"/>
      <c r="L3" s="349" t="s">
        <v>214</v>
      </c>
      <c r="M3" s="349"/>
      <c r="N3" s="349"/>
      <c r="O3" s="349"/>
      <c r="P3" s="349"/>
      <c r="Q3" s="349"/>
      <c r="R3" s="349" t="s">
        <v>215</v>
      </c>
      <c r="S3" s="349"/>
      <c r="T3" s="349"/>
      <c r="U3" s="349"/>
      <c r="V3" s="349"/>
      <c r="W3" s="349"/>
      <c r="X3" s="349"/>
      <c r="Y3" s="349"/>
      <c r="Z3" s="349"/>
      <c r="AA3" s="349"/>
      <c r="AB3" s="349"/>
      <c r="AC3" s="349"/>
      <c r="AD3" s="349"/>
      <c r="AE3" s="349"/>
      <c r="AF3" s="349"/>
      <c r="AG3" s="349"/>
      <c r="AH3" s="349"/>
      <c r="AI3" s="349"/>
      <c r="AJ3" s="349"/>
      <c r="AK3" s="349"/>
      <c r="AL3" s="349"/>
      <c r="AM3" s="349"/>
      <c r="AN3" s="341" t="s">
        <v>216</v>
      </c>
      <c r="AO3" s="342"/>
      <c r="AP3" s="342"/>
      <c r="AQ3" s="342"/>
      <c r="AR3" s="342"/>
      <c r="AS3" s="342"/>
      <c r="AT3" s="343"/>
    </row>
    <row r="4" spans="2:63" ht="30" customHeight="1" x14ac:dyDescent="0.25">
      <c r="B4" s="344" t="s">
        <v>165</v>
      </c>
      <c r="C4" s="345" t="s">
        <v>194</v>
      </c>
      <c r="D4" s="345" t="s">
        <v>217</v>
      </c>
      <c r="E4" s="347" t="s">
        <v>2</v>
      </c>
      <c r="F4" s="347" t="s">
        <v>218</v>
      </c>
      <c r="G4" s="347" t="s">
        <v>219</v>
      </c>
      <c r="H4" s="353" t="s">
        <v>220</v>
      </c>
      <c r="I4" s="353" t="s">
        <v>1</v>
      </c>
      <c r="J4" s="353" t="s">
        <v>49</v>
      </c>
      <c r="K4" s="353" t="s">
        <v>221</v>
      </c>
      <c r="L4" s="347" t="s">
        <v>33</v>
      </c>
      <c r="M4" s="117"/>
      <c r="N4" s="347" t="s">
        <v>222</v>
      </c>
      <c r="O4" s="347"/>
      <c r="P4" s="347" t="s">
        <v>47</v>
      </c>
      <c r="Q4" s="347"/>
      <c r="R4" s="347" t="s">
        <v>161</v>
      </c>
      <c r="S4" s="347" t="s">
        <v>223</v>
      </c>
      <c r="T4" s="347"/>
      <c r="U4" s="347"/>
      <c r="V4" s="117"/>
      <c r="W4" s="350" t="s">
        <v>224</v>
      </c>
      <c r="X4" s="351"/>
      <c r="Y4" s="351"/>
      <c r="Z4" s="351"/>
      <c r="AA4" s="351"/>
      <c r="AB4" s="351"/>
      <c r="AC4" s="351"/>
      <c r="AD4" s="351"/>
      <c r="AE4" s="352"/>
      <c r="AF4" s="117"/>
      <c r="AG4" s="117"/>
      <c r="AH4" s="118"/>
      <c r="AI4" s="119" t="s">
        <v>225</v>
      </c>
      <c r="AJ4" s="120"/>
      <c r="AK4" s="121"/>
      <c r="AL4" s="353" t="s">
        <v>225</v>
      </c>
      <c r="AM4" s="347" t="s">
        <v>226</v>
      </c>
      <c r="AN4" s="347" t="s">
        <v>29</v>
      </c>
      <c r="AO4" s="347" t="s">
        <v>227</v>
      </c>
      <c r="AP4" s="359" t="s">
        <v>228</v>
      </c>
      <c r="AQ4" s="355" t="s">
        <v>229</v>
      </c>
      <c r="AR4" s="355" t="s">
        <v>230</v>
      </c>
      <c r="AS4" s="355" t="s">
        <v>37</v>
      </c>
      <c r="AT4" s="355" t="s">
        <v>39</v>
      </c>
    </row>
    <row r="5" spans="2:63" ht="108" customHeight="1" x14ac:dyDescent="0.25">
      <c r="B5" s="344"/>
      <c r="C5" s="346"/>
      <c r="D5" s="346"/>
      <c r="E5" s="347"/>
      <c r="F5" s="347"/>
      <c r="G5" s="347"/>
      <c r="H5" s="354"/>
      <c r="I5" s="354"/>
      <c r="J5" s="354"/>
      <c r="K5" s="354"/>
      <c r="L5" s="347"/>
      <c r="M5" s="117"/>
      <c r="N5" s="347"/>
      <c r="O5" s="347"/>
      <c r="P5" s="347"/>
      <c r="Q5" s="347"/>
      <c r="R5" s="347"/>
      <c r="S5" s="122" t="s">
        <v>231</v>
      </c>
      <c r="T5" s="122"/>
      <c r="U5" s="122" t="s">
        <v>232</v>
      </c>
      <c r="V5" s="122"/>
      <c r="W5" s="357" t="s">
        <v>233</v>
      </c>
      <c r="X5" s="358"/>
      <c r="Y5" s="357" t="s">
        <v>234</v>
      </c>
      <c r="Z5" s="358"/>
      <c r="AA5" s="357" t="s">
        <v>235</v>
      </c>
      <c r="AB5" s="358"/>
      <c r="AC5" s="357" t="s">
        <v>236</v>
      </c>
      <c r="AD5" s="358"/>
      <c r="AE5" s="357" t="s">
        <v>237</v>
      </c>
      <c r="AF5" s="358"/>
      <c r="AG5" s="122"/>
      <c r="AH5" s="122"/>
      <c r="AI5" s="122"/>
      <c r="AJ5" s="122"/>
      <c r="AK5" s="122"/>
      <c r="AL5" s="354"/>
      <c r="AM5" s="347"/>
      <c r="AN5" s="347"/>
      <c r="AO5" s="347"/>
      <c r="AP5" s="360"/>
      <c r="AQ5" s="356"/>
      <c r="AR5" s="356"/>
      <c r="AS5" s="356"/>
      <c r="AT5" s="356"/>
    </row>
    <row r="6" spans="2:63" ht="9.75" customHeight="1" x14ac:dyDescent="0.25">
      <c r="B6" s="123"/>
      <c r="C6" s="123"/>
      <c r="D6" s="123"/>
      <c r="E6" s="123"/>
      <c r="F6" s="123"/>
      <c r="G6" s="123"/>
      <c r="H6" s="123"/>
      <c r="I6" s="123"/>
      <c r="J6" s="123"/>
      <c r="K6" s="123"/>
      <c r="L6" s="123"/>
      <c r="M6" s="123"/>
      <c r="N6" s="123"/>
      <c r="O6" s="124"/>
      <c r="P6" s="123"/>
      <c r="Q6" s="123"/>
      <c r="R6" s="123"/>
      <c r="S6" s="125"/>
      <c r="T6" s="125"/>
      <c r="U6" s="125"/>
      <c r="V6" s="125"/>
      <c r="W6" s="125"/>
      <c r="X6" s="125"/>
      <c r="Y6" s="125"/>
      <c r="Z6" s="125"/>
      <c r="AA6" s="125"/>
      <c r="AB6" s="125"/>
      <c r="AC6" s="125"/>
      <c r="AD6" s="125"/>
      <c r="AE6" s="125"/>
      <c r="AF6" s="125"/>
      <c r="AG6" s="125"/>
      <c r="AH6" s="125"/>
      <c r="AI6" s="125"/>
      <c r="AJ6" s="125"/>
      <c r="AK6" s="125"/>
      <c r="AL6" s="125"/>
      <c r="AM6" s="123"/>
      <c r="AN6" s="123"/>
      <c r="AO6" s="123"/>
      <c r="AP6" s="126"/>
      <c r="AQ6" s="126"/>
      <c r="AR6" s="126"/>
      <c r="AS6" s="126"/>
      <c r="AT6" s="126"/>
    </row>
    <row r="7" spans="2:63" ht="64.5" customHeight="1" x14ac:dyDescent="0.25">
      <c r="B7" s="127">
        <v>13</v>
      </c>
      <c r="C7" s="128" t="s">
        <v>238</v>
      </c>
      <c r="D7" s="128" t="s">
        <v>239</v>
      </c>
      <c r="E7" s="128" t="s">
        <v>240</v>
      </c>
      <c r="F7" s="128" t="s">
        <v>241</v>
      </c>
      <c r="G7" s="128" t="s">
        <v>242</v>
      </c>
      <c r="H7" s="128" t="s">
        <v>243</v>
      </c>
      <c r="I7" s="129" t="s">
        <v>244</v>
      </c>
      <c r="J7" s="128" t="s">
        <v>245</v>
      </c>
      <c r="K7" s="128" t="s">
        <v>246</v>
      </c>
      <c r="L7" s="130" t="str">
        <f>VLOOKUP(K7,'[1]PARAMETROS RIESGOS DE CORRUPCIÓ'!$D$24:$E$28,2,0)</f>
        <v>Rara Vez</v>
      </c>
      <c r="M7" s="131">
        <f t="shared" ref="M7:M10" si="0">IF(L7="Rara vez",20,IF(L7="Improbable",40,IF(L7="Posible",60,IF(L7="Probable",80,IF(L7="Casi seguro",100)))))</f>
        <v>20</v>
      </c>
      <c r="N7" s="132" t="s">
        <v>7</v>
      </c>
      <c r="O7" s="130">
        <f t="shared" ref="O7:O18" si="1">IF(N7="leve",20,IF(N7="Menor",40,IF(N7="Moderado",60,IF(N7="Mayor",80,IF(N7="Catastrófico",100,0)))))</f>
        <v>80</v>
      </c>
      <c r="P7" s="128">
        <f>VALUE(_xlfn.CONCAT('Riesgos Corrupción'!M7,O7))</f>
        <v>2080</v>
      </c>
      <c r="Q7" s="133" t="str">
        <f>VLOOKUP(P7,'[1]Zona de riesgo'!$L$12:$M$26,2)</f>
        <v>Moderado</v>
      </c>
      <c r="R7" s="134" t="s">
        <v>247</v>
      </c>
      <c r="S7" s="135" t="s">
        <v>248</v>
      </c>
      <c r="T7" s="128">
        <v>15</v>
      </c>
      <c r="U7" s="136" t="s">
        <v>249</v>
      </c>
      <c r="V7" s="137" t="str">
        <f t="shared" ref="V7:V15" si="2">+IF(U7="Adecuado","15","0")</f>
        <v>15</v>
      </c>
      <c r="W7" s="135" t="s">
        <v>250</v>
      </c>
      <c r="X7" s="128">
        <v>15</v>
      </c>
      <c r="Y7" s="136" t="s">
        <v>251</v>
      </c>
      <c r="Z7" s="128">
        <v>15</v>
      </c>
      <c r="AA7" s="129" t="s">
        <v>252</v>
      </c>
      <c r="AB7" s="128">
        <v>15</v>
      </c>
      <c r="AC7" s="129" t="s">
        <v>253</v>
      </c>
      <c r="AD7" s="129">
        <v>15</v>
      </c>
      <c r="AE7" s="129" t="s">
        <v>254</v>
      </c>
      <c r="AF7" s="129">
        <v>10</v>
      </c>
      <c r="AG7" s="138">
        <f t="shared" ref="AG7:AG11" si="3">T7+V7+X7+Z7+AB7+AD7+AF7</f>
        <v>100</v>
      </c>
      <c r="AH7" s="129" t="str">
        <f>IF(AG7&lt;86,"DÉBIL",IF(AG7&lt;96,"MODERADO",IF(AG7&lt;101,"FUERTE")))</f>
        <v>FUERTE</v>
      </c>
      <c r="AI7" s="129" t="s">
        <v>255</v>
      </c>
      <c r="AJ7" s="137" t="str">
        <f t="shared" ref="AJ7:AJ15" si="4">_xlfn.CONCAT(AH7,AI7)</f>
        <v>FUERTEFUERTE</v>
      </c>
      <c r="AK7" s="139">
        <f>T7+V7+X7+Z7+AB7+AD7+AF7</f>
        <v>100</v>
      </c>
      <c r="AL7" s="129" t="s">
        <v>255</v>
      </c>
      <c r="AM7" s="140" t="s">
        <v>81</v>
      </c>
      <c r="AN7" s="141" t="s">
        <v>256</v>
      </c>
      <c r="AO7" s="128" t="s">
        <v>257</v>
      </c>
      <c r="AP7" s="128" t="s">
        <v>258</v>
      </c>
      <c r="AQ7" s="142">
        <v>44735</v>
      </c>
      <c r="AR7" s="142">
        <v>44858</v>
      </c>
      <c r="AS7" s="128" t="s">
        <v>259</v>
      </c>
      <c r="AT7" s="128"/>
    </row>
    <row r="8" spans="2:63" ht="64.5" customHeight="1" x14ac:dyDescent="0.25">
      <c r="B8" s="127">
        <v>14</v>
      </c>
      <c r="C8" s="128" t="s">
        <v>238</v>
      </c>
      <c r="D8" s="128" t="s">
        <v>239</v>
      </c>
      <c r="E8" s="128" t="s">
        <v>260</v>
      </c>
      <c r="F8" s="128" t="s">
        <v>261</v>
      </c>
      <c r="G8" s="128" t="s">
        <v>262</v>
      </c>
      <c r="H8" s="128" t="s">
        <v>263</v>
      </c>
      <c r="I8" s="129" t="s">
        <v>244</v>
      </c>
      <c r="J8" s="128" t="s">
        <v>245</v>
      </c>
      <c r="K8" s="128" t="s">
        <v>246</v>
      </c>
      <c r="L8" s="130" t="str">
        <f>VLOOKUP(K8,'[1]PARAMETROS RIESGOS DE CORRUPCIÓ'!$D$24:$E$28,2,0)</f>
        <v>Rara Vez</v>
      </c>
      <c r="M8" s="131">
        <f t="shared" si="0"/>
        <v>20</v>
      </c>
      <c r="N8" s="132" t="s">
        <v>7</v>
      </c>
      <c r="O8" s="130">
        <f t="shared" si="1"/>
        <v>80</v>
      </c>
      <c r="P8" s="128">
        <f>VALUE(_xlfn.CONCAT('Riesgos Corrupción'!M8,O8))</f>
        <v>2080</v>
      </c>
      <c r="Q8" s="133" t="str">
        <f>VLOOKUP(P8,'[1]Zona de riesgo'!$L$12:$M$26,2)</f>
        <v>Moderado</v>
      </c>
      <c r="R8" s="134" t="s">
        <v>264</v>
      </c>
      <c r="S8" s="135" t="s">
        <v>248</v>
      </c>
      <c r="T8" s="128">
        <v>15</v>
      </c>
      <c r="U8" s="136" t="s">
        <v>249</v>
      </c>
      <c r="V8" s="137" t="str">
        <f t="shared" si="2"/>
        <v>15</v>
      </c>
      <c r="W8" s="135" t="s">
        <v>250</v>
      </c>
      <c r="X8" s="128">
        <v>15</v>
      </c>
      <c r="Y8" s="136" t="s">
        <v>251</v>
      </c>
      <c r="Z8" s="128">
        <v>15</v>
      </c>
      <c r="AA8" s="129" t="s">
        <v>252</v>
      </c>
      <c r="AB8" s="128">
        <v>15</v>
      </c>
      <c r="AC8" s="129" t="s">
        <v>253</v>
      </c>
      <c r="AD8" s="129">
        <v>15</v>
      </c>
      <c r="AE8" s="129" t="s">
        <v>254</v>
      </c>
      <c r="AF8" s="129">
        <v>10</v>
      </c>
      <c r="AG8" s="138">
        <f t="shared" si="3"/>
        <v>100</v>
      </c>
      <c r="AH8" s="129" t="str">
        <f t="shared" ref="AH8:AH18" si="5">IF(AG8&lt;86,"DÉBIL",IF(AG8&lt;96,"MODERADO",IF(AG8&lt;101,"FUERTE")))</f>
        <v>FUERTE</v>
      </c>
      <c r="AI8" s="129" t="s">
        <v>255</v>
      </c>
      <c r="AJ8" s="137" t="str">
        <f t="shared" si="4"/>
        <v>FUERTEFUERTE</v>
      </c>
      <c r="AK8" s="139">
        <f t="shared" ref="AK8:AK17" si="6">T8+V8+X8+Z8+AB8+AD8+AF8</f>
        <v>100</v>
      </c>
      <c r="AL8" s="129" t="s">
        <v>255</v>
      </c>
      <c r="AM8" s="140" t="s">
        <v>81</v>
      </c>
      <c r="AN8" s="141" t="s">
        <v>256</v>
      </c>
      <c r="AO8" s="128" t="s">
        <v>265</v>
      </c>
      <c r="AP8" s="128" t="s">
        <v>258</v>
      </c>
      <c r="AQ8" s="142">
        <v>44735</v>
      </c>
      <c r="AR8" s="142">
        <v>44858</v>
      </c>
      <c r="AS8" s="128" t="s">
        <v>259</v>
      </c>
      <c r="AT8" s="128"/>
    </row>
    <row r="9" spans="2:63" ht="121.5" customHeight="1" x14ac:dyDescent="0.25">
      <c r="B9" s="127">
        <v>15</v>
      </c>
      <c r="C9" s="128" t="s">
        <v>266</v>
      </c>
      <c r="D9" s="128" t="s">
        <v>267</v>
      </c>
      <c r="E9" s="128" t="s">
        <v>268</v>
      </c>
      <c r="F9" s="128" t="s">
        <v>269</v>
      </c>
      <c r="G9" s="128" t="s">
        <v>270</v>
      </c>
      <c r="H9" s="129" t="s">
        <v>271</v>
      </c>
      <c r="I9" s="129" t="s">
        <v>244</v>
      </c>
      <c r="J9" s="128" t="s">
        <v>245</v>
      </c>
      <c r="K9" s="128" t="s">
        <v>246</v>
      </c>
      <c r="L9" s="130" t="str">
        <f>VLOOKUP(K9,'[1]PARAMETROS RIESGOS DE CORRUPCIÓ'!$D$24:$E$28,2,0)</f>
        <v>Rara Vez</v>
      </c>
      <c r="M9" s="131">
        <f t="shared" si="0"/>
        <v>20</v>
      </c>
      <c r="N9" s="143" t="s">
        <v>84</v>
      </c>
      <c r="O9" s="130">
        <f t="shared" si="1"/>
        <v>100</v>
      </c>
      <c r="P9" s="128">
        <f>VALUE(_xlfn.CONCAT('Riesgos Corrupción'!M9,O9))</f>
        <v>20100</v>
      </c>
      <c r="Q9" s="133" t="str">
        <f>VLOOKUP(P9,'[1]Zona de riesgo'!$L$12:$M$26,2)</f>
        <v>Alto</v>
      </c>
      <c r="R9" s="134" t="s">
        <v>272</v>
      </c>
      <c r="S9" s="129" t="s">
        <v>248</v>
      </c>
      <c r="T9" s="128">
        <v>15</v>
      </c>
      <c r="U9" s="129" t="s">
        <v>249</v>
      </c>
      <c r="V9" s="137" t="str">
        <f t="shared" si="2"/>
        <v>15</v>
      </c>
      <c r="W9" s="129" t="s">
        <v>250</v>
      </c>
      <c r="X9" s="128">
        <v>15</v>
      </c>
      <c r="Y9" s="129" t="s">
        <v>251</v>
      </c>
      <c r="Z9" s="128">
        <v>15</v>
      </c>
      <c r="AA9" s="129" t="s">
        <v>252</v>
      </c>
      <c r="AB9" s="128">
        <v>15</v>
      </c>
      <c r="AC9" s="129" t="s">
        <v>253</v>
      </c>
      <c r="AD9" s="129">
        <v>15</v>
      </c>
      <c r="AE9" s="129" t="s">
        <v>254</v>
      </c>
      <c r="AF9" s="129">
        <v>10</v>
      </c>
      <c r="AG9" s="138">
        <f t="shared" si="3"/>
        <v>100</v>
      </c>
      <c r="AH9" s="129" t="str">
        <f t="shared" si="5"/>
        <v>FUERTE</v>
      </c>
      <c r="AI9" s="129" t="s">
        <v>255</v>
      </c>
      <c r="AJ9" s="137" t="str">
        <f t="shared" si="4"/>
        <v>FUERTEFUERTE</v>
      </c>
      <c r="AK9" s="139">
        <f t="shared" si="6"/>
        <v>100</v>
      </c>
      <c r="AL9" s="129" t="s">
        <v>255</v>
      </c>
      <c r="AM9" s="144" t="s">
        <v>80</v>
      </c>
      <c r="AN9" s="141" t="s">
        <v>256</v>
      </c>
      <c r="AO9" s="128" t="s">
        <v>273</v>
      </c>
      <c r="AP9" s="128" t="s">
        <v>274</v>
      </c>
      <c r="AQ9" s="145">
        <v>44803</v>
      </c>
      <c r="AR9" s="128" t="s">
        <v>275</v>
      </c>
      <c r="AS9" s="128"/>
      <c r="AT9" s="128"/>
    </row>
    <row r="10" spans="2:63" ht="114" x14ac:dyDescent="0.25">
      <c r="B10" s="127">
        <v>16</v>
      </c>
      <c r="C10" s="128" t="s">
        <v>276</v>
      </c>
      <c r="D10" s="128" t="s">
        <v>277</v>
      </c>
      <c r="E10" s="130" t="s">
        <v>278</v>
      </c>
      <c r="F10" s="130" t="s">
        <v>279</v>
      </c>
      <c r="G10" s="130" t="s">
        <v>280</v>
      </c>
      <c r="H10" s="130" t="s">
        <v>281</v>
      </c>
      <c r="I10" s="146" t="str">
        <f>_xlfn.CONCAT("Posibilidad de",E10, "debido a ",F10, " por ",G10)</f>
        <v>Posibilidad deVulneración de derechos de los usuarios o partes interesadasdebido a La atención de las pqrsd de manera inoportuna por Debilidad en el compromiso por parte de los funcionarios y colaboradores.</v>
      </c>
      <c r="J10" s="130" t="s">
        <v>245</v>
      </c>
      <c r="K10" s="130" t="s">
        <v>282</v>
      </c>
      <c r="L10" s="130" t="str">
        <f>VLOOKUP(K10,'[1]PARAMETROS RIESGOS DE CORRUPCIÓ'!$D$24:$E$28,2,0)</f>
        <v>Posible</v>
      </c>
      <c r="M10" s="131">
        <f t="shared" si="0"/>
        <v>60</v>
      </c>
      <c r="N10" s="147" t="s">
        <v>80</v>
      </c>
      <c r="O10" s="130">
        <f t="shared" si="1"/>
        <v>60</v>
      </c>
      <c r="P10" s="128">
        <f>VALUE(_xlfn.CONCAT('Riesgos Corrupción'!M10,O10))</f>
        <v>6060</v>
      </c>
      <c r="Q10" s="133" t="str">
        <f>VLOOKUP(P10,'[1]Zona de riesgo'!$L$12:$M$26,2)</f>
        <v>Moderado</v>
      </c>
      <c r="R10" s="148" t="s">
        <v>283</v>
      </c>
      <c r="S10" s="135" t="s">
        <v>248</v>
      </c>
      <c r="T10" s="128">
        <v>15</v>
      </c>
      <c r="U10" s="149" t="s">
        <v>249</v>
      </c>
      <c r="V10" s="137" t="str">
        <f t="shared" si="2"/>
        <v>15</v>
      </c>
      <c r="W10" s="128" t="s">
        <v>250</v>
      </c>
      <c r="X10" s="128">
        <v>15</v>
      </c>
      <c r="Y10" s="128" t="s">
        <v>251</v>
      </c>
      <c r="Z10" s="128">
        <v>15</v>
      </c>
      <c r="AA10" s="128" t="s">
        <v>252</v>
      </c>
      <c r="AB10" s="128">
        <v>15</v>
      </c>
      <c r="AC10" s="128" t="s">
        <v>253</v>
      </c>
      <c r="AD10" s="129">
        <v>15</v>
      </c>
      <c r="AE10" s="128" t="s">
        <v>254</v>
      </c>
      <c r="AF10" s="128" t="s">
        <v>284</v>
      </c>
      <c r="AG10" s="138">
        <f t="shared" si="3"/>
        <v>100</v>
      </c>
      <c r="AH10" s="129" t="str">
        <f t="shared" si="5"/>
        <v>FUERTE</v>
      </c>
      <c r="AI10" s="150" t="s">
        <v>255</v>
      </c>
      <c r="AJ10" s="137" t="str">
        <f t="shared" si="4"/>
        <v>FUERTEFUERTE</v>
      </c>
      <c r="AK10" s="139">
        <f t="shared" si="6"/>
        <v>100</v>
      </c>
      <c r="AL10" s="129" t="s">
        <v>255</v>
      </c>
      <c r="AM10" s="144" t="s">
        <v>80</v>
      </c>
      <c r="AN10" s="141" t="s">
        <v>256</v>
      </c>
      <c r="AO10" s="128" t="s">
        <v>285</v>
      </c>
      <c r="AP10" s="128" t="s">
        <v>286</v>
      </c>
      <c r="AQ10" s="128" t="s">
        <v>287</v>
      </c>
      <c r="AR10" s="128" t="s">
        <v>275</v>
      </c>
      <c r="AS10" s="128"/>
      <c r="AT10" s="130"/>
    </row>
    <row r="11" spans="2:63" ht="75" customHeight="1" x14ac:dyDescent="0.25">
      <c r="B11" s="127">
        <v>17</v>
      </c>
      <c r="C11" s="128" t="s">
        <v>288</v>
      </c>
      <c r="D11" s="128" t="s">
        <v>289</v>
      </c>
      <c r="E11" s="128" t="s">
        <v>290</v>
      </c>
      <c r="F11" s="128" t="s">
        <v>291</v>
      </c>
      <c r="G11" s="128" t="s">
        <v>292</v>
      </c>
      <c r="H11" s="128" t="s">
        <v>293</v>
      </c>
      <c r="I11" s="128" t="s">
        <v>294</v>
      </c>
      <c r="J11" s="128" t="s">
        <v>245</v>
      </c>
      <c r="K11" s="128" t="s">
        <v>246</v>
      </c>
      <c r="L11" s="130" t="str">
        <f>VLOOKUP(K11,'[1]PARAMETROS RIESGOS DE CORRUPCIÓ'!$D$24:$E$28,2,0)</f>
        <v>Rara Vez</v>
      </c>
      <c r="M11" s="131">
        <f>IF(L11="Rara vez",20,IF(L11="Improbable",40,IF(L11="Posible",60,IF(L11="Probable",80,IF(L11="Casi seguro",100)))))</f>
        <v>20</v>
      </c>
      <c r="N11" s="132" t="s">
        <v>7</v>
      </c>
      <c r="O11" s="130">
        <f t="shared" si="1"/>
        <v>80</v>
      </c>
      <c r="P11" s="128">
        <v>10080</v>
      </c>
      <c r="Q11" s="133" t="str">
        <f>VLOOKUP(P11,'[1]Zona de riesgo'!$L$12:$M$26,2)</f>
        <v>Alto</v>
      </c>
      <c r="R11" s="134" t="s">
        <v>295</v>
      </c>
      <c r="S11" s="135" t="s">
        <v>248</v>
      </c>
      <c r="T11" s="128">
        <v>15</v>
      </c>
      <c r="U11" s="136" t="s">
        <v>249</v>
      </c>
      <c r="V11" s="137" t="str">
        <f t="shared" si="2"/>
        <v>15</v>
      </c>
      <c r="W11" s="135" t="s">
        <v>250</v>
      </c>
      <c r="X11" s="128">
        <v>15</v>
      </c>
      <c r="Y11" s="136" t="s">
        <v>251</v>
      </c>
      <c r="Z11" s="128">
        <v>15</v>
      </c>
      <c r="AA11" s="129" t="s">
        <v>252</v>
      </c>
      <c r="AB11" s="128">
        <v>15</v>
      </c>
      <c r="AC11" s="129" t="s">
        <v>253</v>
      </c>
      <c r="AD11" s="129">
        <v>15</v>
      </c>
      <c r="AE11" s="129" t="s">
        <v>254</v>
      </c>
      <c r="AF11" s="129">
        <v>10</v>
      </c>
      <c r="AG11" s="138">
        <f t="shared" si="3"/>
        <v>100</v>
      </c>
      <c r="AH11" s="129" t="str">
        <f t="shared" si="5"/>
        <v>FUERTE</v>
      </c>
      <c r="AI11" s="129" t="s">
        <v>255</v>
      </c>
      <c r="AJ11" s="137" t="str">
        <f t="shared" si="4"/>
        <v>FUERTEFUERTE</v>
      </c>
      <c r="AK11" s="139">
        <f t="shared" si="6"/>
        <v>100</v>
      </c>
      <c r="AL11" s="129" t="s">
        <v>255</v>
      </c>
      <c r="AM11" s="140" t="s">
        <v>81</v>
      </c>
      <c r="AN11" s="151" t="str">
        <f t="shared" ref="AN11:AN14" si="7">IF(AM11="Bajo","Aceptar-Asumir","Reducir-Mitigar")</f>
        <v>Aceptar-Asumir</v>
      </c>
      <c r="AO11" s="128" t="s">
        <v>296</v>
      </c>
      <c r="AP11" s="128" t="s">
        <v>296</v>
      </c>
      <c r="AQ11" s="128" t="s">
        <v>296</v>
      </c>
      <c r="AR11" s="128" t="s">
        <v>296</v>
      </c>
      <c r="AS11" s="128" t="s">
        <v>296</v>
      </c>
      <c r="AT11" s="128" t="s">
        <v>296</v>
      </c>
    </row>
    <row r="12" spans="2:63" ht="128.25" x14ac:dyDescent="0.25">
      <c r="B12" s="152">
        <v>18</v>
      </c>
      <c r="C12" s="130" t="s">
        <v>297</v>
      </c>
      <c r="D12" s="153" t="s">
        <v>298</v>
      </c>
      <c r="E12" s="128" t="s">
        <v>299</v>
      </c>
      <c r="F12" s="128" t="s">
        <v>300</v>
      </c>
      <c r="G12" s="128" t="s">
        <v>301</v>
      </c>
      <c r="H12" s="128" t="s">
        <v>301</v>
      </c>
      <c r="I12" s="129" t="str">
        <f t="shared" ref="I12:I17" si="8" xml:space="preserve"> _xlfn.CONCAT("Posibilidad de ",E12, " debido a ",F12," por ",G12)</f>
        <v>Posibilidad de Afectacion economica debido a gestión de los registros de manera inadecuada  por Inobservancia de la normas legales, contables y procedimientos establecidos sobre registros, obligación y pagos en beneficio de terceros</v>
      </c>
      <c r="J12" s="128" t="s">
        <v>245</v>
      </c>
      <c r="K12" s="128" t="s">
        <v>246</v>
      </c>
      <c r="L12" s="130" t="str">
        <f>VLOOKUP(K12,'[1]PARAMETROS RIESGOS DE CORRUPCIÓ'!$D$24:$E$28,2,0)</f>
        <v>Rara Vez</v>
      </c>
      <c r="M12" s="131">
        <f>IF(L12="Rara vez",20,IF(L12="Improbable",40,IF(L12="Posible",60,IF(L12="Probable",80,IF(L12="Casi seguro",100)))))</f>
        <v>20</v>
      </c>
      <c r="N12" s="130" t="s">
        <v>80</v>
      </c>
      <c r="O12" s="130">
        <f t="shared" si="1"/>
        <v>60</v>
      </c>
      <c r="P12" s="130">
        <f>VALUE(_xlfn.CONCAT('[2]Riesgos Corrupción'!K22,O12))</f>
        <v>60</v>
      </c>
      <c r="Q12" s="133" t="e">
        <f>VLOOKUP(P12,'[1]Zona de riesgo'!$L$12:$M$26,2)</f>
        <v>#N/A</v>
      </c>
      <c r="R12" s="154" t="s">
        <v>302</v>
      </c>
      <c r="S12" s="155" t="s">
        <v>248</v>
      </c>
      <c r="T12" s="128">
        <v>15</v>
      </c>
      <c r="U12" s="156" t="s">
        <v>249</v>
      </c>
      <c r="V12" s="137" t="str">
        <f t="shared" si="2"/>
        <v>15</v>
      </c>
      <c r="W12" s="155" t="s">
        <v>250</v>
      </c>
      <c r="X12" s="128">
        <v>15</v>
      </c>
      <c r="Y12" s="156" t="s">
        <v>251</v>
      </c>
      <c r="Z12" s="128">
        <v>15</v>
      </c>
      <c r="AA12" s="138" t="s">
        <v>252</v>
      </c>
      <c r="AB12" s="128">
        <v>15</v>
      </c>
      <c r="AC12" s="138" t="s">
        <v>253</v>
      </c>
      <c r="AD12" s="129">
        <v>15</v>
      </c>
      <c r="AE12" s="138" t="s">
        <v>254</v>
      </c>
      <c r="AF12" s="138" t="str">
        <f>+IF(AE12="Completa","10",IF(AE12="Incompleta","5","0"))</f>
        <v>10</v>
      </c>
      <c r="AG12" s="138">
        <f>T12+V12+X12+Z12+AB12+AD12+AF12</f>
        <v>100</v>
      </c>
      <c r="AH12" s="129" t="str">
        <f t="shared" si="5"/>
        <v>FUERTE</v>
      </c>
      <c r="AI12" s="138" t="s">
        <v>255</v>
      </c>
      <c r="AJ12" s="137" t="str">
        <f t="shared" si="4"/>
        <v>FUERTEFUERTE</v>
      </c>
      <c r="AK12" s="139">
        <f t="shared" si="6"/>
        <v>100</v>
      </c>
      <c r="AL12" s="129" t="s">
        <v>255</v>
      </c>
      <c r="AM12" s="140" t="s">
        <v>81</v>
      </c>
      <c r="AN12" s="151" t="str">
        <f t="shared" si="7"/>
        <v>Aceptar-Asumir</v>
      </c>
      <c r="AO12" s="153" t="s">
        <v>303</v>
      </c>
      <c r="AP12" s="153" t="s">
        <v>298</v>
      </c>
      <c r="AQ12" s="153"/>
      <c r="AR12" s="153"/>
      <c r="AS12" s="153" t="s">
        <v>275</v>
      </c>
      <c r="AT12" s="153"/>
    </row>
    <row r="13" spans="2:63" ht="142.5" x14ac:dyDescent="0.25">
      <c r="B13" s="152">
        <v>19</v>
      </c>
      <c r="C13" s="130" t="s">
        <v>297</v>
      </c>
      <c r="D13" s="153" t="s">
        <v>304</v>
      </c>
      <c r="E13" s="128" t="s">
        <v>299</v>
      </c>
      <c r="F13" s="128" t="s">
        <v>305</v>
      </c>
      <c r="G13" s="128" t="s">
        <v>306</v>
      </c>
      <c r="H13" s="128"/>
      <c r="I13" s="129" t="str">
        <f t="shared" si="8"/>
        <v>Posibilidad de Afectacion economica debido a Manipulación inadecuada de los usuarios, contraseñas y códigos establecidos en el Manual de Seguridad para el Manejo de la Banca Virtual. por Debilidades en protocolos de seguridad de acceso a la banca virtual</v>
      </c>
      <c r="J13" s="128" t="s">
        <v>245</v>
      </c>
      <c r="K13" s="128" t="s">
        <v>246</v>
      </c>
      <c r="L13" s="130" t="str">
        <f>VLOOKUP(K13,'[1]PARAMETROS RIESGOS DE CORRUPCIÓ'!$D$24:$E$28,2,0)</f>
        <v>Rara Vez</v>
      </c>
      <c r="M13" s="153">
        <f t="shared" ref="M13:M14" si="9">IF(L13="Rara vez",20,IF(L13="Improbable",40,IF(L13="Posible",60,IF(L13="Probable",80,IF(L13="Casi seguro",100)))))</f>
        <v>20</v>
      </c>
      <c r="N13" s="130" t="s">
        <v>80</v>
      </c>
      <c r="O13" s="130">
        <f t="shared" si="1"/>
        <v>60</v>
      </c>
      <c r="P13" s="130">
        <f>VALUE(_xlfn.CONCAT('[2]Riesgos Corrupción'!K23,O13))</f>
        <v>60</v>
      </c>
      <c r="Q13" s="133" t="e">
        <f>VLOOKUP(P13,'[1]Zona de riesgo'!$L$12:$M$26,2)</f>
        <v>#N/A</v>
      </c>
      <c r="R13" s="154" t="s">
        <v>307</v>
      </c>
      <c r="S13" s="155" t="s">
        <v>248</v>
      </c>
      <c r="T13" s="128">
        <v>15</v>
      </c>
      <c r="U13" s="156" t="s">
        <v>249</v>
      </c>
      <c r="V13" s="137" t="str">
        <f t="shared" si="2"/>
        <v>15</v>
      </c>
      <c r="W13" s="155" t="s">
        <v>250</v>
      </c>
      <c r="X13" s="128">
        <v>15</v>
      </c>
      <c r="Y13" s="156" t="s">
        <v>251</v>
      </c>
      <c r="Z13" s="128">
        <v>15</v>
      </c>
      <c r="AA13" s="138" t="s">
        <v>252</v>
      </c>
      <c r="AB13" s="128">
        <v>15</v>
      </c>
      <c r="AC13" s="138" t="s">
        <v>253</v>
      </c>
      <c r="AD13" s="129">
        <v>15</v>
      </c>
      <c r="AE13" s="138" t="s">
        <v>254</v>
      </c>
      <c r="AF13" s="138" t="str">
        <f t="shared" ref="AF13:AF30" si="10">+IF(AE13="Completa","10",IF(AE13="Incompleta","5","0"))</f>
        <v>10</v>
      </c>
      <c r="AG13" s="138">
        <f t="shared" ref="AG13:AG14" si="11">T13+V13+X13+Z13+AB13+AD13+AF13</f>
        <v>100</v>
      </c>
      <c r="AH13" s="129" t="str">
        <f t="shared" si="5"/>
        <v>FUERTE</v>
      </c>
      <c r="AI13" s="138" t="s">
        <v>255</v>
      </c>
      <c r="AJ13" s="137" t="str">
        <f t="shared" si="4"/>
        <v>FUERTEFUERTE</v>
      </c>
      <c r="AK13" s="139">
        <f t="shared" si="6"/>
        <v>100</v>
      </c>
      <c r="AL13" s="138" t="str">
        <f t="shared" ref="AL13:AL14" si="12">IF(AK13&lt;50,"DÉBIL",IF(AK13&lt;100,"MODERADO",IF(AG13&lt;101,"FUERTE")))</f>
        <v>FUERTE</v>
      </c>
      <c r="AM13" s="140" t="s">
        <v>81</v>
      </c>
      <c r="AN13" s="151" t="str">
        <f t="shared" si="7"/>
        <v>Aceptar-Asumir</v>
      </c>
      <c r="AO13" s="153" t="s">
        <v>308</v>
      </c>
      <c r="AP13" s="153" t="s">
        <v>304</v>
      </c>
      <c r="AQ13" s="153"/>
      <c r="AR13" s="153"/>
      <c r="AS13" s="153" t="s">
        <v>275</v>
      </c>
      <c r="AT13" s="153"/>
    </row>
    <row r="14" spans="2:63" ht="142.5" x14ac:dyDescent="0.25">
      <c r="B14" s="152">
        <v>20</v>
      </c>
      <c r="C14" s="130" t="s">
        <v>297</v>
      </c>
      <c r="D14" s="157" t="s">
        <v>309</v>
      </c>
      <c r="E14" s="128" t="s">
        <v>299</v>
      </c>
      <c r="F14" s="128" t="s">
        <v>310</v>
      </c>
      <c r="G14" s="128" t="s">
        <v>311</v>
      </c>
      <c r="H14" s="129"/>
      <c r="I14" s="158" t="str">
        <f t="shared" si="8"/>
        <v>Posibilidad de Afectacion economica debido a Alteracion y hurto de la informacion financiera por Falta de adecuación de un espacio que brinde confiabilidad y seguridad para el desarrollo de los procesos que se llevan a cabo para la generación de la información financiera.</v>
      </c>
      <c r="J14" s="128" t="s">
        <v>245</v>
      </c>
      <c r="K14" s="128" t="s">
        <v>246</v>
      </c>
      <c r="L14" s="130" t="str">
        <f>VLOOKUP(K14,'[1]PARAMETROS RIESGOS DE CORRUPCIÓ'!$D$24:$E$28,2,0)</f>
        <v>Rara Vez</v>
      </c>
      <c r="M14" s="159">
        <f t="shared" si="9"/>
        <v>20</v>
      </c>
      <c r="N14" s="159" t="s">
        <v>80</v>
      </c>
      <c r="O14" s="130">
        <f t="shared" si="1"/>
        <v>60</v>
      </c>
      <c r="P14" s="159">
        <f>VALUE(_xlfn.CONCAT('[2]Riesgos Corrupción'!K24,O14))</f>
        <v>60</v>
      </c>
      <c r="Q14" s="133" t="e">
        <f>VLOOKUP(P14,'[1]Zona de riesgo'!$L$12:$M$26,2)</f>
        <v>#N/A</v>
      </c>
      <c r="R14" s="154" t="s">
        <v>312</v>
      </c>
      <c r="S14" s="160" t="s">
        <v>248</v>
      </c>
      <c r="T14" s="128">
        <v>15</v>
      </c>
      <c r="U14" s="161" t="s">
        <v>249</v>
      </c>
      <c r="V14" s="137" t="str">
        <f t="shared" si="2"/>
        <v>15</v>
      </c>
      <c r="W14" s="160" t="s">
        <v>250</v>
      </c>
      <c r="X14" s="128">
        <v>15</v>
      </c>
      <c r="Y14" s="161" t="s">
        <v>251</v>
      </c>
      <c r="Z14" s="128">
        <v>15</v>
      </c>
      <c r="AA14" s="162" t="s">
        <v>252</v>
      </c>
      <c r="AB14" s="128">
        <v>15</v>
      </c>
      <c r="AC14" s="162" t="s">
        <v>253</v>
      </c>
      <c r="AD14" s="129">
        <v>15</v>
      </c>
      <c r="AE14" s="162" t="s">
        <v>254</v>
      </c>
      <c r="AF14" s="162" t="str">
        <f t="shared" si="10"/>
        <v>10</v>
      </c>
      <c r="AG14" s="162">
        <f t="shared" si="11"/>
        <v>100</v>
      </c>
      <c r="AH14" s="129" t="str">
        <f t="shared" si="5"/>
        <v>FUERTE</v>
      </c>
      <c r="AI14" s="162" t="s">
        <v>255</v>
      </c>
      <c r="AJ14" s="137" t="str">
        <f t="shared" si="4"/>
        <v>FUERTEFUERTE</v>
      </c>
      <c r="AK14" s="139">
        <f t="shared" si="6"/>
        <v>100</v>
      </c>
      <c r="AL14" s="162" t="str">
        <f t="shared" si="12"/>
        <v>FUERTE</v>
      </c>
      <c r="AM14" s="163" t="s">
        <v>313</v>
      </c>
      <c r="AN14" s="151" t="str">
        <f t="shared" si="7"/>
        <v>Reducir-Mitigar</v>
      </c>
      <c r="AO14" s="157" t="s">
        <v>314</v>
      </c>
      <c r="AP14" s="157" t="s">
        <v>309</v>
      </c>
      <c r="AQ14" s="157"/>
      <c r="AR14" s="157"/>
      <c r="AS14" s="157" t="s">
        <v>275</v>
      </c>
      <c r="AT14" s="157"/>
    </row>
    <row r="15" spans="2:63" ht="57" customHeight="1" x14ac:dyDescent="0.25">
      <c r="B15" s="365">
        <v>21</v>
      </c>
      <c r="C15" s="361" t="s">
        <v>315</v>
      </c>
      <c r="D15" s="361" t="s">
        <v>277</v>
      </c>
      <c r="E15" s="361" t="s">
        <v>316</v>
      </c>
      <c r="F15" s="361" t="s">
        <v>317</v>
      </c>
      <c r="G15" s="361" t="s">
        <v>318</v>
      </c>
      <c r="H15" s="361" t="s">
        <v>319</v>
      </c>
      <c r="I15" s="362" t="str">
        <f t="shared" si="8"/>
        <v>Posibilidad de Favorecimiento de terceros debido a Acceso a los archivos documentales de la entidad no controlado por Falta de control para acceder a los archivos documentales de la entidad</v>
      </c>
      <c r="J15" s="361" t="s">
        <v>245</v>
      </c>
      <c r="K15" s="361" t="s">
        <v>246</v>
      </c>
      <c r="L15" s="363" t="str">
        <f>VLOOKUP(K15,'[1]PARAMETROS RIESGOS DE CORRUPCIÓ'!$D$24:$E$28,2,0)</f>
        <v>Rara Vez</v>
      </c>
      <c r="M15" s="364">
        <f>IF(L15="Rara vez",20,IF(L15="Improbable",40,IF(L15="Posible",60,IF(L15="Probable",80,IF(L15="Casi seguro",100)))))</f>
        <v>20</v>
      </c>
      <c r="N15" s="368" t="s">
        <v>80</v>
      </c>
      <c r="O15" s="363">
        <f t="shared" si="1"/>
        <v>60</v>
      </c>
      <c r="P15" s="361">
        <f>VALUE(_xlfn.CONCAT('Riesgos Corrupción'!M15,O15))</f>
        <v>2060</v>
      </c>
      <c r="Q15" s="369" t="str">
        <f>VLOOKUP(P15,'[1]Zona de riesgo'!$L$12:$M$26,2)</f>
        <v>Moderado</v>
      </c>
      <c r="R15" s="134" t="s">
        <v>320</v>
      </c>
      <c r="S15" s="366" t="s">
        <v>248</v>
      </c>
      <c r="T15" s="361">
        <v>15</v>
      </c>
      <c r="U15" s="366" t="s">
        <v>249</v>
      </c>
      <c r="V15" s="367" t="str">
        <f t="shared" si="2"/>
        <v>15</v>
      </c>
      <c r="W15" s="366" t="s">
        <v>250</v>
      </c>
      <c r="X15" s="366">
        <v>15</v>
      </c>
      <c r="Y15" s="366" t="s">
        <v>251</v>
      </c>
      <c r="Z15" s="366">
        <v>15</v>
      </c>
      <c r="AA15" s="366" t="s">
        <v>252</v>
      </c>
      <c r="AB15" s="366">
        <v>15</v>
      </c>
      <c r="AC15" s="366" t="s">
        <v>253</v>
      </c>
      <c r="AD15" s="366">
        <v>15</v>
      </c>
      <c r="AE15" s="366" t="s">
        <v>254</v>
      </c>
      <c r="AF15" s="162" t="str">
        <f t="shared" si="10"/>
        <v>10</v>
      </c>
      <c r="AG15" s="366">
        <v>100</v>
      </c>
      <c r="AH15" s="361" t="str">
        <f t="shared" si="5"/>
        <v>FUERTE</v>
      </c>
      <c r="AI15" s="366" t="s">
        <v>255</v>
      </c>
      <c r="AJ15" s="367" t="str">
        <f t="shared" si="4"/>
        <v>FUERTEFUERTE</v>
      </c>
      <c r="AK15" s="367">
        <f t="shared" si="6"/>
        <v>100</v>
      </c>
      <c r="AL15" s="366" t="s">
        <v>255</v>
      </c>
      <c r="AM15" s="370" t="s">
        <v>313</v>
      </c>
      <c r="AN15" s="372" t="s">
        <v>256</v>
      </c>
      <c r="AO15" s="361" t="s">
        <v>321</v>
      </c>
      <c r="AP15" s="361" t="s">
        <v>322</v>
      </c>
      <c r="AQ15" s="361" t="s">
        <v>323</v>
      </c>
      <c r="AR15" s="371">
        <v>44805</v>
      </c>
      <c r="AS15" s="371"/>
      <c r="AT15" s="371"/>
    </row>
    <row r="16" spans="2:63" ht="30" customHeight="1" x14ac:dyDescent="0.25">
      <c r="B16" s="365"/>
      <c r="C16" s="361"/>
      <c r="D16" s="361"/>
      <c r="E16" s="361" t="s">
        <v>324</v>
      </c>
      <c r="F16" s="361" t="s">
        <v>325</v>
      </c>
      <c r="G16" s="361" t="s">
        <v>326</v>
      </c>
      <c r="H16" s="361" t="s">
        <v>327</v>
      </c>
      <c r="I16" s="362" t="str">
        <f t="shared" si="8"/>
        <v>Posibilidad de Sanciones disciplinarias debido a defensa judicial inadecuada por Hacer caso omiso en las actuaciones jurídicas en las cuales esta involucrada la entidad a favor de terceros.</v>
      </c>
      <c r="J16" s="361" t="s">
        <v>245</v>
      </c>
      <c r="K16" s="361" t="s">
        <v>246</v>
      </c>
      <c r="L16" s="363"/>
      <c r="M16" s="364"/>
      <c r="N16" s="368"/>
      <c r="O16" s="363"/>
      <c r="P16" s="361"/>
      <c r="Q16" s="369"/>
      <c r="R16" s="134" t="s">
        <v>328</v>
      </c>
      <c r="S16" s="366"/>
      <c r="T16" s="361"/>
      <c r="U16" s="366" t="s">
        <v>249</v>
      </c>
      <c r="V16" s="367"/>
      <c r="W16" s="366" t="s">
        <v>250</v>
      </c>
      <c r="X16" s="366">
        <v>15</v>
      </c>
      <c r="Y16" s="366" t="s">
        <v>251</v>
      </c>
      <c r="Z16" s="366">
        <v>15</v>
      </c>
      <c r="AA16" s="366" t="s">
        <v>252</v>
      </c>
      <c r="AB16" s="366">
        <v>15</v>
      </c>
      <c r="AC16" s="366" t="s">
        <v>253</v>
      </c>
      <c r="AD16" s="366">
        <v>15</v>
      </c>
      <c r="AE16" s="366" t="s">
        <v>254</v>
      </c>
      <c r="AF16" s="162" t="str">
        <f t="shared" si="10"/>
        <v>10</v>
      </c>
      <c r="AG16" s="366">
        <v>100</v>
      </c>
      <c r="AH16" s="361"/>
      <c r="AI16" s="366" t="s">
        <v>255</v>
      </c>
      <c r="AJ16" s="367"/>
      <c r="AK16" s="367">
        <f t="shared" si="6"/>
        <v>70</v>
      </c>
      <c r="AL16" s="366" t="s">
        <v>255</v>
      </c>
      <c r="AM16" s="366"/>
      <c r="AN16" s="372"/>
      <c r="AO16" s="361"/>
      <c r="AP16" s="361"/>
      <c r="AQ16" s="361"/>
      <c r="AR16" s="371"/>
      <c r="AS16" s="371" t="s">
        <v>329</v>
      </c>
      <c r="AT16" s="371" t="s">
        <v>329</v>
      </c>
    </row>
    <row r="17" spans="2:46" ht="51" x14ac:dyDescent="0.25">
      <c r="B17" s="365"/>
      <c r="C17" s="361"/>
      <c r="D17" s="361"/>
      <c r="E17" s="361" t="s">
        <v>330</v>
      </c>
      <c r="F17" s="361" t="s">
        <v>331</v>
      </c>
      <c r="G17" s="361" t="s">
        <v>332</v>
      </c>
      <c r="H17" s="361" t="s">
        <v>332</v>
      </c>
      <c r="I17" s="362" t="str">
        <f t="shared" si="8"/>
        <v>Posibilidad de Sanciones económicas debido a Manejo interno de los expedientes de manera inadecuada por Omisión de los lineamientos y normativas internas y externas en gestión documental en el préstamo de expedientes que reposan en el archivo de la OAJ en favor de terceros</v>
      </c>
      <c r="J17" s="361" t="s">
        <v>245</v>
      </c>
      <c r="K17" s="361" t="s">
        <v>333</v>
      </c>
      <c r="L17" s="363"/>
      <c r="M17" s="364"/>
      <c r="N17" s="368"/>
      <c r="O17" s="363"/>
      <c r="P17" s="361"/>
      <c r="Q17" s="369"/>
      <c r="R17" s="134" t="s">
        <v>334</v>
      </c>
      <c r="S17" s="366"/>
      <c r="T17" s="361"/>
      <c r="U17" s="366" t="s">
        <v>249</v>
      </c>
      <c r="V17" s="367"/>
      <c r="W17" s="366" t="s">
        <v>250</v>
      </c>
      <c r="X17" s="366">
        <v>15</v>
      </c>
      <c r="Y17" s="366" t="s">
        <v>251</v>
      </c>
      <c r="Z17" s="366">
        <v>15</v>
      </c>
      <c r="AA17" s="366" t="s">
        <v>252</v>
      </c>
      <c r="AB17" s="366">
        <v>15</v>
      </c>
      <c r="AC17" s="366" t="s">
        <v>253</v>
      </c>
      <c r="AD17" s="366">
        <v>15</v>
      </c>
      <c r="AE17" s="366" t="s">
        <v>254</v>
      </c>
      <c r="AF17" s="162" t="str">
        <f t="shared" si="10"/>
        <v>10</v>
      </c>
      <c r="AG17" s="366">
        <v>100</v>
      </c>
      <c r="AH17" s="361"/>
      <c r="AI17" s="366" t="s">
        <v>255</v>
      </c>
      <c r="AJ17" s="367"/>
      <c r="AK17" s="367">
        <f t="shared" si="6"/>
        <v>70</v>
      </c>
      <c r="AL17" s="366" t="s">
        <v>255</v>
      </c>
      <c r="AM17" s="366"/>
      <c r="AN17" s="372"/>
      <c r="AO17" s="361"/>
      <c r="AP17" s="361"/>
      <c r="AQ17" s="361"/>
      <c r="AR17" s="371"/>
      <c r="AS17" s="371" t="s">
        <v>329</v>
      </c>
      <c r="AT17" s="371" t="s">
        <v>329</v>
      </c>
    </row>
    <row r="18" spans="2:46" ht="114" x14ac:dyDescent="0.25">
      <c r="B18" s="365">
        <v>22</v>
      </c>
      <c r="C18" s="361" t="s">
        <v>335</v>
      </c>
      <c r="D18" s="361" t="s">
        <v>336</v>
      </c>
      <c r="E18" s="361" t="s">
        <v>337</v>
      </c>
      <c r="F18" s="361" t="s">
        <v>338</v>
      </c>
      <c r="G18" s="361" t="s">
        <v>339</v>
      </c>
      <c r="H18" s="361" t="s">
        <v>340</v>
      </c>
      <c r="I18" s="362" t="s">
        <v>341</v>
      </c>
      <c r="J18" s="361" t="s">
        <v>245</v>
      </c>
      <c r="K18" s="361" t="s">
        <v>246</v>
      </c>
      <c r="L18" s="363" t="str">
        <f>VLOOKUP(K18,'[1]PARAMETROS RIESGOS DE CORRUPCIÓ'!$D$24:$E$28,2,0)</f>
        <v>Rara Vez</v>
      </c>
      <c r="M18" s="364">
        <f>IF(L18="Rara vez",20,IF(L18="Improbable",40,IF(L18="Posible",60,IF(L18="Probable",80,IF(L18="Casi seguro",100)))))</f>
        <v>20</v>
      </c>
      <c r="N18" s="368" t="s">
        <v>80</v>
      </c>
      <c r="O18" s="363">
        <f t="shared" si="1"/>
        <v>60</v>
      </c>
      <c r="P18" s="361">
        <f>VALUE(_xlfn.CONCAT('Riesgos Corrupción'!M18,O18))</f>
        <v>2060</v>
      </c>
      <c r="Q18" s="369" t="str">
        <f>VLOOKUP(P18,'[1]Zona de riesgo'!$L$12:$M$26,2)</f>
        <v>Moderado</v>
      </c>
      <c r="R18" s="134" t="s">
        <v>342</v>
      </c>
      <c r="S18" s="366" t="s">
        <v>248</v>
      </c>
      <c r="T18" s="361">
        <v>15</v>
      </c>
      <c r="U18" s="366" t="s">
        <v>249</v>
      </c>
      <c r="V18" s="367" t="str">
        <f t="shared" ref="V18" si="13">+IF(U18="Adecuado","15","0")</f>
        <v>15</v>
      </c>
      <c r="W18" s="366" t="s">
        <v>250</v>
      </c>
      <c r="X18" s="366">
        <v>15</v>
      </c>
      <c r="Y18" s="366" t="s">
        <v>251</v>
      </c>
      <c r="Z18" s="366">
        <v>15</v>
      </c>
      <c r="AA18" s="366" t="s">
        <v>252</v>
      </c>
      <c r="AB18" s="366">
        <v>15</v>
      </c>
      <c r="AC18" s="366" t="s">
        <v>253</v>
      </c>
      <c r="AD18" s="366">
        <v>15</v>
      </c>
      <c r="AE18" s="366" t="s">
        <v>254</v>
      </c>
      <c r="AF18" s="162" t="str">
        <f t="shared" si="10"/>
        <v>10</v>
      </c>
      <c r="AG18" s="366">
        <v>100</v>
      </c>
      <c r="AH18" s="361" t="str">
        <f t="shared" si="5"/>
        <v>FUERTE</v>
      </c>
      <c r="AI18" s="366" t="s">
        <v>255</v>
      </c>
      <c r="AJ18" s="367" t="str">
        <f t="shared" ref="AJ18" si="14">_xlfn.CONCAT(AH18,AI18)</f>
        <v>FUERTEFUERTE</v>
      </c>
      <c r="AK18" s="367">
        <f>VLOOKUP(AJ18,'[1]PARAMETROS RIESGOS DE CORRUPCIÓ'!$Q$4:$R$12,2,0)</f>
        <v>100</v>
      </c>
      <c r="AL18" s="366" t="s">
        <v>255</v>
      </c>
      <c r="AM18" s="370" t="s">
        <v>343</v>
      </c>
      <c r="AN18" s="372" t="s">
        <v>256</v>
      </c>
      <c r="AO18" s="128" t="s">
        <v>344</v>
      </c>
      <c r="AP18" s="128" t="s">
        <v>345</v>
      </c>
      <c r="AQ18" s="128" t="s">
        <v>346</v>
      </c>
      <c r="AR18" s="149"/>
      <c r="AS18" s="149"/>
      <c r="AT18" s="149"/>
    </row>
    <row r="19" spans="2:46" ht="89.25" x14ac:dyDescent="0.25">
      <c r="B19" s="365"/>
      <c r="C19" s="361"/>
      <c r="D19" s="361"/>
      <c r="E19" s="361"/>
      <c r="F19" s="361"/>
      <c r="G19" s="361"/>
      <c r="H19" s="361"/>
      <c r="I19" s="362"/>
      <c r="J19" s="361"/>
      <c r="K19" s="361"/>
      <c r="L19" s="363"/>
      <c r="M19" s="364"/>
      <c r="N19" s="368"/>
      <c r="O19" s="363"/>
      <c r="P19" s="361"/>
      <c r="Q19" s="369"/>
      <c r="R19" s="134" t="s">
        <v>347</v>
      </c>
      <c r="S19" s="366"/>
      <c r="T19" s="361"/>
      <c r="U19" s="366" t="s">
        <v>249</v>
      </c>
      <c r="V19" s="367"/>
      <c r="W19" s="366" t="s">
        <v>250</v>
      </c>
      <c r="X19" s="366">
        <v>15</v>
      </c>
      <c r="Y19" s="366" t="s">
        <v>251</v>
      </c>
      <c r="Z19" s="366">
        <v>15</v>
      </c>
      <c r="AA19" s="366" t="s">
        <v>252</v>
      </c>
      <c r="AB19" s="366">
        <v>15</v>
      </c>
      <c r="AC19" s="366" t="s">
        <v>253</v>
      </c>
      <c r="AD19" s="366">
        <v>15</v>
      </c>
      <c r="AE19" s="366" t="s">
        <v>254</v>
      </c>
      <c r="AF19" s="162" t="str">
        <f t="shared" si="10"/>
        <v>10</v>
      </c>
      <c r="AG19" s="366">
        <v>100</v>
      </c>
      <c r="AH19" s="361"/>
      <c r="AI19" s="366" t="s">
        <v>255</v>
      </c>
      <c r="AJ19" s="367"/>
      <c r="AK19" s="367"/>
      <c r="AL19" s="366" t="s">
        <v>255</v>
      </c>
      <c r="AM19" s="366"/>
      <c r="AN19" s="372"/>
      <c r="AO19" s="128" t="s">
        <v>348</v>
      </c>
      <c r="AP19" s="128" t="s">
        <v>345</v>
      </c>
      <c r="AQ19" s="128" t="s">
        <v>346</v>
      </c>
      <c r="AR19" s="149"/>
      <c r="AS19" s="149"/>
      <c r="AT19" s="149"/>
    </row>
    <row r="20" spans="2:46" ht="63.75" customHeight="1" x14ac:dyDescent="0.25">
      <c r="B20" s="365"/>
      <c r="C20" s="361"/>
      <c r="D20" s="361"/>
      <c r="E20" s="361"/>
      <c r="F20" s="361"/>
      <c r="G20" s="361"/>
      <c r="H20" s="361"/>
      <c r="I20" s="362"/>
      <c r="J20" s="361"/>
      <c r="K20" s="361"/>
      <c r="L20" s="363"/>
      <c r="M20" s="364"/>
      <c r="N20" s="368"/>
      <c r="O20" s="363"/>
      <c r="P20" s="361"/>
      <c r="Q20" s="369"/>
      <c r="R20" s="134" t="s">
        <v>349</v>
      </c>
      <c r="S20" s="366"/>
      <c r="T20" s="361"/>
      <c r="U20" s="366" t="s">
        <v>249</v>
      </c>
      <c r="V20" s="367"/>
      <c r="W20" s="366" t="s">
        <v>250</v>
      </c>
      <c r="X20" s="366">
        <v>15</v>
      </c>
      <c r="Y20" s="366" t="s">
        <v>251</v>
      </c>
      <c r="Z20" s="366">
        <v>15</v>
      </c>
      <c r="AA20" s="366" t="s">
        <v>252</v>
      </c>
      <c r="AB20" s="366">
        <v>15</v>
      </c>
      <c r="AC20" s="366" t="s">
        <v>253</v>
      </c>
      <c r="AD20" s="366">
        <v>15</v>
      </c>
      <c r="AE20" s="366" t="s">
        <v>254</v>
      </c>
      <c r="AF20" s="162" t="str">
        <f t="shared" si="10"/>
        <v>10</v>
      </c>
      <c r="AG20" s="366">
        <v>100</v>
      </c>
      <c r="AH20" s="361"/>
      <c r="AI20" s="366" t="s">
        <v>255</v>
      </c>
      <c r="AJ20" s="367"/>
      <c r="AK20" s="367"/>
      <c r="AL20" s="366" t="s">
        <v>255</v>
      </c>
      <c r="AM20" s="366"/>
      <c r="AN20" s="372"/>
      <c r="AO20" s="128"/>
      <c r="AP20" s="149"/>
      <c r="AQ20" s="149"/>
      <c r="AR20" s="149"/>
      <c r="AS20" s="149"/>
      <c r="AT20" s="149"/>
    </row>
    <row r="21" spans="2:46" ht="156.75" x14ac:dyDescent="0.25">
      <c r="B21" s="152">
        <v>23</v>
      </c>
      <c r="C21" s="130" t="s">
        <v>350</v>
      </c>
      <c r="D21" s="130" t="s">
        <v>351</v>
      </c>
      <c r="E21" s="164" t="s">
        <v>352</v>
      </c>
      <c r="F21" s="164" t="s">
        <v>353</v>
      </c>
      <c r="G21" s="164" t="s">
        <v>354</v>
      </c>
      <c r="H21" s="164" t="s">
        <v>355</v>
      </c>
      <c r="I21" s="165" t="s">
        <v>356</v>
      </c>
      <c r="J21" s="164" t="s">
        <v>245</v>
      </c>
      <c r="K21" s="164" t="s">
        <v>333</v>
      </c>
      <c r="L21" s="138" t="str">
        <f>VLOOKUP(K21,'[1]PARAMETROS RIESGOS DE CORRUPCIÓ'!$D$24:$E$28,2,0)</f>
        <v>Improbable</v>
      </c>
      <c r="M21" s="166">
        <f>IF(L21="Rara vez",20,IF(L21="Improbable",40,IF(L21="Posible",60,IF(L21="Probable",80,IF(L21="Casi seguro",100)))))</f>
        <v>40</v>
      </c>
      <c r="N21" s="164" t="s">
        <v>80</v>
      </c>
      <c r="O21" s="164">
        <f t="shared" ref="O21:O30" si="15">IF(N21="leve",20,IF(N21="Menor",40,IF(N21="Moderado",60,IF(N21="Mayor",80,IF(N21="Catastrófico",100,0)))))</f>
        <v>60</v>
      </c>
      <c r="P21" s="129">
        <f>VALUE(_xlfn.CONCAT('Riesgos Corrupción'!M21,O21))</f>
        <v>4060</v>
      </c>
      <c r="Q21" s="167" t="str">
        <f>VLOOKUP(P21,'[1]Zona de riesgo'!$L$12:$M$26,2)</f>
        <v>Moderado</v>
      </c>
      <c r="R21" s="165" t="s">
        <v>357</v>
      </c>
      <c r="S21" s="168" t="s">
        <v>358</v>
      </c>
      <c r="T21" s="128">
        <v>15</v>
      </c>
      <c r="U21" s="169" t="s">
        <v>249</v>
      </c>
      <c r="V21" s="137" t="str">
        <f>+IF(U21="Adecuado","15","0")</f>
        <v>15</v>
      </c>
      <c r="W21" s="168" t="s">
        <v>250</v>
      </c>
      <c r="X21" s="164" t="str">
        <f t="shared" ref="X21:X24" si="16">+IF(W21="Oportuna","15","0")</f>
        <v>15</v>
      </c>
      <c r="Y21" s="169" t="s">
        <v>251</v>
      </c>
      <c r="Z21" s="164">
        <f t="shared" ref="Z21:Z24" si="17">+IF(Y21="Prevenir",15,IF(Y21="Detectar",10,"0"))</f>
        <v>15</v>
      </c>
      <c r="AA21" s="137" t="s">
        <v>252</v>
      </c>
      <c r="AB21" s="164" t="str">
        <f t="shared" ref="AB21:AB24" si="18">+IF(AA21="Confiable","15","0")</f>
        <v>15</v>
      </c>
      <c r="AC21" s="137" t="s">
        <v>253</v>
      </c>
      <c r="AD21" s="137" t="str">
        <f>+IF(AC21="Si","15","0")</f>
        <v>15</v>
      </c>
      <c r="AE21" s="137" t="s">
        <v>359</v>
      </c>
      <c r="AF21" s="162" t="str">
        <f t="shared" si="10"/>
        <v>0</v>
      </c>
      <c r="AG21" s="137">
        <f t="shared" ref="AG21:AG30" si="19">T21+V21+X21+Z21+AB21+AD21+AF21</f>
        <v>90</v>
      </c>
      <c r="AH21" s="129" t="str">
        <f t="shared" ref="AH21:AH30" si="20">IF(AG21&lt;86,"DÉBIL",IF(AG21&lt;96,"MODERADO",IF(AG21&lt;101,"FUERTE")))</f>
        <v>MODERADO</v>
      </c>
      <c r="AI21" s="137" t="s">
        <v>255</v>
      </c>
      <c r="AJ21" s="137" t="str">
        <f>_xlfn.CONCAT(AH21,AI21)</f>
        <v>MODERADOFUERTE</v>
      </c>
      <c r="AK21" s="137">
        <f>VLOOKUP(AJ21,'[1]PARAMETROS RIESGOS DE CORRUPCIÓ'!$Q$4:$R$12,2,0)</f>
        <v>50</v>
      </c>
      <c r="AL21" s="162" t="str">
        <f t="shared" ref="AL21:AL30" si="21">IF(AK21&lt;50,"DÉBIL",IF(AK21&lt;100,"MODERADO",IF(AG21&lt;101,"FUERTE")))</f>
        <v>MODERADO</v>
      </c>
      <c r="AM21" s="170" t="s">
        <v>360</v>
      </c>
      <c r="AN21" s="171" t="str">
        <f t="shared" ref="AN21:AN30" si="22">IF(AM21="Bajo","Aceptar-Asumir","Reducir-Mitigar")</f>
        <v>Reducir-Mitigar</v>
      </c>
      <c r="AO21" s="172" t="s">
        <v>361</v>
      </c>
      <c r="AP21" s="172" t="s">
        <v>362</v>
      </c>
      <c r="AQ21" s="173">
        <v>44742</v>
      </c>
      <c r="AR21" s="172" t="s">
        <v>363</v>
      </c>
      <c r="AS21" s="172" t="s">
        <v>275</v>
      </c>
      <c r="AT21" s="172" t="s">
        <v>364</v>
      </c>
    </row>
    <row r="22" spans="2:46" ht="185.25" x14ac:dyDescent="0.25">
      <c r="B22" s="152">
        <v>24</v>
      </c>
      <c r="C22" s="130" t="s">
        <v>350</v>
      </c>
      <c r="D22" s="130" t="s">
        <v>351</v>
      </c>
      <c r="E22" s="164" t="s">
        <v>365</v>
      </c>
      <c r="F22" s="164" t="s">
        <v>366</v>
      </c>
      <c r="G22" s="164" t="s">
        <v>367</v>
      </c>
      <c r="H22" s="164" t="s">
        <v>368</v>
      </c>
      <c r="I22" s="165" t="s">
        <v>369</v>
      </c>
      <c r="J22" s="164" t="s">
        <v>245</v>
      </c>
      <c r="K22" s="164" t="s">
        <v>246</v>
      </c>
      <c r="L22" s="138" t="str">
        <f>VLOOKUP(K22,'[1]PARAMETROS RIESGOS DE CORRUPCIÓ'!$D$24:$E$28,2,0)</f>
        <v>Rara Vez</v>
      </c>
      <c r="M22" s="166">
        <f>IF(L22="Rara vez",20,IF(L22="Improbable",40,IF(L22="Posible",60,IF(L22="Probable",80,IF(L22="Casi seguro",100)))))</f>
        <v>20</v>
      </c>
      <c r="N22" s="164" t="s">
        <v>80</v>
      </c>
      <c r="O22" s="164">
        <f t="shared" si="15"/>
        <v>60</v>
      </c>
      <c r="P22" s="128">
        <f>VALUE(_xlfn.CONCAT('Riesgos Corrupción'!M22,O22))</f>
        <v>2060</v>
      </c>
      <c r="Q22" s="167" t="str">
        <f>VLOOKUP(P22,'[3]Zona de riesgo'!$L$12:$M$26,2)</f>
        <v>Moderado</v>
      </c>
      <c r="R22" s="165" t="s">
        <v>370</v>
      </c>
      <c r="S22" s="168" t="s">
        <v>248</v>
      </c>
      <c r="T22" s="128">
        <v>15</v>
      </c>
      <c r="U22" s="169" t="s">
        <v>249</v>
      </c>
      <c r="V22" s="137" t="str">
        <f>+IF(U22="Adecuado","15","0")</f>
        <v>15</v>
      </c>
      <c r="W22" s="168" t="s">
        <v>250</v>
      </c>
      <c r="X22" s="164" t="str">
        <f t="shared" si="16"/>
        <v>15</v>
      </c>
      <c r="Y22" s="169" t="s">
        <v>251</v>
      </c>
      <c r="Z22" s="164">
        <f t="shared" si="17"/>
        <v>15</v>
      </c>
      <c r="AA22" s="137" t="s">
        <v>252</v>
      </c>
      <c r="AB22" s="164" t="str">
        <f t="shared" si="18"/>
        <v>15</v>
      </c>
      <c r="AC22" s="137" t="s">
        <v>253</v>
      </c>
      <c r="AD22" s="137" t="str">
        <f t="shared" ref="AD22:AD24" si="23">+IF(AC22="Si","10","0")</f>
        <v>10</v>
      </c>
      <c r="AE22" s="137" t="s">
        <v>359</v>
      </c>
      <c r="AF22" s="162" t="str">
        <f t="shared" si="10"/>
        <v>0</v>
      </c>
      <c r="AG22" s="137">
        <f t="shared" si="19"/>
        <v>85</v>
      </c>
      <c r="AH22" s="129" t="str">
        <f t="shared" si="20"/>
        <v>DÉBIL</v>
      </c>
      <c r="AI22" s="137" t="s">
        <v>255</v>
      </c>
      <c r="AJ22" s="137" t="str">
        <f t="shared" ref="AJ22:AJ30" si="24">_xlfn.CONCAT(AH22,AI22)</f>
        <v>DÉBILFUERTE</v>
      </c>
      <c r="AK22" s="137">
        <f>VLOOKUP(AJ22,'[1]PARAMETROS RIESGOS DE CORRUPCIÓ'!$Q$4:$R$12,2,0)</f>
        <v>0</v>
      </c>
      <c r="AL22" s="162" t="str">
        <f t="shared" si="21"/>
        <v>DÉBIL</v>
      </c>
      <c r="AM22" s="174" t="s">
        <v>371</v>
      </c>
      <c r="AN22" s="171" t="str">
        <f t="shared" si="22"/>
        <v>Reducir-Mitigar</v>
      </c>
      <c r="AO22" s="172" t="s">
        <v>372</v>
      </c>
      <c r="AP22" s="172" t="s">
        <v>362</v>
      </c>
      <c r="AQ22" s="173">
        <v>44742</v>
      </c>
      <c r="AR22" s="172" t="s">
        <v>363</v>
      </c>
      <c r="AS22" s="172" t="s">
        <v>275</v>
      </c>
      <c r="AT22" s="172" t="s">
        <v>364</v>
      </c>
    </row>
    <row r="23" spans="2:46" ht="185.25" x14ac:dyDescent="0.25">
      <c r="B23" s="152">
        <v>25</v>
      </c>
      <c r="C23" s="130" t="s">
        <v>350</v>
      </c>
      <c r="D23" s="130" t="s">
        <v>351</v>
      </c>
      <c r="E23" s="164" t="s">
        <v>365</v>
      </c>
      <c r="F23" s="164" t="s">
        <v>366</v>
      </c>
      <c r="G23" s="164" t="s">
        <v>367</v>
      </c>
      <c r="H23" s="164" t="s">
        <v>368</v>
      </c>
      <c r="I23" s="165" t="s">
        <v>373</v>
      </c>
      <c r="J23" s="164" t="s">
        <v>245</v>
      </c>
      <c r="K23" s="164" t="s">
        <v>246</v>
      </c>
      <c r="L23" s="138" t="str">
        <f>VLOOKUP(K23,'[1]PARAMETROS RIESGOS DE CORRUPCIÓ'!$D$24:$E$28,2,0)</f>
        <v>Rara Vez</v>
      </c>
      <c r="M23" s="166">
        <f>IF(L23="Rara vez",20,IF(L23="Improbable",40,IF(L23="Posible",60,IF(L23="Probable",80,IF(L23="Casi seguro",100)))))</f>
        <v>20</v>
      </c>
      <c r="N23" s="164" t="s">
        <v>80</v>
      </c>
      <c r="O23" s="164">
        <f t="shared" si="15"/>
        <v>60</v>
      </c>
      <c r="P23" s="128">
        <f>VALUE(_xlfn.CONCAT('Riesgos Corrupción'!M23,O23))</f>
        <v>2060</v>
      </c>
      <c r="Q23" s="167" t="str">
        <f>VLOOKUP(P23,'[3]Zona de riesgo'!$L$12:$M$26,2)</f>
        <v>Moderado</v>
      </c>
      <c r="R23" s="165" t="s">
        <v>374</v>
      </c>
      <c r="S23" s="168" t="s">
        <v>248</v>
      </c>
      <c r="T23" s="128">
        <v>15</v>
      </c>
      <c r="U23" s="169" t="s">
        <v>249</v>
      </c>
      <c r="V23" s="137" t="str">
        <f t="shared" ref="V23:V24" si="25">+IF(U23="Adecuado","15","0")</f>
        <v>15</v>
      </c>
      <c r="W23" s="168" t="s">
        <v>250</v>
      </c>
      <c r="X23" s="164" t="str">
        <f t="shared" si="16"/>
        <v>15</v>
      </c>
      <c r="Y23" s="169" t="s">
        <v>251</v>
      </c>
      <c r="Z23" s="164">
        <f t="shared" si="17"/>
        <v>15</v>
      </c>
      <c r="AA23" s="137" t="s">
        <v>252</v>
      </c>
      <c r="AB23" s="164" t="str">
        <f t="shared" si="18"/>
        <v>15</v>
      </c>
      <c r="AC23" s="137" t="s">
        <v>253</v>
      </c>
      <c r="AD23" s="137" t="str">
        <f t="shared" si="23"/>
        <v>10</v>
      </c>
      <c r="AE23" s="137" t="s">
        <v>359</v>
      </c>
      <c r="AF23" s="162" t="str">
        <f t="shared" si="10"/>
        <v>0</v>
      </c>
      <c r="AG23" s="137">
        <f t="shared" si="19"/>
        <v>85</v>
      </c>
      <c r="AH23" s="129" t="str">
        <f t="shared" si="20"/>
        <v>DÉBIL</v>
      </c>
      <c r="AI23" s="137" t="s">
        <v>255</v>
      </c>
      <c r="AJ23" s="137" t="str">
        <f t="shared" si="24"/>
        <v>DÉBILFUERTE</v>
      </c>
      <c r="AK23" s="137">
        <f>VLOOKUP(AJ23,'[1]PARAMETROS RIESGOS DE CORRUPCIÓ'!$Q$4:$R$12,2,0)</f>
        <v>0</v>
      </c>
      <c r="AL23" s="162" t="str">
        <f t="shared" si="21"/>
        <v>DÉBIL</v>
      </c>
      <c r="AM23" s="174" t="s">
        <v>313</v>
      </c>
      <c r="AN23" s="171" t="str">
        <f t="shared" si="22"/>
        <v>Reducir-Mitigar</v>
      </c>
      <c r="AO23" s="172" t="s">
        <v>372</v>
      </c>
      <c r="AP23" s="172" t="s">
        <v>362</v>
      </c>
      <c r="AQ23" s="173">
        <v>44742</v>
      </c>
      <c r="AR23" s="172" t="s">
        <v>363</v>
      </c>
      <c r="AS23" s="172" t="s">
        <v>275</v>
      </c>
      <c r="AT23" s="172" t="s">
        <v>364</v>
      </c>
    </row>
    <row r="24" spans="2:46" ht="185.25" x14ac:dyDescent="0.25">
      <c r="B24" s="152">
        <v>26</v>
      </c>
      <c r="C24" s="130" t="s">
        <v>350</v>
      </c>
      <c r="D24" s="130" t="s">
        <v>351</v>
      </c>
      <c r="E24" s="164" t="s">
        <v>365</v>
      </c>
      <c r="F24" s="164" t="s">
        <v>366</v>
      </c>
      <c r="G24" s="164" t="s">
        <v>367</v>
      </c>
      <c r="H24" s="164" t="s">
        <v>368</v>
      </c>
      <c r="I24" s="165" t="s">
        <v>375</v>
      </c>
      <c r="J24" s="164" t="s">
        <v>245</v>
      </c>
      <c r="K24" s="164" t="s">
        <v>282</v>
      </c>
      <c r="L24" s="138" t="str">
        <f>VLOOKUP(K24,'[1]PARAMETROS RIESGOS DE CORRUPCIÓ'!$D$24:$E$28,2,0)</f>
        <v>Posible</v>
      </c>
      <c r="M24" s="166">
        <f>IF(L24="Rara vez",20,IF(L24="Improbable",40,IF(L24="Posible",60,IF(L24="Probable",80,IF(L24="Casi seguro",100)))))</f>
        <v>60</v>
      </c>
      <c r="N24" s="164" t="s">
        <v>80</v>
      </c>
      <c r="O24" s="164">
        <f t="shared" si="15"/>
        <v>60</v>
      </c>
      <c r="P24" s="128">
        <f>VALUE(_xlfn.CONCAT('Riesgos Corrupción'!M24,O24))</f>
        <v>6060</v>
      </c>
      <c r="Q24" s="167" t="str">
        <f>VLOOKUP(P24,'[3]Zona de riesgo'!$L$12:$M$26,2)</f>
        <v>Moderado</v>
      </c>
      <c r="R24" s="165" t="s">
        <v>376</v>
      </c>
      <c r="S24" s="168" t="s">
        <v>248</v>
      </c>
      <c r="T24" s="128">
        <v>15</v>
      </c>
      <c r="U24" s="169" t="s">
        <v>249</v>
      </c>
      <c r="V24" s="137" t="str">
        <f t="shared" si="25"/>
        <v>15</v>
      </c>
      <c r="W24" s="168" t="s">
        <v>250</v>
      </c>
      <c r="X24" s="164" t="str">
        <f t="shared" si="16"/>
        <v>15</v>
      </c>
      <c r="Y24" s="169" t="s">
        <v>377</v>
      </c>
      <c r="Z24" s="164">
        <f t="shared" si="17"/>
        <v>10</v>
      </c>
      <c r="AA24" s="137" t="s">
        <v>252</v>
      </c>
      <c r="AB24" s="164" t="str">
        <f t="shared" si="18"/>
        <v>15</v>
      </c>
      <c r="AC24" s="137" t="s">
        <v>253</v>
      </c>
      <c r="AD24" s="137" t="str">
        <f t="shared" si="23"/>
        <v>10</v>
      </c>
      <c r="AE24" s="165" t="s">
        <v>254</v>
      </c>
      <c r="AF24" s="162" t="str">
        <f t="shared" si="10"/>
        <v>10</v>
      </c>
      <c r="AG24" s="137">
        <f t="shared" si="19"/>
        <v>90</v>
      </c>
      <c r="AH24" s="137" t="str">
        <f t="shared" si="20"/>
        <v>MODERADO</v>
      </c>
      <c r="AI24" s="137" t="s">
        <v>255</v>
      </c>
      <c r="AJ24" s="137" t="str">
        <f t="shared" si="24"/>
        <v>MODERADOFUERTE</v>
      </c>
      <c r="AK24" s="137">
        <f>VLOOKUP(AJ24,'[1]PARAMETROS RIESGOS DE CORRUPCIÓ'!$Q$4:$R$12,2,0)</f>
        <v>50</v>
      </c>
      <c r="AL24" s="162" t="str">
        <f t="shared" si="21"/>
        <v>MODERADO</v>
      </c>
      <c r="AM24" s="174" t="s">
        <v>343</v>
      </c>
      <c r="AN24" s="171" t="str">
        <f t="shared" si="22"/>
        <v>Reducir-Mitigar</v>
      </c>
      <c r="AO24" s="172" t="s">
        <v>378</v>
      </c>
      <c r="AP24" s="172" t="s">
        <v>362</v>
      </c>
      <c r="AQ24" s="173">
        <v>44742</v>
      </c>
      <c r="AR24" s="172" t="s">
        <v>363</v>
      </c>
      <c r="AS24" s="172" t="s">
        <v>275</v>
      </c>
      <c r="AT24" s="172" t="s">
        <v>364</v>
      </c>
    </row>
    <row r="25" spans="2:46" ht="156.75" x14ac:dyDescent="0.25">
      <c r="C25" s="130" t="s">
        <v>379</v>
      </c>
      <c r="D25" s="130" t="s">
        <v>380</v>
      </c>
      <c r="E25" s="128" t="s">
        <v>381</v>
      </c>
      <c r="F25" s="128" t="s">
        <v>382</v>
      </c>
      <c r="G25" s="128" t="s">
        <v>383</v>
      </c>
      <c r="H25" s="130"/>
      <c r="I25" s="146" t="str">
        <f>_xlfn.CONCAT("Posibilidad de",E25, "debido a ",F25, " por ",G25)</f>
        <v>Posibilidad de•Perdida de imagen institucional, Pérdida de credibilidad y Vulneracion de derechos..debido a Ausencia de controles o insuficiencia de los mismos. Escaso seguimiento de los superiores. por Evaluación inadecuada de la queja o la denuncia en beneficio particular.</v>
      </c>
      <c r="J25" s="130" t="s">
        <v>245</v>
      </c>
      <c r="K25" s="130" t="s">
        <v>246</v>
      </c>
      <c r="L25" s="138" t="str">
        <f>VLOOKUP(K25,'[1]PARAMETROS RIESGOS DE CORRUPCIÓ'!$D$24:$E$28,2,0)</f>
        <v>Rara Vez</v>
      </c>
      <c r="M25" s="166">
        <f t="shared" ref="M25:M30" si="26">IF(L25="Rara vez",20,IF(L25="Improbable",40,IF(L25="Posible",60,IF(L25="Probable",80,IF(L25="Casi seguro",100)))))</f>
        <v>20</v>
      </c>
      <c r="N25" s="130" t="s">
        <v>80</v>
      </c>
      <c r="O25" s="164">
        <f t="shared" si="15"/>
        <v>60</v>
      </c>
      <c r="P25" s="128">
        <f>VALUE(_xlfn.CONCAT('Riesgos Corrupción'!M25,O25))</f>
        <v>2060</v>
      </c>
      <c r="Q25" s="167" t="str">
        <f>VLOOKUP(P25,'[3]Zona de riesgo'!$L$12:$M$26,2)</f>
        <v>Moderado</v>
      </c>
      <c r="R25" s="129" t="s">
        <v>384</v>
      </c>
      <c r="S25" s="155" t="s">
        <v>248</v>
      </c>
      <c r="T25" s="130" t="str">
        <f>+IF(S25="Asignado","15","0")</f>
        <v>15</v>
      </c>
      <c r="U25" s="156" t="s">
        <v>249</v>
      </c>
      <c r="V25" s="138" t="str">
        <f>+IF(U25="Adecuado","15","0")</f>
        <v>15</v>
      </c>
      <c r="W25" s="155" t="s">
        <v>250</v>
      </c>
      <c r="X25" s="130" t="str">
        <f>+IF(W25="Oportuna","15","0")</f>
        <v>15</v>
      </c>
      <c r="Y25" s="156" t="s">
        <v>251</v>
      </c>
      <c r="Z25" s="130">
        <f>+IF(Y25="Prevenir",15,IF(Y25="Detectar",10,"0"))</f>
        <v>15</v>
      </c>
      <c r="AA25" s="138" t="s">
        <v>252</v>
      </c>
      <c r="AB25" s="130" t="str">
        <f>+IF(AA25="Confiable","15","0")</f>
        <v>15</v>
      </c>
      <c r="AC25" s="138" t="s">
        <v>253</v>
      </c>
      <c r="AD25" s="138" t="str">
        <f>+IF(AC25="Si","15","0")</f>
        <v>15</v>
      </c>
      <c r="AE25" s="138" t="s">
        <v>254</v>
      </c>
      <c r="AF25" s="162" t="str">
        <f t="shared" si="10"/>
        <v>10</v>
      </c>
      <c r="AG25" s="137">
        <f t="shared" si="19"/>
        <v>100</v>
      </c>
      <c r="AH25" s="137" t="str">
        <f t="shared" si="20"/>
        <v>FUERTE</v>
      </c>
      <c r="AI25" s="137" t="s">
        <v>255</v>
      </c>
      <c r="AJ25" s="137" t="str">
        <f t="shared" si="24"/>
        <v>FUERTEFUERTE</v>
      </c>
      <c r="AK25" s="137">
        <f>VLOOKUP(AJ25,'[1]PARAMETROS RIESGOS DE CORRUPCIÓ'!$Q$4:$R$12,2,0)</f>
        <v>100</v>
      </c>
      <c r="AL25" s="162" t="str">
        <f t="shared" si="21"/>
        <v>FUERTE</v>
      </c>
      <c r="AM25" s="140" t="s">
        <v>81</v>
      </c>
      <c r="AN25" s="171" t="str">
        <f t="shared" si="22"/>
        <v>Aceptar-Asumir</v>
      </c>
      <c r="AO25" s="153" t="s">
        <v>385</v>
      </c>
      <c r="AP25" s="153" t="s">
        <v>385</v>
      </c>
      <c r="AQ25" s="153" t="s">
        <v>385</v>
      </c>
      <c r="AR25" s="153" t="s">
        <v>385</v>
      </c>
      <c r="AS25" s="153" t="s">
        <v>385</v>
      </c>
      <c r="AT25" s="153" t="s">
        <v>385</v>
      </c>
    </row>
    <row r="26" spans="2:46" ht="114" x14ac:dyDescent="0.25">
      <c r="C26" s="130" t="s">
        <v>379</v>
      </c>
      <c r="D26" s="130" t="s">
        <v>380</v>
      </c>
      <c r="E26" s="128" t="s">
        <v>381</v>
      </c>
      <c r="F26" s="128" t="s">
        <v>386</v>
      </c>
      <c r="G26" s="128" t="s">
        <v>387</v>
      </c>
      <c r="H26" s="130"/>
      <c r="I26" s="146" t="str">
        <f t="shared" ref="I26:I28" si="27">_xlfn.CONCAT("Posibilidad de",E26, "debido a ",F26, " por ",G26)</f>
        <v>Posibilidad de•Perdida de imagen institucional, Pérdida de credibilidad y Vulneracion de derechos..debido a Insuficiencia de los controles por Prescripcion por mora intencional en beneficio particular</v>
      </c>
      <c r="J26" s="130" t="s">
        <v>245</v>
      </c>
      <c r="K26" s="130" t="s">
        <v>246</v>
      </c>
      <c r="L26" s="138" t="str">
        <f>VLOOKUP(K26,'[1]PARAMETROS RIESGOS DE CORRUPCIÓ'!$D$24:$E$28,2,0)</f>
        <v>Rara Vez</v>
      </c>
      <c r="M26" s="166">
        <f t="shared" si="26"/>
        <v>20</v>
      </c>
      <c r="N26" s="130" t="s">
        <v>80</v>
      </c>
      <c r="O26" s="164">
        <f t="shared" si="15"/>
        <v>60</v>
      </c>
      <c r="P26" s="128">
        <f>VALUE(_xlfn.CONCAT('Riesgos Corrupción'!M26,O26))</f>
        <v>2060</v>
      </c>
      <c r="Q26" s="167" t="str">
        <f>VLOOKUP(P26,'[3]Zona de riesgo'!$L$12:$M$26,2)</f>
        <v>Moderado</v>
      </c>
      <c r="R26" s="129" t="s">
        <v>388</v>
      </c>
      <c r="S26" s="155" t="s">
        <v>248</v>
      </c>
      <c r="T26" s="130" t="str">
        <f t="shared" ref="T26:T28" si="28">+IF(S26="Asignado","15","0")</f>
        <v>15</v>
      </c>
      <c r="U26" s="156" t="s">
        <v>249</v>
      </c>
      <c r="V26" s="138" t="str">
        <f t="shared" ref="V26:V28" si="29">+IF(U26="Adecuado","15","0")</f>
        <v>15</v>
      </c>
      <c r="W26" s="155" t="s">
        <v>250</v>
      </c>
      <c r="X26" s="130" t="str">
        <f t="shared" ref="X26:X28" si="30">+IF(W26="Oportuna","15","0")</f>
        <v>15</v>
      </c>
      <c r="Y26" s="156" t="s">
        <v>251</v>
      </c>
      <c r="Z26" s="130">
        <f t="shared" ref="Z26:Z28" si="31">+IF(Y26="Prevenir",15,IF(Y26="Detectar",10,"0"))</f>
        <v>15</v>
      </c>
      <c r="AA26" s="138" t="s">
        <v>252</v>
      </c>
      <c r="AB26" s="130" t="str">
        <f t="shared" ref="AB26:AB28" si="32">+IF(AA26="Confiable","15","0")</f>
        <v>15</v>
      </c>
      <c r="AC26" s="138" t="s">
        <v>253</v>
      </c>
      <c r="AD26" s="138" t="str">
        <f t="shared" ref="AD26:AD28" si="33">+IF(AC26="Si","15","0")</f>
        <v>15</v>
      </c>
      <c r="AE26" s="138" t="s">
        <v>254</v>
      </c>
      <c r="AF26" s="162" t="str">
        <f t="shared" si="10"/>
        <v>10</v>
      </c>
      <c r="AG26" s="137">
        <f t="shared" si="19"/>
        <v>100</v>
      </c>
      <c r="AH26" s="137" t="str">
        <f t="shared" si="20"/>
        <v>FUERTE</v>
      </c>
      <c r="AI26" s="137" t="s">
        <v>255</v>
      </c>
      <c r="AJ26" s="137" t="str">
        <f t="shared" si="24"/>
        <v>FUERTEFUERTE</v>
      </c>
      <c r="AK26" s="137">
        <f>VLOOKUP(AJ26,'[1]PARAMETROS RIESGOS DE CORRUPCIÓ'!$Q$4:$R$12,2,0)</f>
        <v>100</v>
      </c>
      <c r="AL26" s="162" t="str">
        <f t="shared" si="21"/>
        <v>FUERTE</v>
      </c>
      <c r="AM26" s="140" t="s">
        <v>81</v>
      </c>
      <c r="AN26" s="171" t="str">
        <f t="shared" si="22"/>
        <v>Aceptar-Asumir</v>
      </c>
      <c r="AO26" s="153" t="s">
        <v>385</v>
      </c>
      <c r="AP26" s="153" t="s">
        <v>385</v>
      </c>
      <c r="AQ26" s="153" t="s">
        <v>385</v>
      </c>
      <c r="AR26" s="153" t="s">
        <v>385</v>
      </c>
      <c r="AS26" s="153" t="s">
        <v>385</v>
      </c>
      <c r="AT26" s="153" t="s">
        <v>385</v>
      </c>
    </row>
    <row r="27" spans="2:46" ht="142.5" x14ac:dyDescent="0.25">
      <c r="C27" s="130" t="s">
        <v>379</v>
      </c>
      <c r="D27" s="130" t="s">
        <v>380</v>
      </c>
      <c r="E27" s="128" t="s">
        <v>389</v>
      </c>
      <c r="F27" s="128" t="s">
        <v>390</v>
      </c>
      <c r="G27" s="128" t="s">
        <v>391</v>
      </c>
      <c r="H27" s="130"/>
      <c r="I27" s="146" t="str">
        <f t="shared" si="27"/>
        <v>Posibilidad de•Perdida de imagen institucional, Pérdida de credibilidad, Vulneracion de derechos y Daño patrimonial al Estadodebido a No aplicación del debido proceso, de manera deliberada.
Insuficiencia de los controles por Proferir fallos contra derecho en beneficio particular</v>
      </c>
      <c r="J27" s="130" t="s">
        <v>245</v>
      </c>
      <c r="K27" s="130" t="s">
        <v>246</v>
      </c>
      <c r="L27" s="138" t="str">
        <f>VLOOKUP(K27,'[1]PARAMETROS RIESGOS DE CORRUPCIÓ'!$D$24:$E$28,2,0)</f>
        <v>Rara Vez</v>
      </c>
      <c r="M27" s="166">
        <f t="shared" si="26"/>
        <v>20</v>
      </c>
      <c r="N27" s="130" t="s">
        <v>80</v>
      </c>
      <c r="O27" s="164">
        <f t="shared" si="15"/>
        <v>60</v>
      </c>
      <c r="P27" s="128">
        <f>VALUE(_xlfn.CONCAT('Riesgos Corrupción'!M27,O27))</f>
        <v>2060</v>
      </c>
      <c r="Q27" s="167" t="str">
        <f>VLOOKUP(P27,'[3]Zona de riesgo'!$L$12:$M$26,2)</f>
        <v>Moderado</v>
      </c>
      <c r="R27" s="129" t="s">
        <v>392</v>
      </c>
      <c r="S27" s="155" t="s">
        <v>248</v>
      </c>
      <c r="T27" s="130" t="str">
        <f t="shared" si="28"/>
        <v>15</v>
      </c>
      <c r="U27" s="156" t="s">
        <v>249</v>
      </c>
      <c r="V27" s="138" t="str">
        <f t="shared" si="29"/>
        <v>15</v>
      </c>
      <c r="W27" s="155" t="s">
        <v>250</v>
      </c>
      <c r="X27" s="130" t="str">
        <f t="shared" si="30"/>
        <v>15</v>
      </c>
      <c r="Y27" s="156" t="s">
        <v>251</v>
      </c>
      <c r="Z27" s="130">
        <f t="shared" si="31"/>
        <v>15</v>
      </c>
      <c r="AA27" s="138" t="s">
        <v>252</v>
      </c>
      <c r="AB27" s="130" t="str">
        <f t="shared" si="32"/>
        <v>15</v>
      </c>
      <c r="AC27" s="138" t="s">
        <v>253</v>
      </c>
      <c r="AD27" s="138" t="str">
        <f t="shared" si="33"/>
        <v>15</v>
      </c>
      <c r="AE27" s="138" t="s">
        <v>254</v>
      </c>
      <c r="AF27" s="162" t="str">
        <f t="shared" si="10"/>
        <v>10</v>
      </c>
      <c r="AG27" s="137">
        <f t="shared" si="19"/>
        <v>100</v>
      </c>
      <c r="AH27" s="137" t="str">
        <f t="shared" si="20"/>
        <v>FUERTE</v>
      </c>
      <c r="AI27" s="137" t="s">
        <v>255</v>
      </c>
      <c r="AJ27" s="137" t="str">
        <f t="shared" si="24"/>
        <v>FUERTEFUERTE</v>
      </c>
      <c r="AK27" s="137">
        <f>VLOOKUP(AJ27,'[1]PARAMETROS RIESGOS DE CORRUPCIÓ'!$Q$4:$R$12,2,0)</f>
        <v>100</v>
      </c>
      <c r="AL27" s="162" t="str">
        <f t="shared" si="21"/>
        <v>FUERTE</v>
      </c>
      <c r="AM27" s="140" t="s">
        <v>81</v>
      </c>
      <c r="AN27" s="171" t="str">
        <f t="shared" si="22"/>
        <v>Aceptar-Asumir</v>
      </c>
      <c r="AO27" s="153" t="s">
        <v>385</v>
      </c>
      <c r="AP27" s="153" t="s">
        <v>385</v>
      </c>
      <c r="AQ27" s="153" t="s">
        <v>385</v>
      </c>
      <c r="AR27" s="153" t="s">
        <v>385</v>
      </c>
      <c r="AS27" s="153" t="s">
        <v>385</v>
      </c>
      <c r="AT27" s="153" t="s">
        <v>385</v>
      </c>
    </row>
    <row r="28" spans="2:46" ht="114" x14ac:dyDescent="0.25">
      <c r="C28" s="130" t="s">
        <v>379</v>
      </c>
      <c r="D28" s="130" t="s">
        <v>380</v>
      </c>
      <c r="E28" s="128" t="s">
        <v>393</v>
      </c>
      <c r="F28" s="128" t="s">
        <v>394</v>
      </c>
      <c r="G28" s="128" t="s">
        <v>395</v>
      </c>
      <c r="H28" s="130"/>
      <c r="I28" s="146" t="str">
        <f t="shared" si="27"/>
        <v>Posibilidad de•Perdida de imagen institucional,  Pérdida de credibilidad, Vulneracion de derechos y Daño patrimonial al Estadodebido a No aplicación del procedimiento establecido por No enviar para registro las sanciones ejecutoriadas</v>
      </c>
      <c r="J28" s="130" t="s">
        <v>245</v>
      </c>
      <c r="K28" s="130" t="s">
        <v>246</v>
      </c>
      <c r="L28" s="138" t="str">
        <f>VLOOKUP(K28,'[1]PARAMETROS RIESGOS DE CORRUPCIÓ'!$D$24:$E$28,2,0)</f>
        <v>Rara Vez</v>
      </c>
      <c r="M28" s="166">
        <f t="shared" si="26"/>
        <v>20</v>
      </c>
      <c r="N28" s="130" t="s">
        <v>80</v>
      </c>
      <c r="O28" s="164">
        <f t="shared" si="15"/>
        <v>60</v>
      </c>
      <c r="P28" s="128">
        <f>VALUE(_xlfn.CONCAT('Riesgos Corrupción'!M28,O28))</f>
        <v>2060</v>
      </c>
      <c r="Q28" s="167" t="str">
        <f>VLOOKUP(P28,'[3]Zona de riesgo'!$L$12:$M$26,2)</f>
        <v>Moderado</v>
      </c>
      <c r="R28" s="129" t="s">
        <v>396</v>
      </c>
      <c r="S28" s="155" t="s">
        <v>248</v>
      </c>
      <c r="T28" s="130" t="str">
        <f t="shared" si="28"/>
        <v>15</v>
      </c>
      <c r="U28" s="156" t="s">
        <v>249</v>
      </c>
      <c r="V28" s="138" t="str">
        <f t="shared" si="29"/>
        <v>15</v>
      </c>
      <c r="W28" s="155" t="s">
        <v>250</v>
      </c>
      <c r="X28" s="130" t="str">
        <f t="shared" si="30"/>
        <v>15</v>
      </c>
      <c r="Y28" s="156" t="s">
        <v>251</v>
      </c>
      <c r="Z28" s="130">
        <f t="shared" si="31"/>
        <v>15</v>
      </c>
      <c r="AA28" s="138" t="s">
        <v>252</v>
      </c>
      <c r="AB28" s="130" t="str">
        <f t="shared" si="32"/>
        <v>15</v>
      </c>
      <c r="AC28" s="138" t="s">
        <v>253</v>
      </c>
      <c r="AD28" s="138" t="str">
        <f t="shared" si="33"/>
        <v>15</v>
      </c>
      <c r="AE28" s="138" t="s">
        <v>254</v>
      </c>
      <c r="AF28" s="137" t="str">
        <f t="shared" si="10"/>
        <v>10</v>
      </c>
      <c r="AG28" s="137">
        <f t="shared" si="19"/>
        <v>100</v>
      </c>
      <c r="AH28" s="137" t="str">
        <f t="shared" si="20"/>
        <v>FUERTE</v>
      </c>
      <c r="AI28" s="137" t="s">
        <v>255</v>
      </c>
      <c r="AJ28" s="137" t="str">
        <f t="shared" si="24"/>
        <v>FUERTEFUERTE</v>
      </c>
      <c r="AK28" s="137">
        <f>VLOOKUP(AJ28,'[1]PARAMETROS RIESGOS DE CORRUPCIÓ'!$Q$4:$R$12,2,0)</f>
        <v>100</v>
      </c>
      <c r="AL28" s="162" t="str">
        <f t="shared" si="21"/>
        <v>FUERTE</v>
      </c>
      <c r="AM28" s="140" t="s">
        <v>81</v>
      </c>
      <c r="AN28" s="171" t="str">
        <f t="shared" si="22"/>
        <v>Aceptar-Asumir</v>
      </c>
      <c r="AO28" s="153" t="s">
        <v>385</v>
      </c>
      <c r="AP28" s="153" t="s">
        <v>385</v>
      </c>
      <c r="AQ28" s="153" t="s">
        <v>385</v>
      </c>
      <c r="AR28" s="153" t="s">
        <v>385</v>
      </c>
      <c r="AS28" s="153" t="s">
        <v>385</v>
      </c>
      <c r="AT28" s="153" t="s">
        <v>385</v>
      </c>
    </row>
    <row r="29" spans="2:46" ht="195" x14ac:dyDescent="0.25">
      <c r="C29" s="130" t="s">
        <v>397</v>
      </c>
      <c r="D29" s="130" t="s">
        <v>398</v>
      </c>
      <c r="E29" s="153" t="s">
        <v>324</v>
      </c>
      <c r="F29" s="175" t="s">
        <v>325</v>
      </c>
      <c r="G29" s="176" t="s">
        <v>326</v>
      </c>
      <c r="H29" s="177" t="s">
        <v>327</v>
      </c>
      <c r="I29" s="146" t="str">
        <f xml:space="preserve"> CONCATENATE("Posibilidad de ",E29," debido a ",F29," por ",G29)</f>
        <v>Posibilidad de Sanciones disciplinarias debido a defensa judicial inadecuada por Hacer caso omiso en las actuaciones jurídicas en las cuales esta involucrada la entidad a favor de terceros.</v>
      </c>
      <c r="J29" s="130" t="s">
        <v>245</v>
      </c>
      <c r="K29" s="130" t="s">
        <v>246</v>
      </c>
      <c r="L29" s="138" t="str">
        <f>VLOOKUP(K29,'[1]PARAMETROS RIESGOS DE CORRUPCIÓ'!$D$24:$E$28,2,0)</f>
        <v>Rara Vez</v>
      </c>
      <c r="M29" s="166">
        <f t="shared" si="26"/>
        <v>20</v>
      </c>
      <c r="N29" s="130" t="s">
        <v>80</v>
      </c>
      <c r="O29" s="164">
        <f t="shared" si="15"/>
        <v>60</v>
      </c>
      <c r="P29" s="128">
        <f>VALUE(_xlfn.CONCAT('Riesgos Corrupción'!M29,O29))</f>
        <v>2060</v>
      </c>
      <c r="Q29" s="167" t="str">
        <f>VLOOKUP(P29,'[3]Zona de riesgo'!$L$12:$M$26,2)</f>
        <v>Moderado</v>
      </c>
      <c r="R29" s="178" t="s">
        <v>328</v>
      </c>
      <c r="S29" s="155" t="s">
        <v>248</v>
      </c>
      <c r="T29" s="130" t="str">
        <f>+IF(S29="Asignado","15","0")</f>
        <v>15</v>
      </c>
      <c r="U29" s="156" t="s">
        <v>249</v>
      </c>
      <c r="V29" s="138" t="str">
        <f>+IF(U29="Adecuado","15","0")</f>
        <v>15</v>
      </c>
      <c r="W29" s="155" t="s">
        <v>250</v>
      </c>
      <c r="X29" s="130" t="str">
        <f>+IF(W29="Oportuna","15","0")</f>
        <v>15</v>
      </c>
      <c r="Y29" s="156" t="s">
        <v>251</v>
      </c>
      <c r="Z29" s="130">
        <f>+IF(Y29="Prevenir",15,IF(Y29="Detectar",10,"0"))</f>
        <v>15</v>
      </c>
      <c r="AA29" s="138" t="s">
        <v>252</v>
      </c>
      <c r="AB29" s="130" t="str">
        <f>+IF(AA29="Confiable","15","0")</f>
        <v>15</v>
      </c>
      <c r="AC29" s="138" t="s">
        <v>253</v>
      </c>
      <c r="AD29" s="138" t="str">
        <f>+IF(AC29="Si","15","0")</f>
        <v>15</v>
      </c>
      <c r="AE29" s="138" t="s">
        <v>254</v>
      </c>
      <c r="AF29" s="137" t="str">
        <f t="shared" si="10"/>
        <v>10</v>
      </c>
      <c r="AG29" s="137">
        <f t="shared" si="19"/>
        <v>100</v>
      </c>
      <c r="AH29" s="137" t="str">
        <f t="shared" si="20"/>
        <v>FUERTE</v>
      </c>
      <c r="AI29" s="137" t="s">
        <v>255</v>
      </c>
      <c r="AJ29" s="137" t="str">
        <f t="shared" si="24"/>
        <v>FUERTEFUERTE</v>
      </c>
      <c r="AK29" s="137">
        <f>VLOOKUP(AJ29,'[1]PARAMETROS RIESGOS DE CORRUPCIÓ'!$Q$4:$R$12,2,0)</f>
        <v>100</v>
      </c>
      <c r="AL29" s="162" t="str">
        <f t="shared" si="21"/>
        <v>FUERTE</v>
      </c>
      <c r="AM29" s="140" t="s">
        <v>81</v>
      </c>
      <c r="AN29" s="151" t="str">
        <f t="shared" si="22"/>
        <v>Aceptar-Asumir</v>
      </c>
      <c r="AO29" s="153" t="s">
        <v>329</v>
      </c>
      <c r="AP29" s="153" t="s">
        <v>329</v>
      </c>
      <c r="AQ29" s="153" t="s">
        <v>329</v>
      </c>
      <c r="AR29" s="153" t="s">
        <v>329</v>
      </c>
      <c r="AS29" s="153" t="s">
        <v>329</v>
      </c>
      <c r="AT29" s="153" t="s">
        <v>329</v>
      </c>
    </row>
    <row r="30" spans="2:46" ht="142.5" x14ac:dyDescent="0.25">
      <c r="C30" s="130" t="s">
        <v>397</v>
      </c>
      <c r="D30" s="130" t="s">
        <v>398</v>
      </c>
      <c r="E30" s="153" t="s">
        <v>330</v>
      </c>
      <c r="F30" s="177" t="s">
        <v>331</v>
      </c>
      <c r="G30" s="176" t="s">
        <v>332</v>
      </c>
      <c r="H30" s="176"/>
      <c r="I30" s="146" t="str">
        <f xml:space="preserve"> CONCATENATE("Posibilidad de ",E30," debido a ",F30," por ",G30)</f>
        <v>Posibilidad de Sanciones económicas debido a Manejo interno de los expedientes de manera inadecuada por Omisión de los lineamientos y normativas internas y externas en gestión documental en el préstamo de expedientes que reposan en el archivo de la OAJ en favor de terceros</v>
      </c>
      <c r="J30" s="130" t="s">
        <v>245</v>
      </c>
      <c r="K30" s="130" t="s">
        <v>333</v>
      </c>
      <c r="L30" s="138" t="str">
        <f>VLOOKUP(K30,'[1]PARAMETROS RIESGOS DE CORRUPCIÓ'!$D$24:$E$28,2,0)</f>
        <v>Improbable</v>
      </c>
      <c r="M30" s="166">
        <f t="shared" si="26"/>
        <v>40</v>
      </c>
      <c r="N30" s="130" t="s">
        <v>80</v>
      </c>
      <c r="O30" s="164">
        <f t="shared" si="15"/>
        <v>60</v>
      </c>
      <c r="P30" s="128">
        <f>VALUE(_xlfn.CONCAT('Riesgos Corrupción'!M30,O30))</f>
        <v>4060</v>
      </c>
      <c r="Q30" s="167" t="str">
        <f>VLOOKUP(P30,'[3]Zona de riesgo'!$L$12:$M$26,2)</f>
        <v>Moderado</v>
      </c>
      <c r="R30" s="178" t="s">
        <v>399</v>
      </c>
      <c r="S30" s="155" t="s">
        <v>248</v>
      </c>
      <c r="T30" s="130" t="str">
        <f>+IF(S30="Asignado","15","0")</f>
        <v>15</v>
      </c>
      <c r="U30" s="156" t="s">
        <v>249</v>
      </c>
      <c r="V30" s="138" t="str">
        <f>+IF(U30="Adecuado","15","0")</f>
        <v>15</v>
      </c>
      <c r="W30" s="155" t="s">
        <v>250</v>
      </c>
      <c r="X30" s="130" t="str">
        <f t="shared" ref="X30" si="34">+IF(W30="Oportuna","15","0")</f>
        <v>15</v>
      </c>
      <c r="Y30" s="156" t="s">
        <v>251</v>
      </c>
      <c r="Z30" s="130">
        <f t="shared" ref="Z30" si="35">+IF(Y30="Prevenir",15,IF(Y30="Detectar",10,"0"))</f>
        <v>15</v>
      </c>
      <c r="AA30" s="138" t="s">
        <v>252</v>
      </c>
      <c r="AB30" s="130" t="str">
        <f t="shared" ref="AB30" si="36">+IF(AA30="Confiable","15","0")</f>
        <v>15</v>
      </c>
      <c r="AC30" s="138" t="s">
        <v>253</v>
      </c>
      <c r="AD30" s="138" t="str">
        <f>+IF(AC30="Si","15","0")</f>
        <v>15</v>
      </c>
      <c r="AE30" s="138" t="s">
        <v>254</v>
      </c>
      <c r="AF30" s="137" t="str">
        <f t="shared" si="10"/>
        <v>10</v>
      </c>
      <c r="AG30" s="137">
        <f t="shared" si="19"/>
        <v>100</v>
      </c>
      <c r="AH30" s="137" t="str">
        <f t="shared" si="20"/>
        <v>FUERTE</v>
      </c>
      <c r="AI30" s="137" t="s">
        <v>255</v>
      </c>
      <c r="AJ30" s="137" t="str">
        <f t="shared" si="24"/>
        <v>FUERTEFUERTE</v>
      </c>
      <c r="AK30" s="137">
        <f>VLOOKUP(AJ30,'[1]PARAMETROS RIESGOS DE CORRUPCIÓ'!$Q$4:$R$12,2,0)</f>
        <v>100</v>
      </c>
      <c r="AL30" s="162" t="str">
        <f t="shared" si="21"/>
        <v>FUERTE</v>
      </c>
      <c r="AM30" s="140" t="s">
        <v>81</v>
      </c>
      <c r="AN30" s="151" t="str">
        <f t="shared" si="22"/>
        <v>Aceptar-Asumir</v>
      </c>
      <c r="AO30" s="153" t="s">
        <v>329</v>
      </c>
      <c r="AP30" s="153" t="s">
        <v>329</v>
      </c>
      <c r="AQ30" s="153" t="s">
        <v>329</v>
      </c>
      <c r="AR30" s="153" t="s">
        <v>329</v>
      </c>
      <c r="AS30" s="153" t="s">
        <v>329</v>
      </c>
      <c r="AT30" s="153" t="s">
        <v>329</v>
      </c>
    </row>
    <row r="419" spans="47:49" ht="42.75" x14ac:dyDescent="0.25">
      <c r="AU419" s="110" t="s">
        <v>400</v>
      </c>
      <c r="AV419" s="110" t="s">
        <v>401</v>
      </c>
    </row>
    <row r="420" spans="47:49" ht="28.5" x14ac:dyDescent="0.2">
      <c r="AU420" s="110" t="s">
        <v>402</v>
      </c>
      <c r="AV420" s="110" t="s">
        <v>403</v>
      </c>
      <c r="AW420" s="179"/>
    </row>
    <row r="421" spans="47:49" ht="28.5" x14ac:dyDescent="0.2">
      <c r="AU421" s="110" t="s">
        <v>404</v>
      </c>
      <c r="AV421" s="110" t="s">
        <v>405</v>
      </c>
      <c r="AW421" s="179"/>
    </row>
    <row r="422" spans="47:49" ht="15" x14ac:dyDescent="0.2">
      <c r="AU422" s="110" t="s">
        <v>406</v>
      </c>
      <c r="AV422" s="110" t="s">
        <v>407</v>
      </c>
      <c r="AW422" s="179"/>
    </row>
    <row r="423" spans="47:49" ht="15" x14ac:dyDescent="0.2">
      <c r="AW423" s="179"/>
    </row>
    <row r="424" spans="47:49" ht="15" x14ac:dyDescent="0.2">
      <c r="AW424" s="179"/>
    </row>
    <row r="425" spans="47:49" ht="15" x14ac:dyDescent="0.2">
      <c r="AW425" s="179"/>
    </row>
    <row r="426" spans="47:49" ht="15" x14ac:dyDescent="0.2">
      <c r="AW426" s="179"/>
    </row>
    <row r="427" spans="47:49" ht="15" x14ac:dyDescent="0.2">
      <c r="AW427" s="179"/>
    </row>
  </sheetData>
  <sheetProtection algorithmName="SHA-512" hashValue="CnHyzRVHseVBvvWxO7ryi5Dx9HdKLUJPoUrOQiPy+e8Ls8vfh1VYZAEzvl6RjeR+rpdXXqxdILv/OK9VRbIjIA==" saltValue="YkVvubJHS8yRImWZiK0T/w==" spinCount="100000" sheet="1" formatCells="0" formatColumns="0" formatRows="0" insertColumns="0" insertHyperlinks="0" deleteColumns="0" deleteRows="0" sort="0" autoFilter="0" pivotTables="0"/>
  <mergeCells count="116">
    <mergeCell ref="AK18:AK20"/>
    <mergeCell ref="AL18:AL20"/>
    <mergeCell ref="AM18:AM20"/>
    <mergeCell ref="AN18:AN20"/>
    <mergeCell ref="AD18:AD20"/>
    <mergeCell ref="AE18:AE20"/>
    <mergeCell ref="AG18:AG20"/>
    <mergeCell ref="AH18:AH20"/>
    <mergeCell ref="AI18:AI20"/>
    <mergeCell ref="AJ18:AJ20"/>
    <mergeCell ref="X18:X20"/>
    <mergeCell ref="Y18:Y20"/>
    <mergeCell ref="Z18:Z20"/>
    <mergeCell ref="AA18:AA20"/>
    <mergeCell ref="AB18:AB20"/>
    <mergeCell ref="AC18:AC20"/>
    <mergeCell ref="Q18:Q20"/>
    <mergeCell ref="S18:S20"/>
    <mergeCell ref="T18:T20"/>
    <mergeCell ref="U18:U20"/>
    <mergeCell ref="V18:V20"/>
    <mergeCell ref="W18:W20"/>
    <mergeCell ref="K18:K20"/>
    <mergeCell ref="L18:L20"/>
    <mergeCell ref="M18:M20"/>
    <mergeCell ref="N18:N20"/>
    <mergeCell ref="O18:O20"/>
    <mergeCell ref="P18:P20"/>
    <mergeCell ref="AT15:AT17"/>
    <mergeCell ref="B18:B20"/>
    <mergeCell ref="C18:C20"/>
    <mergeCell ref="D18:D20"/>
    <mergeCell ref="E18:E20"/>
    <mergeCell ref="F18:F20"/>
    <mergeCell ref="G18:G20"/>
    <mergeCell ref="H18:H20"/>
    <mergeCell ref="I18:I20"/>
    <mergeCell ref="J18:J20"/>
    <mergeCell ref="AN15:AN17"/>
    <mergeCell ref="AO15:AO17"/>
    <mergeCell ref="AP15:AP17"/>
    <mergeCell ref="AQ15:AQ17"/>
    <mergeCell ref="AR15:AR17"/>
    <mergeCell ref="AS15:AS17"/>
    <mergeCell ref="AH15:AH17"/>
    <mergeCell ref="AI15:AI17"/>
    <mergeCell ref="AJ15:AJ17"/>
    <mergeCell ref="AK15:AK17"/>
    <mergeCell ref="AL15:AL17"/>
    <mergeCell ref="AM15:AM17"/>
    <mergeCell ref="AA15:AA17"/>
    <mergeCell ref="AB15:AB17"/>
    <mergeCell ref="AC15:AC17"/>
    <mergeCell ref="AD15:AD17"/>
    <mergeCell ref="AE15:AE17"/>
    <mergeCell ref="AG15:AG17"/>
    <mergeCell ref="U15:U17"/>
    <mergeCell ref="V15:V17"/>
    <mergeCell ref="W15:W17"/>
    <mergeCell ref="X15:X17"/>
    <mergeCell ref="Y15:Y17"/>
    <mergeCell ref="Z15:Z17"/>
    <mergeCell ref="N15:N17"/>
    <mergeCell ref="O15:O17"/>
    <mergeCell ref="P15:P17"/>
    <mergeCell ref="Q15:Q17"/>
    <mergeCell ref="S15:S17"/>
    <mergeCell ref="T15:T17"/>
    <mergeCell ref="H15:H17"/>
    <mergeCell ref="I15:I17"/>
    <mergeCell ref="J15:J17"/>
    <mergeCell ref="K15:K17"/>
    <mergeCell ref="L15:L17"/>
    <mergeCell ref="M15:M17"/>
    <mergeCell ref="B15:B17"/>
    <mergeCell ref="C15:C17"/>
    <mergeCell ref="D15:D17"/>
    <mergeCell ref="E15:E17"/>
    <mergeCell ref="F15:F17"/>
    <mergeCell ref="G15:G17"/>
    <mergeCell ref="AT4:AT5"/>
    <mergeCell ref="W5:X5"/>
    <mergeCell ref="Y5:Z5"/>
    <mergeCell ref="AA5:AB5"/>
    <mergeCell ref="AC5:AD5"/>
    <mergeCell ref="AE5:AF5"/>
    <mergeCell ref="AN4:AN5"/>
    <mergeCell ref="AO4:AO5"/>
    <mergeCell ref="AP4:AP5"/>
    <mergeCell ref="AQ4:AQ5"/>
    <mergeCell ref="AR4:AR5"/>
    <mergeCell ref="AS4:AS5"/>
    <mergeCell ref="AN3:AT3"/>
    <mergeCell ref="B4:B5"/>
    <mergeCell ref="C4:C5"/>
    <mergeCell ref="D4:D5"/>
    <mergeCell ref="E4:E5"/>
    <mergeCell ref="F4:F5"/>
    <mergeCell ref="G4:G5"/>
    <mergeCell ref="G1:K1"/>
    <mergeCell ref="N1:U1"/>
    <mergeCell ref="B3:K3"/>
    <mergeCell ref="L3:Q3"/>
    <mergeCell ref="R3:AM3"/>
    <mergeCell ref="P4:Q5"/>
    <mergeCell ref="R4:R5"/>
    <mergeCell ref="S4:U4"/>
    <mergeCell ref="W4:AE4"/>
    <mergeCell ref="AL4:AL5"/>
    <mergeCell ref="AM4:AM5"/>
    <mergeCell ref="H4:H5"/>
    <mergeCell ref="I4:I5"/>
    <mergeCell ref="J4:J5"/>
    <mergeCell ref="K4:K5"/>
    <mergeCell ref="L4:L5"/>
    <mergeCell ref="N4:O5"/>
  </mergeCells>
  <conditionalFormatting sqref="L7:L15 L18 L21:L30">
    <cfRule type="containsText" dxfId="129" priority="47" operator="containsText" text="Posible">
      <formula>NOT(ISERROR(SEARCH("Posible",L7)))</formula>
    </cfRule>
    <cfRule type="containsText" dxfId="128" priority="48" operator="containsText" text="Improbable">
      <formula>NOT(ISERROR(SEARCH("Improbable",L7)))</formula>
    </cfRule>
    <cfRule type="colorScale" priority="66">
      <colorScale>
        <cfvo type="min"/>
        <cfvo type="percentile" val="50"/>
        <cfvo type="max"/>
        <color rgb="FFF8696B"/>
        <color rgb="FFFFEB84"/>
        <color rgb="FF63BE7B"/>
      </colorScale>
    </cfRule>
    <cfRule type="containsText" dxfId="127" priority="62" operator="containsText" text="Alta">
      <formula>NOT(ISERROR(SEARCH("Alta",L7)))</formula>
    </cfRule>
    <cfRule type="containsText" dxfId="126" priority="61" operator="containsText" text="Muy Alta">
      <formula>NOT(ISERROR(SEARCH("Muy Alta",L7)))</formula>
    </cfRule>
    <cfRule type="containsText" dxfId="125" priority="45" operator="containsText" text="Casi Seguro">
      <formula>NOT(ISERROR(SEARCH("Casi Seguro",L7)))</formula>
    </cfRule>
    <cfRule type="containsText" dxfId="124" priority="46" operator="containsText" text="Probable">
      <formula>NOT(ISERROR(SEARCH("Probable",L7)))</formula>
    </cfRule>
    <cfRule type="containsText" dxfId="123" priority="49" operator="containsText" text="Rara vez">
      <formula>NOT(ISERROR(SEARCH("Rara vez",L7)))</formula>
    </cfRule>
    <cfRule type="containsText" dxfId="122" priority="63" operator="containsText" text="Media">
      <formula>NOT(ISERROR(SEARCH("Media",L7)))</formula>
    </cfRule>
    <cfRule type="containsText" dxfId="121" priority="64" operator="containsText" text="Baja">
      <formula>NOT(ISERROR(SEARCH("Baja",L7)))</formula>
    </cfRule>
    <cfRule type="containsText" dxfId="120" priority="65" operator="containsText" text="Muy Baja">
      <formula>NOT(ISERROR(SEARCH("Muy Baja",L7)))</formula>
    </cfRule>
  </conditionalFormatting>
  <conditionalFormatting sqref="M13:M14">
    <cfRule type="colorScale" priority="60">
      <colorScale>
        <cfvo type="min"/>
        <cfvo type="percentile" val="50"/>
        <cfvo type="max"/>
        <color rgb="FFF8696B"/>
        <color rgb="FFFFEB84"/>
        <color rgb="FF63BE7B"/>
      </colorScale>
    </cfRule>
    <cfRule type="containsText" dxfId="119" priority="59" operator="containsText" text="Muy Baja">
      <formula>NOT(ISERROR(SEARCH("Muy Baja",M13)))</formula>
    </cfRule>
    <cfRule type="containsText" dxfId="118" priority="57" operator="containsText" text="Media">
      <formula>NOT(ISERROR(SEARCH("Media",M13)))</formula>
    </cfRule>
    <cfRule type="containsText" dxfId="117" priority="56" operator="containsText" text="Alta">
      <formula>NOT(ISERROR(SEARCH("Alta",M13)))</formula>
    </cfRule>
    <cfRule type="containsText" dxfId="116" priority="55" operator="containsText" text="Muy Alta">
      <formula>NOT(ISERROR(SEARCH("Muy Alta",M13)))</formula>
    </cfRule>
    <cfRule type="containsText" dxfId="115" priority="58" operator="containsText" text="Baja">
      <formula>NOT(ISERROR(SEARCH("Baja",M13)))</formula>
    </cfRule>
  </conditionalFormatting>
  <conditionalFormatting sqref="N12:N14">
    <cfRule type="containsText" dxfId="114" priority="51" operator="containsText" text="Mayor">
      <formula>NOT(ISERROR(SEARCH("Mayor",N12)))</formula>
    </cfRule>
    <cfRule type="containsText" dxfId="113" priority="50" operator="containsText" text="Catastrófico">
      <formula>NOT(ISERROR(SEARCH("Catastrófico",N12)))</formula>
    </cfRule>
    <cfRule type="containsText" dxfId="112" priority="54" operator="containsText" text="Leve">
      <formula>NOT(ISERROR(SEARCH("Leve",N12)))</formula>
    </cfRule>
    <cfRule type="containsText" dxfId="111" priority="53" operator="containsText" text="Menor">
      <formula>NOT(ISERROR(SEARCH("Menor",N12)))</formula>
    </cfRule>
    <cfRule type="containsText" dxfId="110" priority="52" operator="containsText" text="Moderado">
      <formula>NOT(ISERROR(SEARCH("Moderado",N12)))</formula>
    </cfRule>
  </conditionalFormatting>
  <conditionalFormatting sqref="N21:N24">
    <cfRule type="containsText" dxfId="109" priority="23" operator="containsText" text="Mayor">
      <formula>NOT(ISERROR(SEARCH(("Mayor"),(N21))))</formula>
    </cfRule>
    <cfRule type="containsText" dxfId="108" priority="24" operator="containsText" text="Moderado">
      <formula>NOT(ISERROR(SEARCH(("Moderado"),(N21))))</formula>
    </cfRule>
    <cfRule type="containsText" dxfId="107" priority="25" operator="containsText" text="Menor">
      <formula>NOT(ISERROR(SEARCH(("Menor"),(N21))))</formula>
    </cfRule>
    <cfRule type="containsText" dxfId="106" priority="26" operator="containsText" text="Leve">
      <formula>NOT(ISERROR(SEARCH(("Leve"),(N21))))</formula>
    </cfRule>
    <cfRule type="containsText" dxfId="105" priority="22" operator="containsText" text="Catastrófico">
      <formula>NOT(ISERROR(SEARCH(("Catastrófico"),(N21))))</formula>
    </cfRule>
  </conditionalFormatting>
  <conditionalFormatting sqref="N25:N30">
    <cfRule type="containsText" dxfId="104" priority="11" operator="containsText" text="Moderado">
      <formula>NOT(ISERROR(SEARCH("Moderado",N25)))</formula>
    </cfRule>
    <cfRule type="containsText" dxfId="103" priority="10" operator="containsText" text="Mayor">
      <formula>NOT(ISERROR(SEARCH("Mayor",N25)))</formula>
    </cfRule>
    <cfRule type="containsText" dxfId="102" priority="13" operator="containsText" text="Leve">
      <formula>NOT(ISERROR(SEARCH("Leve",N25)))</formula>
    </cfRule>
    <cfRule type="containsText" dxfId="101" priority="12" operator="containsText" text="Menor">
      <formula>NOT(ISERROR(SEARCH("Menor",N25)))</formula>
    </cfRule>
    <cfRule type="containsText" dxfId="100" priority="9" operator="containsText" text="Catastrófico">
      <formula>NOT(ISERROR(SEARCH("Catastrófico",N25)))</formula>
    </cfRule>
  </conditionalFormatting>
  <conditionalFormatting sqref="Q21:Q30">
    <cfRule type="containsText" dxfId="99" priority="27" operator="containsText" text="Extremo">
      <formula>NOT(ISERROR(SEARCH(("Extremo"),(Q21))))</formula>
    </cfRule>
    <cfRule type="containsText" dxfId="98" priority="28" operator="containsText" text="Alto">
      <formula>NOT(ISERROR(SEARCH(("Alto"),(Q21))))</formula>
    </cfRule>
    <cfRule type="containsText" dxfId="97" priority="29" operator="containsText" text="Moderado">
      <formula>NOT(ISERROR(SEARCH(("Moderado"),(Q21))))</formula>
    </cfRule>
    <cfRule type="containsText" dxfId="96" priority="30" operator="containsText" text="Baja">
      <formula>NOT(ISERROR(SEARCH(("Baja"),(Q21))))</formula>
    </cfRule>
    <cfRule type="cellIs" dxfId="95" priority="31" operator="equal">
      <formula>"Bajo"</formula>
    </cfRule>
  </conditionalFormatting>
  <conditionalFormatting sqref="AM7:AM8">
    <cfRule type="containsText" dxfId="94" priority="33" operator="containsText" text="Alto">
      <formula>NOT(ISERROR(SEARCH("Alto",AM7)))</formula>
    </cfRule>
    <cfRule type="containsText" dxfId="93" priority="34" operator="containsText" text="Moderado">
      <formula>NOT(ISERROR(SEARCH("Moderado",AM7)))</formula>
    </cfRule>
    <cfRule type="containsText" dxfId="92" priority="35" operator="containsText" text="Baja">
      <formula>NOT(ISERROR(SEARCH("Baja",AM7)))</formula>
    </cfRule>
    <cfRule type="cellIs" dxfId="91" priority="36" operator="equal">
      <formula>"Bajo"</formula>
    </cfRule>
    <cfRule type="containsText" dxfId="90" priority="32" operator="containsText" text="Extremo">
      <formula>NOT(ISERROR(SEARCH("Extremo",AM7)))</formula>
    </cfRule>
  </conditionalFormatting>
  <conditionalFormatting sqref="AM11:AM14">
    <cfRule type="containsText" dxfId="89" priority="43" operator="containsText" text="Baja">
      <formula>NOT(ISERROR(SEARCH("Baja",AM11)))</formula>
    </cfRule>
    <cfRule type="cellIs" dxfId="88" priority="44" operator="equal">
      <formula>"Bajo"</formula>
    </cfRule>
    <cfRule type="containsText" dxfId="87" priority="40" operator="containsText" text="Extremo">
      <formula>NOT(ISERROR(SEARCH("Extremo",AM11)))</formula>
    </cfRule>
    <cfRule type="containsText" dxfId="86" priority="41" operator="containsText" text="Alto">
      <formula>NOT(ISERROR(SEARCH("Alto",AM11)))</formula>
    </cfRule>
    <cfRule type="containsText" dxfId="85" priority="42" operator="containsText" text="Moderado">
      <formula>NOT(ISERROR(SEARCH("Moderado",AM11)))</formula>
    </cfRule>
  </conditionalFormatting>
  <conditionalFormatting sqref="AM21:AM24">
    <cfRule type="cellIs" dxfId="84" priority="21" operator="equal">
      <formula>"Bajo"</formula>
    </cfRule>
    <cfRule type="containsText" dxfId="83" priority="20" operator="containsText" text="Baja">
      <formula>NOT(ISERROR(SEARCH(("Baja"),(AM21))))</formula>
    </cfRule>
    <cfRule type="containsText" dxfId="82" priority="19" operator="containsText" text="Moderado">
      <formula>NOT(ISERROR(SEARCH(("Moderado"),(AM21))))</formula>
    </cfRule>
    <cfRule type="containsText" dxfId="81" priority="18" operator="containsText" text="Alto">
      <formula>NOT(ISERROR(SEARCH(("Alto"),(AM21))))</formula>
    </cfRule>
    <cfRule type="containsText" dxfId="80" priority="17" operator="containsText" text="Extremo">
      <formula>NOT(ISERROR(SEARCH(("Extremo"),(AM21))))</formula>
    </cfRule>
  </conditionalFormatting>
  <conditionalFormatting sqref="AM25:AM30">
    <cfRule type="cellIs" dxfId="79" priority="8" operator="equal">
      <formula>"Bajo"</formula>
    </cfRule>
    <cfRule type="containsText" dxfId="78" priority="7" operator="containsText" text="Baja">
      <formula>NOT(ISERROR(SEARCH("Baja",AM25)))</formula>
    </cfRule>
    <cfRule type="containsText" dxfId="77" priority="6" operator="containsText" text="Moderado">
      <formula>NOT(ISERROR(SEARCH("Moderado",AM25)))</formula>
    </cfRule>
    <cfRule type="containsText" dxfId="76" priority="5" operator="containsText" text="Alto">
      <formula>NOT(ISERROR(SEARCH("Alto",AM25)))</formula>
    </cfRule>
    <cfRule type="containsText" dxfId="75" priority="4" operator="containsText" text="Extremo">
      <formula>NOT(ISERROR(SEARCH("Extremo",AM25)))</formula>
    </cfRule>
  </conditionalFormatting>
  <conditionalFormatting sqref="AN11:AN14">
    <cfRule type="cellIs" dxfId="74" priority="37" stopIfTrue="1" operator="equal">
      <formula>"INACEPTABLE"</formula>
    </cfRule>
    <cfRule type="cellIs" dxfId="73" priority="38" stopIfTrue="1" operator="equal">
      <formula>"IMPORTANTE"</formula>
    </cfRule>
    <cfRule type="cellIs" dxfId="72" priority="39" stopIfTrue="1" operator="equal">
      <formula>"MODERADA"</formula>
    </cfRule>
  </conditionalFormatting>
  <conditionalFormatting sqref="AN21:AN28">
    <cfRule type="cellIs" dxfId="71" priority="16" stopIfTrue="1" operator="equal">
      <formula>"MODERADA"</formula>
    </cfRule>
    <cfRule type="cellIs" dxfId="70" priority="15" stopIfTrue="1" operator="equal">
      <formula>"IMPORTANTE"</formula>
    </cfRule>
    <cfRule type="cellIs" dxfId="69" priority="14" stopIfTrue="1" operator="equal">
      <formula>"INACEPTABLE"</formula>
    </cfRule>
  </conditionalFormatting>
  <conditionalFormatting sqref="AN29:AN30">
    <cfRule type="cellIs" dxfId="68" priority="1" stopIfTrue="1" operator="equal">
      <formula>"INACEPTABLE"</formula>
    </cfRule>
    <cfRule type="cellIs" dxfId="67" priority="3" stopIfTrue="1" operator="equal">
      <formula>"MODERADA"</formula>
    </cfRule>
    <cfRule type="cellIs" dxfId="66" priority="2" stopIfTrue="1" operator="equal">
      <formula>"IMPORTANTE"</formula>
    </cfRule>
  </conditionalFormatting>
  <dataValidations count="2">
    <dataValidation type="list" allowBlank="1" showErrorMessage="1" sqref="AC21:AC24">
      <formula1>"Si,No"</formula1>
    </dataValidation>
    <dataValidation type="list" allowBlank="1" showInputMessage="1" showErrorMessage="1" sqref="AC12:AC14 AC25:AC30">
      <formula1>"Si,No"</formula1>
    </dataValidation>
  </dataValidations>
  <hyperlinks>
    <hyperlink ref="AM12" location="'VALORACIÓN RR CORRUPCIÓN'!A1" display="'VALORACIÓN RR CORRUPCIÓN'!A1"/>
    <hyperlink ref="AM13:AM14" location="'VALORACIÓN RR CORRUPCIÓN'!A1" display="'VALORACIÓN RR CORRUPCIÓN'!A1"/>
    <hyperlink ref="AM11" location="'VALORACIÓN RR CORRUPCIÓN'!A1" display="'VALORACIÓN RR CORRUPCIÓN'!A1"/>
    <hyperlink ref="AM7" location="'VALORACIÓN RR CORRUPCIÓN'!A1" display="'VALORACIÓN RR CORRUPCIÓN'!A1"/>
    <hyperlink ref="AM8" location="'VALORACIÓN RR CORRUPCIÓN'!A1" display="'VALORACIÓN RR CORRUPCIÓN'!A1"/>
    <hyperlink ref="AM21" location="VALORACIÓN RR CORRUPCIÓN!A1" display="'VALORACIÓN RR CORRUPCIÓN'!A1"/>
    <hyperlink ref="AM25" location="'VALORACIÓN RR CORRUPCIÓN'!A1" display="'VALORACIÓN RR CORRUPCIÓN'!A1"/>
    <hyperlink ref="AM26" location="'VALORACIÓN RR CORRUPCIÓN'!A1" display="'VALORACIÓN RR CORRUPCIÓN'!A1"/>
    <hyperlink ref="AM27" location="'VALORACIÓN RR CORRUPCIÓN'!A1" display="'VALORACIÓN RR CORRUPCIÓN'!A1"/>
    <hyperlink ref="AM28" location="'VALORACIÓN RR CORRUPCIÓN'!A1" display="'VALORACIÓN RR CORRUPCIÓN'!A1"/>
    <hyperlink ref="AM29" location="'VALORACIÓN RR CORRUPCIÓN'!A1" display="'VALORACIÓN RR CORRUPCIÓN'!A1"/>
    <hyperlink ref="AM30" location="'VALORACIÓN RR CORRUPCIÓN'!A1" display="'VALORACIÓN RR CORRUPCIÓN'!A1"/>
  </hyperlinks>
  <printOptions horizontalCentered="1" verticalCentered="1"/>
  <pageMargins left="0.19685039370078741" right="0.19685039370078741" top="0.31496062992125984" bottom="0.51181102362204722" header="0.11811023622047245" footer="0.27559055118110237"/>
  <pageSetup paperSize="119" scale="45" orientation="landscape" r:id="rId1"/>
  <headerFooter>
    <oddFooter>&amp;R&amp;"Arial,Normal"&amp;8Código:  1D-PGE-F001
Versión: 8 
Fecha de vigencia: 9 de junio de 2015
Página &amp;Pde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Z45"/>
  <sheetViews>
    <sheetView topLeftCell="Z1" zoomScale="70" zoomScaleNormal="70" zoomScaleSheetLayoutView="50" workbookViewId="0">
      <selection activeCell="AJ4" sqref="AJ4:AJ5"/>
    </sheetView>
  </sheetViews>
  <sheetFormatPr baseColWidth="10" defaultRowHeight="14.25" x14ac:dyDescent="0.25"/>
  <cols>
    <col min="1" max="1" width="5.140625" style="110" customWidth="1"/>
    <col min="2" max="2" width="8.140625" style="110" customWidth="1"/>
    <col min="3" max="3" width="23.7109375" style="110" customWidth="1"/>
    <col min="4" max="4" width="17.5703125" style="110" customWidth="1"/>
    <col min="5" max="10" width="30.140625" style="110" customWidth="1"/>
    <col min="11" max="11" width="18" style="110" customWidth="1"/>
    <col min="12" max="12" width="14" style="110" customWidth="1"/>
    <col min="13" max="13" width="4.5703125" style="204" hidden="1" customWidth="1"/>
    <col min="14" max="14" width="12.85546875" style="180" bestFit="1" customWidth="1"/>
    <col min="15" max="15" width="4.5703125" style="181" hidden="1" customWidth="1"/>
    <col min="16" max="16" width="7.85546875" style="110" hidden="1" customWidth="1"/>
    <col min="17" max="17" width="17.140625" style="110" customWidth="1"/>
    <col min="18" max="18" width="42.85546875" style="110" customWidth="1"/>
    <col min="19" max="19" width="15.7109375" style="110" customWidth="1"/>
    <col min="20" max="20" width="16.42578125" style="110" customWidth="1"/>
    <col min="21" max="21" width="11.140625" style="110" customWidth="1"/>
    <col min="22" max="22" width="6.85546875" style="204" hidden="1" customWidth="1"/>
    <col min="23" max="23" width="17.42578125" style="110" customWidth="1"/>
    <col min="24" max="24" width="8.28515625" style="204" hidden="1" customWidth="1"/>
    <col min="25" max="25" width="14.140625" style="204" customWidth="1"/>
    <col min="26" max="26" width="17.140625" style="110" customWidth="1"/>
    <col min="27" max="27" width="12.85546875" style="110" customWidth="1"/>
    <col min="28" max="28" width="11.5703125" style="110" bestFit="1" customWidth="1"/>
    <col min="29" max="29" width="6.85546875" style="110" hidden="1" customWidth="1"/>
    <col min="30" max="30" width="13.5703125" style="110" customWidth="1"/>
    <col min="31" max="31" width="3.85546875" style="110" hidden="1" customWidth="1"/>
    <col min="32" max="32" width="23" style="110" bestFit="1" customWidth="1"/>
    <col min="33" max="33" width="13.85546875" style="110" hidden="1" customWidth="1"/>
    <col min="34" max="34" width="19.5703125" style="110" bestFit="1" customWidth="1"/>
    <col min="35" max="35" width="19.5703125" style="110" customWidth="1"/>
    <col min="36" max="36" width="33.7109375" style="182" customWidth="1"/>
    <col min="37" max="37" width="20.42578125" style="110" customWidth="1"/>
    <col min="38" max="38" width="18.42578125" style="110" customWidth="1"/>
    <col min="39" max="39" width="20.7109375" style="110" customWidth="1"/>
    <col min="40" max="40" width="12.140625" style="110" bestFit="1" customWidth="1"/>
    <col min="41" max="41" width="16.42578125" style="110" customWidth="1"/>
    <col min="42" max="16384" width="11.42578125" style="110"/>
  </cols>
  <sheetData>
    <row r="1" spans="2:52" ht="15" x14ac:dyDescent="0.25">
      <c r="B1" s="109"/>
      <c r="C1" s="109"/>
      <c r="D1" s="109"/>
      <c r="E1" s="109"/>
      <c r="H1" s="348"/>
      <c r="I1" s="348"/>
      <c r="J1" s="348"/>
      <c r="K1" s="348"/>
      <c r="M1" s="348"/>
      <c r="N1" s="348"/>
      <c r="O1" s="348"/>
      <c r="P1" s="348"/>
      <c r="Q1" s="348"/>
      <c r="R1" s="348"/>
      <c r="S1" s="348"/>
      <c r="T1" s="348"/>
      <c r="U1" s="111"/>
      <c r="V1" s="183"/>
      <c r="W1" s="111"/>
      <c r="X1" s="183"/>
      <c r="Y1" s="183"/>
      <c r="Z1" s="111"/>
      <c r="AA1" s="111"/>
      <c r="AB1" s="111"/>
      <c r="AC1" s="111"/>
      <c r="AD1" s="111"/>
      <c r="AE1" s="111"/>
      <c r="AF1" s="111"/>
      <c r="AG1" s="111"/>
      <c r="AJ1" s="110"/>
    </row>
    <row r="2" spans="2:52" s="114" customFormat="1" ht="15" x14ac:dyDescent="0.25">
      <c r="B2" s="112"/>
      <c r="C2" s="112"/>
      <c r="D2" s="112"/>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L2" s="110"/>
      <c r="AM2" s="110"/>
      <c r="AN2" s="115" t="s">
        <v>212</v>
      </c>
      <c r="AO2" s="116">
        <v>44952</v>
      </c>
      <c r="AP2" s="110"/>
      <c r="AQ2" s="110"/>
      <c r="AR2" s="110"/>
      <c r="AS2" s="110"/>
      <c r="AT2" s="110"/>
      <c r="AU2" s="110"/>
      <c r="AV2" s="110"/>
      <c r="AW2" s="110"/>
      <c r="AX2" s="110"/>
      <c r="AY2" s="110"/>
      <c r="AZ2" s="110"/>
    </row>
    <row r="3" spans="2:52" ht="33" customHeight="1" x14ac:dyDescent="0.25">
      <c r="B3" s="349" t="s">
        <v>213</v>
      </c>
      <c r="C3" s="349"/>
      <c r="D3" s="349"/>
      <c r="E3" s="349"/>
      <c r="F3" s="349"/>
      <c r="G3" s="349"/>
      <c r="H3" s="349"/>
      <c r="I3" s="349"/>
      <c r="J3" s="349"/>
      <c r="K3" s="349"/>
      <c r="L3" s="349" t="s">
        <v>214</v>
      </c>
      <c r="M3" s="349"/>
      <c r="N3" s="349"/>
      <c r="O3" s="349"/>
      <c r="P3" s="349"/>
      <c r="Q3" s="349"/>
      <c r="R3" s="349" t="s">
        <v>215</v>
      </c>
      <c r="S3" s="349"/>
      <c r="T3" s="349"/>
      <c r="U3" s="349"/>
      <c r="V3" s="349"/>
      <c r="W3" s="349"/>
      <c r="X3" s="349"/>
      <c r="Y3" s="349"/>
      <c r="Z3" s="349"/>
      <c r="AA3" s="349"/>
      <c r="AB3" s="349"/>
      <c r="AC3" s="349"/>
      <c r="AD3" s="349"/>
      <c r="AE3" s="349"/>
      <c r="AF3" s="349"/>
      <c r="AG3" s="349"/>
      <c r="AH3" s="349"/>
      <c r="AI3" s="341" t="s">
        <v>216</v>
      </c>
      <c r="AJ3" s="342"/>
      <c r="AK3" s="342"/>
      <c r="AL3" s="342"/>
      <c r="AM3" s="342"/>
      <c r="AN3" s="342"/>
      <c r="AO3" s="343"/>
    </row>
    <row r="4" spans="2:52" ht="15" x14ac:dyDescent="0.25">
      <c r="B4" s="344" t="s">
        <v>165</v>
      </c>
      <c r="C4" s="345" t="s">
        <v>194</v>
      </c>
      <c r="D4" s="345" t="s">
        <v>217</v>
      </c>
      <c r="E4" s="347" t="s">
        <v>408</v>
      </c>
      <c r="F4" s="347" t="s">
        <v>409</v>
      </c>
      <c r="G4" s="347" t="s">
        <v>410</v>
      </c>
      <c r="H4" s="347" t="s">
        <v>411</v>
      </c>
      <c r="I4" s="353" t="s">
        <v>412</v>
      </c>
      <c r="J4" s="353" t="s">
        <v>49</v>
      </c>
      <c r="K4" s="353" t="s">
        <v>221</v>
      </c>
      <c r="L4" s="347" t="s">
        <v>33</v>
      </c>
      <c r="M4" s="347"/>
      <c r="N4" s="347" t="s">
        <v>222</v>
      </c>
      <c r="O4" s="347"/>
      <c r="P4" s="347" t="s">
        <v>47</v>
      </c>
      <c r="Q4" s="347"/>
      <c r="R4" s="347" t="s">
        <v>161</v>
      </c>
      <c r="S4" s="347" t="s">
        <v>12</v>
      </c>
      <c r="T4" s="347"/>
      <c r="U4" s="347"/>
      <c r="V4" s="347"/>
      <c r="W4" s="347"/>
      <c r="X4" s="347"/>
      <c r="Y4" s="347"/>
      <c r="Z4" s="347"/>
      <c r="AA4" s="347"/>
      <c r="AB4" s="347"/>
      <c r="AC4" s="347" t="s">
        <v>5</v>
      </c>
      <c r="AD4" s="347" t="s">
        <v>413</v>
      </c>
      <c r="AE4" s="347" t="s">
        <v>5</v>
      </c>
      <c r="AF4" s="347" t="s">
        <v>414</v>
      </c>
      <c r="AG4" s="353"/>
      <c r="AH4" s="347" t="s">
        <v>226</v>
      </c>
      <c r="AI4" s="347" t="s">
        <v>29</v>
      </c>
      <c r="AJ4" s="347" t="s">
        <v>415</v>
      </c>
      <c r="AK4" s="359" t="s">
        <v>228</v>
      </c>
      <c r="AL4" s="355" t="s">
        <v>229</v>
      </c>
      <c r="AM4" s="355" t="s">
        <v>230</v>
      </c>
      <c r="AN4" s="355" t="s">
        <v>37</v>
      </c>
      <c r="AO4" s="355" t="s">
        <v>39</v>
      </c>
    </row>
    <row r="5" spans="2:52" ht="35.25" customHeight="1" x14ac:dyDescent="0.25">
      <c r="B5" s="344"/>
      <c r="C5" s="346"/>
      <c r="D5" s="346"/>
      <c r="E5" s="347"/>
      <c r="F5" s="347"/>
      <c r="G5" s="347"/>
      <c r="H5" s="347"/>
      <c r="I5" s="354"/>
      <c r="J5" s="354"/>
      <c r="K5" s="354"/>
      <c r="L5" s="347"/>
      <c r="M5" s="347"/>
      <c r="N5" s="347"/>
      <c r="O5" s="347"/>
      <c r="P5" s="347"/>
      <c r="Q5" s="347"/>
      <c r="R5" s="347"/>
      <c r="S5" s="122" t="s">
        <v>4</v>
      </c>
      <c r="T5" s="122" t="s">
        <v>2</v>
      </c>
      <c r="U5" s="122" t="s">
        <v>13</v>
      </c>
      <c r="V5" s="184"/>
      <c r="W5" s="122" t="s">
        <v>17</v>
      </c>
      <c r="X5" s="184" t="s">
        <v>5</v>
      </c>
      <c r="Y5" s="184" t="s">
        <v>28</v>
      </c>
      <c r="Z5" s="122" t="s">
        <v>18</v>
      </c>
      <c r="AA5" s="122" t="s">
        <v>21</v>
      </c>
      <c r="AB5" s="122" t="s">
        <v>24</v>
      </c>
      <c r="AC5" s="347"/>
      <c r="AD5" s="347"/>
      <c r="AE5" s="347"/>
      <c r="AF5" s="347"/>
      <c r="AG5" s="354"/>
      <c r="AH5" s="347"/>
      <c r="AI5" s="347"/>
      <c r="AJ5" s="347"/>
      <c r="AK5" s="360"/>
      <c r="AL5" s="356"/>
      <c r="AM5" s="356"/>
      <c r="AN5" s="356"/>
      <c r="AO5" s="356"/>
    </row>
    <row r="6" spans="2:52" ht="9.75" customHeight="1" x14ac:dyDescent="0.25">
      <c r="B6" s="185"/>
      <c r="C6" s="185"/>
      <c r="D6" s="185"/>
      <c r="E6" s="185"/>
      <c r="F6" s="185"/>
      <c r="G6" s="185"/>
      <c r="H6" s="185"/>
      <c r="I6" s="185"/>
      <c r="J6" s="185"/>
      <c r="K6" s="185"/>
      <c r="L6" s="185"/>
      <c r="M6" s="186"/>
      <c r="N6" s="185"/>
      <c r="O6" s="187"/>
      <c r="P6" s="185"/>
      <c r="Q6" s="185"/>
      <c r="R6" s="185"/>
      <c r="S6" s="188"/>
      <c r="T6" s="188"/>
      <c r="U6" s="188"/>
      <c r="V6" s="189"/>
      <c r="W6" s="188"/>
      <c r="X6" s="189"/>
      <c r="Y6" s="189"/>
      <c r="Z6" s="188"/>
      <c r="AA6" s="188"/>
      <c r="AB6" s="188"/>
      <c r="AC6" s="188"/>
      <c r="AD6" s="188"/>
      <c r="AE6" s="188"/>
      <c r="AF6" s="188"/>
      <c r="AG6" s="188"/>
      <c r="AH6" s="185"/>
      <c r="AI6" s="185"/>
      <c r="AJ6" s="185"/>
      <c r="AK6" s="130"/>
      <c r="AL6" s="130"/>
      <c r="AM6" s="130"/>
      <c r="AN6" s="130"/>
      <c r="AO6" s="130"/>
    </row>
    <row r="7" spans="2:52" ht="42.75" x14ac:dyDescent="0.25">
      <c r="B7" s="383">
        <v>1</v>
      </c>
      <c r="C7" s="345" t="s">
        <v>416</v>
      </c>
      <c r="D7" s="345" t="s">
        <v>397</v>
      </c>
      <c r="E7" s="374" t="s">
        <v>417</v>
      </c>
      <c r="F7" s="374" t="s">
        <v>418</v>
      </c>
      <c r="G7" s="374" t="s">
        <v>419</v>
      </c>
      <c r="H7" s="374" t="s">
        <v>420</v>
      </c>
      <c r="I7" s="389" t="s">
        <v>421</v>
      </c>
      <c r="J7" s="374" t="s">
        <v>422</v>
      </c>
      <c r="K7" s="374">
        <v>463</v>
      </c>
      <c r="L7" s="374" t="str">
        <f>VLOOKUP(M7,'[1]PARÁMETROS RIESGOS GESTIÓN'!$D$12:$F$17,3,0)</f>
        <v>Media</v>
      </c>
      <c r="M7" s="374">
        <f>IF(K7&lt;=2,20,IF(K7&lt;=24,40,IF(K7&lt;=500,60,IF(K7&lt;="5000",80,100))))</f>
        <v>60</v>
      </c>
      <c r="N7" s="374" t="s">
        <v>83</v>
      </c>
      <c r="O7" s="374">
        <f>IF(N7="leve",20,IF(N7="Menor",40,IF(N7="Moderado",60,IF(N7="Mayor",80,IF(N7="Catastrófico",100,0)))))</f>
        <v>40</v>
      </c>
      <c r="P7" s="374">
        <f>VALUE(_xlfn.CONCAT(M7,O7))</f>
        <v>6040</v>
      </c>
      <c r="Q7" s="387" t="str">
        <f>VLOOKUP(P7,'[1]Zona de riesgo'!$B$12:$C$36,2,0)</f>
        <v>Moderado</v>
      </c>
      <c r="R7" s="178" t="s">
        <v>423</v>
      </c>
      <c r="S7" s="155" t="s">
        <v>424</v>
      </c>
      <c r="T7" s="155"/>
      <c r="U7" s="130" t="s">
        <v>14</v>
      </c>
      <c r="V7" s="190">
        <f>IF(U7="Preventivo",25,IF(U7="Detectivo",15,IF(U7="Correctivo",10)))</f>
        <v>25</v>
      </c>
      <c r="W7" s="130" t="s">
        <v>10</v>
      </c>
      <c r="X7" s="190">
        <f>IF(W7="Automático",25,IF(W7="manual",15))</f>
        <v>25</v>
      </c>
      <c r="Y7" s="191">
        <f>V7+X7</f>
        <v>50</v>
      </c>
      <c r="Z7" s="130" t="s">
        <v>19</v>
      </c>
      <c r="AA7" s="130" t="s">
        <v>22</v>
      </c>
      <c r="AB7" s="130" t="s">
        <v>425</v>
      </c>
      <c r="AC7" s="191">
        <f>IF(U7="Correctivo",M7,(M7-(M7*Y7)/100))</f>
        <v>30</v>
      </c>
      <c r="AD7" s="374" t="str">
        <f>IF(AC9&gt;80,"Muy Alta",IF(AC9&gt;60,"Alta",IF(AC9&gt;40,"Media",IF(AC9&gt;20,"Baja","Muy Baja"))))</f>
        <v>Muy Baja</v>
      </c>
      <c r="AE7" s="130">
        <f>IF(U7="Correctivo",(O7-(O7*V7)/100),O7)</f>
        <v>40</v>
      </c>
      <c r="AF7" s="374" t="str">
        <f>IF(AE9&gt;80,"Catastrófico",IF(AE9&gt;60,"Mayor",IF(AE9&gt;40,"Moderado",IF(AE9&gt;20,"Menor","Leve"))))</f>
        <v>Menor</v>
      </c>
      <c r="AG7" s="374" t="str">
        <f>CONCATENATE(AD7,AF7)</f>
        <v>Muy BajaMenor</v>
      </c>
      <c r="AH7" s="387" t="str">
        <f>VLOOKUP(AG7,'[1]RIESGO RESIDUAL'!$A$1:$B$25,2,0)</f>
        <v>Baja</v>
      </c>
      <c r="AI7" s="380" t="str">
        <f>IF(AH7="Baja","Aceptar-Asumir","Reducir-Mitigar")</f>
        <v>Aceptar-Asumir</v>
      </c>
      <c r="AJ7" s="377" t="s">
        <v>426</v>
      </c>
      <c r="AK7" s="377" t="s">
        <v>426</v>
      </c>
      <c r="AL7" s="377" t="s">
        <v>426</v>
      </c>
      <c r="AM7" s="377" t="s">
        <v>426</v>
      </c>
      <c r="AN7" s="377" t="s">
        <v>426</v>
      </c>
      <c r="AO7" s="377" t="s">
        <v>426</v>
      </c>
    </row>
    <row r="8" spans="2:52" ht="57" x14ac:dyDescent="0.25">
      <c r="B8" s="384"/>
      <c r="C8" s="386"/>
      <c r="D8" s="386"/>
      <c r="E8" s="375"/>
      <c r="F8" s="375"/>
      <c r="G8" s="375"/>
      <c r="H8" s="375"/>
      <c r="I8" s="390"/>
      <c r="J8" s="375"/>
      <c r="K8" s="375" t="s">
        <v>427</v>
      </c>
      <c r="L8" s="375" t="str">
        <f>VLOOKUP(M8,'[1]PARÁMETROS RIESGOS GESTIÓN'!D13:F18,3,TRUE)</f>
        <v>Baja</v>
      </c>
      <c r="M8" s="375">
        <f t="shared" ref="M8:M45" si="0">IF(K8="1 a 2",20,IF(K8="3 a 24",40,IF(K8="25 a 500",60,IF(K8="501 a 5000",80,100))))</f>
        <v>40</v>
      </c>
      <c r="N8" s="375" t="s">
        <v>84</v>
      </c>
      <c r="O8" s="375">
        <f t="shared" ref="O8:O45" si="1">IF(N8="leve",20,IF(N8="Menor",40,IF(N8="Moderado",60,IF(N8="Mayor",80,IF(N8="Catastrófico",100,0)))))</f>
        <v>100</v>
      </c>
      <c r="P8" s="375">
        <f t="shared" ref="P8:P9" si="2">VALUE(_xlfn.CONCAT(M8,O8))</f>
        <v>40100</v>
      </c>
      <c r="Q8" s="388" t="str">
        <f>VLOOKUP(P8,'[1]Zona de riesgo'!B13:C37,2)</f>
        <v>Extremo</v>
      </c>
      <c r="R8" s="178" t="s">
        <v>428</v>
      </c>
      <c r="S8" s="155" t="s">
        <v>424</v>
      </c>
      <c r="T8" s="155"/>
      <c r="U8" s="130" t="s">
        <v>14</v>
      </c>
      <c r="V8" s="190">
        <f>IF(U8="Preventivo",25,IF(U8="Detectivo",15,IF(U8="Correctivo",10)))</f>
        <v>25</v>
      </c>
      <c r="W8" s="130" t="s">
        <v>10</v>
      </c>
      <c r="X8" s="190">
        <f t="shared" ref="X8:X43" si="3">IF(W8="Automático",25,IF(W8="manual",15))</f>
        <v>25</v>
      </c>
      <c r="Y8" s="191">
        <f>V8+X8</f>
        <v>50</v>
      </c>
      <c r="Z8" s="130" t="s">
        <v>19</v>
      </c>
      <c r="AA8" s="130" t="s">
        <v>22</v>
      </c>
      <c r="AB8" s="130" t="s">
        <v>425</v>
      </c>
      <c r="AC8" s="191">
        <f>IF(U8="preventivo",(AC7-(AC7*Y8/100)),IF(U8="detectivo",(AC7-(AC7*Y8/100)),IF(U8="Correctivo",AC7,AC7)))</f>
        <v>15</v>
      </c>
      <c r="AD8" s="375"/>
      <c r="AE8" s="130">
        <f>IF(U8="Correctivo",(AE7-(AE7*V7/100)),AE7)</f>
        <v>40</v>
      </c>
      <c r="AF8" s="375"/>
      <c r="AG8" s="375"/>
      <c r="AH8" s="388"/>
      <c r="AI8" s="381"/>
      <c r="AJ8" s="378"/>
      <c r="AK8" s="378"/>
      <c r="AL8" s="378"/>
      <c r="AM8" s="378"/>
      <c r="AN8" s="378"/>
      <c r="AO8" s="378"/>
    </row>
    <row r="9" spans="2:52" ht="20.25" x14ac:dyDescent="0.25">
      <c r="B9" s="385"/>
      <c r="C9" s="346"/>
      <c r="D9" s="346"/>
      <c r="E9" s="376"/>
      <c r="F9" s="376"/>
      <c r="G9" s="376"/>
      <c r="H9" s="376"/>
      <c r="I9" s="391"/>
      <c r="J9" s="376"/>
      <c r="K9" s="376" t="s">
        <v>429</v>
      </c>
      <c r="L9" s="376" t="str">
        <f>VLOOKUP(M9,'[1]PARÁMETROS RIESGOS GESTIÓN'!D14:F19,3,TRUE)</f>
        <v>Media</v>
      </c>
      <c r="M9" s="376">
        <f t="shared" si="0"/>
        <v>60</v>
      </c>
      <c r="N9" s="376" t="s">
        <v>84</v>
      </c>
      <c r="O9" s="376">
        <f t="shared" si="1"/>
        <v>100</v>
      </c>
      <c r="P9" s="376">
        <f t="shared" si="2"/>
        <v>60100</v>
      </c>
      <c r="Q9" s="388" t="str">
        <f>VLOOKUP(P9,'[1]Zona de riesgo'!B14:C38,2)</f>
        <v>Extremo</v>
      </c>
      <c r="R9" s="178"/>
      <c r="S9" s="155"/>
      <c r="T9" s="156"/>
      <c r="U9" s="130"/>
      <c r="V9" s="190"/>
      <c r="W9" s="130"/>
      <c r="X9" s="190"/>
      <c r="Y9" s="191"/>
      <c r="Z9" s="130"/>
      <c r="AA9" s="130"/>
      <c r="AB9" s="130"/>
      <c r="AC9" s="191">
        <f>IF(U9="preventivo",(AC8-(AC8*Y9/100)),IF(U9="detectivo",(AC8-(AC8*Y9/100)),IF(U9="Correctivo",AC8,AC8)))</f>
        <v>15</v>
      </c>
      <c r="AD9" s="376"/>
      <c r="AE9" s="130">
        <f>IF(U9="Correctivo",(AE8-(AE8*V8/100)),AE8)</f>
        <v>40</v>
      </c>
      <c r="AF9" s="376"/>
      <c r="AG9" s="376"/>
      <c r="AH9" s="388"/>
      <c r="AI9" s="382"/>
      <c r="AJ9" s="379"/>
      <c r="AK9" s="379"/>
      <c r="AL9" s="379"/>
      <c r="AM9" s="379"/>
      <c r="AN9" s="379"/>
      <c r="AO9" s="379"/>
    </row>
    <row r="10" spans="2:52" ht="42.75" x14ac:dyDescent="0.25">
      <c r="B10" s="383">
        <v>2</v>
      </c>
      <c r="C10" s="345" t="s">
        <v>430</v>
      </c>
      <c r="D10" s="345" t="s">
        <v>397</v>
      </c>
      <c r="E10" s="374" t="s">
        <v>431</v>
      </c>
      <c r="F10" s="374" t="s">
        <v>432</v>
      </c>
      <c r="G10" s="374" t="s">
        <v>419</v>
      </c>
      <c r="H10" s="374" t="s">
        <v>433</v>
      </c>
      <c r="I10" s="389" t="s">
        <v>420</v>
      </c>
      <c r="J10" s="389" t="s">
        <v>422</v>
      </c>
      <c r="K10" s="374">
        <v>2</v>
      </c>
      <c r="L10" s="374" t="str">
        <f>VLOOKUP(M10,'[1]PARÁMETROS RIESGOS GESTIÓN'!$D$12:$F$17,3,0)</f>
        <v>Muy Baja</v>
      </c>
      <c r="M10" s="374">
        <f t="shared" ref="M10" si="4">IF(K10&lt;=2,20,IF(K10&lt;=24,40,IF(K10&lt;=500,60,IF(K10&lt;="5000",80,100))))</f>
        <v>20</v>
      </c>
      <c r="N10" s="374" t="s">
        <v>434</v>
      </c>
      <c r="O10" s="374">
        <f t="shared" si="1"/>
        <v>20</v>
      </c>
      <c r="P10" s="374">
        <f>VALUE(_xlfn.CONCAT(M10,O10))</f>
        <v>2020</v>
      </c>
      <c r="Q10" s="387" t="str">
        <f>VLOOKUP(P10,'[1]Zona de riesgo'!$B$12:$C$36,2,0)</f>
        <v>Baja</v>
      </c>
      <c r="R10" s="178" t="s">
        <v>435</v>
      </c>
      <c r="S10" s="155" t="s">
        <v>436</v>
      </c>
      <c r="T10" s="130"/>
      <c r="U10" s="130" t="s">
        <v>14</v>
      </c>
      <c r="V10" s="190">
        <f t="shared" ref="V10:V43" si="5">IF(U10="Preventivo",25,IF(U10="Detectivo",15,IF(U10="Correctivo",10)))</f>
        <v>25</v>
      </c>
      <c r="W10" s="130" t="s">
        <v>9</v>
      </c>
      <c r="X10" s="190">
        <f t="shared" si="3"/>
        <v>15</v>
      </c>
      <c r="Y10" s="191">
        <f t="shared" ref="Y10:Y43" si="6">V10+X10</f>
        <v>40</v>
      </c>
      <c r="Z10" s="130" t="s">
        <v>19</v>
      </c>
      <c r="AA10" s="130" t="s">
        <v>23</v>
      </c>
      <c r="AB10" s="130" t="s">
        <v>27</v>
      </c>
      <c r="AC10" s="191">
        <f>IF(U10="Correctivo",M10,(M10-(M10*Y10)/100))</f>
        <v>12</v>
      </c>
      <c r="AD10" s="374" t="str">
        <f>IF(AC12&gt;80,"Muy Alta",IF(AC12&gt;60,"Alta",IF(AC12&gt;40,"Media",IF(AC12&gt;20,"Baja","Muy Baja"))))</f>
        <v>Muy Baja</v>
      </c>
      <c r="AE10" s="130">
        <f>IF(U10="Correctivo",(O10-(O10*V10)/100),O10)</f>
        <v>20</v>
      </c>
      <c r="AF10" s="374" t="str">
        <f>IF(AE12&gt;80,"Catastrófico",IF(AE12&gt;60,"Mayor",IF(AE12&gt;40,"Moderado",IF(AE12&gt;20,"Menor","Leve"))))</f>
        <v>Leve</v>
      </c>
      <c r="AG10" s="374" t="str">
        <f>CONCATENATE(AD10,AF10)</f>
        <v>Muy BajaLeve</v>
      </c>
      <c r="AH10" s="387" t="str">
        <f>VLOOKUP(AG10,'[1]RIESGO RESIDUAL'!$A$1:$B$25,2,0)</f>
        <v>Baja</v>
      </c>
      <c r="AI10" s="380" t="str">
        <f>IF(AH10="Baja","Aceptar-Asumir","Reducir-Mitigar")</f>
        <v>Aceptar-Asumir</v>
      </c>
      <c r="AJ10" s="377" t="s">
        <v>437</v>
      </c>
      <c r="AK10" s="377" t="s">
        <v>438</v>
      </c>
      <c r="AL10" s="377" t="s">
        <v>439</v>
      </c>
      <c r="AM10" s="377"/>
      <c r="AN10" s="377"/>
      <c r="AO10" s="377"/>
    </row>
    <row r="11" spans="2:52" ht="42.75" x14ac:dyDescent="0.25">
      <c r="B11" s="384"/>
      <c r="C11" s="386"/>
      <c r="D11" s="386"/>
      <c r="E11" s="375"/>
      <c r="F11" s="375"/>
      <c r="G11" s="375"/>
      <c r="H11" s="375"/>
      <c r="I11" s="390"/>
      <c r="J11" s="390"/>
      <c r="K11" s="375"/>
      <c r="L11" s="375" t="str">
        <f>VLOOKUP(M11,'[1]PARÁMETROS RIESGOS GESTIÓN'!D16:F21,3,TRUE)</f>
        <v>Muy Alta</v>
      </c>
      <c r="M11" s="375">
        <f t="shared" si="0"/>
        <v>100</v>
      </c>
      <c r="N11" s="375" t="s">
        <v>84</v>
      </c>
      <c r="O11" s="375">
        <f t="shared" si="1"/>
        <v>100</v>
      </c>
      <c r="P11" s="375">
        <f t="shared" ref="P11:P12" si="7">VALUE(_xlfn.CONCAT(M11,O11))</f>
        <v>100100</v>
      </c>
      <c r="Q11" s="388" t="str">
        <f>VLOOKUP(P11,'[1]Zona de riesgo'!B16:C40,2)</f>
        <v>Extremo</v>
      </c>
      <c r="R11" s="178" t="s">
        <v>440</v>
      </c>
      <c r="S11" s="155" t="s">
        <v>436</v>
      </c>
      <c r="T11" s="130"/>
      <c r="U11" s="130" t="s">
        <v>14</v>
      </c>
      <c r="V11" s="190">
        <f t="shared" si="5"/>
        <v>25</v>
      </c>
      <c r="W11" s="130" t="s">
        <v>9</v>
      </c>
      <c r="X11" s="190">
        <f t="shared" si="3"/>
        <v>15</v>
      </c>
      <c r="Y11" s="191">
        <f t="shared" si="6"/>
        <v>40</v>
      </c>
      <c r="Z11" s="130" t="s">
        <v>19</v>
      </c>
      <c r="AA11" s="130" t="s">
        <v>23</v>
      </c>
      <c r="AB11" s="130" t="s">
        <v>27</v>
      </c>
      <c r="AC11" s="191">
        <f>IF(U11="preventivo",(AC10-(AC10*Y11/100)),IF(U11="detectivo",(AC10-(AC10*Y11/100)),IF(U11="Correctivo",AC10,AC10)))</f>
        <v>7.2</v>
      </c>
      <c r="AD11" s="375"/>
      <c r="AE11" s="130">
        <f>IF(U11="Correctivo",(AE10-(AE10*V10/100)),AE10)</f>
        <v>20</v>
      </c>
      <c r="AF11" s="375"/>
      <c r="AG11" s="375"/>
      <c r="AH11" s="388"/>
      <c r="AI11" s="381"/>
      <c r="AJ11" s="378"/>
      <c r="AK11" s="378"/>
      <c r="AL11" s="378"/>
      <c r="AM11" s="378"/>
      <c r="AN11" s="378"/>
      <c r="AO11" s="378"/>
    </row>
    <row r="12" spans="2:52" ht="20.25" x14ac:dyDescent="0.25">
      <c r="B12" s="385"/>
      <c r="C12" s="346"/>
      <c r="D12" s="346"/>
      <c r="E12" s="376"/>
      <c r="F12" s="376"/>
      <c r="G12" s="376"/>
      <c r="H12" s="376"/>
      <c r="I12" s="391"/>
      <c r="J12" s="391"/>
      <c r="K12" s="376"/>
      <c r="L12" s="376" t="str">
        <f>VLOOKUP(M12,'[1]PARÁMETROS RIESGOS GESTIÓN'!D17:F22,3,TRUE)</f>
        <v>Muy Alta</v>
      </c>
      <c r="M12" s="376">
        <f t="shared" si="0"/>
        <v>100</v>
      </c>
      <c r="N12" s="376" t="s">
        <v>84</v>
      </c>
      <c r="O12" s="376">
        <f t="shared" si="1"/>
        <v>100</v>
      </c>
      <c r="P12" s="376">
        <f t="shared" si="7"/>
        <v>100100</v>
      </c>
      <c r="Q12" s="388" t="str">
        <f>VLOOKUP(P12,'[1]Zona de riesgo'!B17:C41,2)</f>
        <v>Extremo</v>
      </c>
      <c r="R12" s="178"/>
      <c r="S12" s="155"/>
      <c r="T12" s="130"/>
      <c r="U12" s="130"/>
      <c r="V12" s="190"/>
      <c r="W12" s="130"/>
      <c r="X12" s="190"/>
      <c r="Y12" s="191">
        <f t="shared" si="6"/>
        <v>0</v>
      </c>
      <c r="Z12" s="130"/>
      <c r="AA12" s="130"/>
      <c r="AB12" s="130"/>
      <c r="AC12" s="191">
        <f>IF(U12="preventivo",(AC11-(AC11*Y12/100)),IF(U12="detectivo",(AC11-(AC11*Y12/100)),IF(U12="Correctivo",AC11,AC11)))</f>
        <v>7.2</v>
      </c>
      <c r="AD12" s="376"/>
      <c r="AE12" s="130">
        <f>IF(U12="Correctivo",(AE11-(AE11*V11/100)),AE11)</f>
        <v>20</v>
      </c>
      <c r="AF12" s="376"/>
      <c r="AG12" s="376"/>
      <c r="AH12" s="388"/>
      <c r="AI12" s="382"/>
      <c r="AJ12" s="379"/>
      <c r="AK12" s="379"/>
      <c r="AL12" s="379"/>
      <c r="AM12" s="379"/>
      <c r="AN12" s="379"/>
      <c r="AO12" s="379"/>
    </row>
    <row r="13" spans="2:52" ht="24.75" customHeight="1" x14ac:dyDescent="0.25">
      <c r="B13" s="383">
        <v>3</v>
      </c>
      <c r="C13" s="345" t="s">
        <v>238</v>
      </c>
      <c r="D13" s="345" t="s">
        <v>441</v>
      </c>
      <c r="E13" s="394" t="s">
        <v>442</v>
      </c>
      <c r="F13" s="397" t="s">
        <v>443</v>
      </c>
      <c r="G13" s="400" t="s">
        <v>419</v>
      </c>
      <c r="H13" s="397" t="s">
        <v>444</v>
      </c>
      <c r="I13" s="401" t="s">
        <v>445</v>
      </c>
      <c r="J13" s="401" t="s">
        <v>422</v>
      </c>
      <c r="K13" s="394">
        <v>40</v>
      </c>
      <c r="L13" s="374" t="str">
        <f>VLOOKUP(M13,'[1]PARÁMETROS RIESGOS GESTIÓN'!$D$12:$F$17,3,0)</f>
        <v>Media</v>
      </c>
      <c r="M13" s="374">
        <f t="shared" ref="M13" si="8">IF(K13&lt;=2,20,IF(K13&lt;=24,40,IF(K13&lt;=500,60,IF(K13&lt;="5000",80,100))))</f>
        <v>60</v>
      </c>
      <c r="N13" s="394" t="s">
        <v>434</v>
      </c>
      <c r="O13" s="374">
        <f t="shared" si="1"/>
        <v>20</v>
      </c>
      <c r="P13" s="394">
        <f>VALUE(_xlfn.CONCAT(M13,O13))</f>
        <v>6020</v>
      </c>
      <c r="Q13" s="387" t="str">
        <f>VLOOKUP(P13,'[1]Zona de riesgo'!$B$12:$C$36,2,0)</f>
        <v>Moderado</v>
      </c>
      <c r="R13" s="192" t="s">
        <v>446</v>
      </c>
      <c r="S13" s="193" t="s">
        <v>424</v>
      </c>
      <c r="T13" s="194"/>
      <c r="U13" s="194" t="s">
        <v>14</v>
      </c>
      <c r="V13" s="190">
        <f t="shared" si="5"/>
        <v>25</v>
      </c>
      <c r="W13" s="194" t="s">
        <v>9</v>
      </c>
      <c r="X13" s="190">
        <f t="shared" si="3"/>
        <v>15</v>
      </c>
      <c r="Y13" s="191">
        <f t="shared" si="6"/>
        <v>40</v>
      </c>
      <c r="Z13" s="194" t="s">
        <v>19</v>
      </c>
      <c r="AA13" s="194" t="s">
        <v>23</v>
      </c>
      <c r="AB13" s="194" t="s">
        <v>425</v>
      </c>
      <c r="AC13" s="191">
        <f>IF(U13="Correctivo",M13,(M13-(M13*Y13)/100))</f>
        <v>36</v>
      </c>
      <c r="AD13" s="374" t="str">
        <f>IF(AC15&gt;80,"Muy Alta",IF(AC15&gt;60,"Alta",IF(AC15&gt;40,"Media",IF(AC15&gt;20,"Baja","Muy Baja"))))</f>
        <v>Baja</v>
      </c>
      <c r="AE13" s="130">
        <f>IF(U13="Correctivo",(O13-(O13*V13)/100),O13)</f>
        <v>20</v>
      </c>
      <c r="AF13" s="374" t="str">
        <f>IF(AE15&gt;80,"Catastrófico",IF(AE15&gt;60,"Mayor",IF(AE15&gt;40,"Moderado",IF(AE15&gt;20,"Menor","Leve"))))</f>
        <v>Leve</v>
      </c>
      <c r="AG13" s="374" t="str">
        <f>CONCATENATE(AD13,AF13)</f>
        <v>BajaLeve</v>
      </c>
      <c r="AH13" s="387" t="str">
        <f>VLOOKUP(AG13,'[1]RIESGO RESIDUAL'!$A$1:$B$25,2,0)</f>
        <v>Baja</v>
      </c>
      <c r="AI13" s="380" t="str">
        <f t="shared" ref="AI13" si="9">IF(AH13="Baja","Aceptar-Asumir","Reducir-Mitigar")</f>
        <v>Aceptar-Asumir</v>
      </c>
      <c r="AJ13" s="404" t="s">
        <v>447</v>
      </c>
      <c r="AK13" s="404" t="s">
        <v>448</v>
      </c>
      <c r="AL13" s="405">
        <v>44735</v>
      </c>
      <c r="AM13" s="405">
        <v>44858</v>
      </c>
      <c r="AN13" s="404" t="s">
        <v>275</v>
      </c>
      <c r="AO13" s="404"/>
    </row>
    <row r="14" spans="2:52" ht="36.75" customHeight="1" x14ac:dyDescent="0.25">
      <c r="B14" s="384"/>
      <c r="C14" s="386"/>
      <c r="D14" s="392"/>
      <c r="E14" s="395"/>
      <c r="F14" s="398"/>
      <c r="G14" s="398"/>
      <c r="H14" s="398"/>
      <c r="I14" s="402"/>
      <c r="J14" s="402"/>
      <c r="K14" s="395"/>
      <c r="L14" s="375" t="e">
        <f>VLOOKUP(M14,'[1]PARÁMETROS RIESGOS GESTIÓN'!D19:F24,3,TRUE)</f>
        <v>#N/A</v>
      </c>
      <c r="M14" s="375">
        <f t="shared" si="0"/>
        <v>100</v>
      </c>
      <c r="N14" s="395"/>
      <c r="O14" s="375">
        <f t="shared" si="1"/>
        <v>0</v>
      </c>
      <c r="P14" s="395"/>
      <c r="Q14" s="388" t="e">
        <f>VLOOKUP(P14,'[1]Zona de riesgo'!B19:C43,2)</f>
        <v>#N/A</v>
      </c>
      <c r="R14" s="195" t="s">
        <v>449</v>
      </c>
      <c r="S14" s="193"/>
      <c r="T14" s="164" t="s">
        <v>436</v>
      </c>
      <c r="U14" s="194" t="s">
        <v>14</v>
      </c>
      <c r="V14" s="190">
        <f t="shared" si="5"/>
        <v>25</v>
      </c>
      <c r="W14" s="194" t="s">
        <v>9</v>
      </c>
      <c r="X14" s="190">
        <f t="shared" si="3"/>
        <v>15</v>
      </c>
      <c r="Y14" s="191">
        <f t="shared" si="6"/>
        <v>40</v>
      </c>
      <c r="Z14" s="194" t="s">
        <v>19</v>
      </c>
      <c r="AA14" s="194" t="s">
        <v>22</v>
      </c>
      <c r="AB14" s="194" t="s">
        <v>425</v>
      </c>
      <c r="AC14" s="191">
        <f>IF(U14="preventivo",(AC13-(AC13*Y14/100)),IF(U14="detectivo",(AC13-(AC13*Y14/100)),IF(U14="Correctivo",AC13,AC13)))</f>
        <v>21.6</v>
      </c>
      <c r="AD14" s="375"/>
      <c r="AE14" s="130">
        <f>IF(U14="Correctivo",(AE13-(AE13*V13/100)),AE13)</f>
        <v>20</v>
      </c>
      <c r="AF14" s="375"/>
      <c r="AG14" s="375"/>
      <c r="AH14" s="388"/>
      <c r="AI14" s="381"/>
      <c r="AJ14" s="398"/>
      <c r="AK14" s="398"/>
      <c r="AL14" s="398"/>
      <c r="AM14" s="398"/>
      <c r="AN14" s="398"/>
      <c r="AO14" s="398"/>
    </row>
    <row r="15" spans="2:52" ht="20.25" x14ac:dyDescent="0.25">
      <c r="B15" s="385"/>
      <c r="C15" s="346"/>
      <c r="D15" s="393"/>
      <c r="E15" s="396"/>
      <c r="F15" s="399"/>
      <c r="G15" s="399"/>
      <c r="H15" s="399"/>
      <c r="I15" s="403"/>
      <c r="J15" s="403"/>
      <c r="K15" s="396"/>
      <c r="L15" s="376" t="e">
        <f>VLOOKUP(M15,'[1]PARÁMETROS RIESGOS GESTIÓN'!D20:F25,3,TRUE)</f>
        <v>#N/A</v>
      </c>
      <c r="M15" s="376">
        <f t="shared" si="0"/>
        <v>100</v>
      </c>
      <c r="N15" s="396"/>
      <c r="O15" s="376">
        <f t="shared" si="1"/>
        <v>0</v>
      </c>
      <c r="P15" s="396"/>
      <c r="Q15" s="388" t="e">
        <f>VLOOKUP(P15,'[1]Zona de riesgo'!B20:C44,2)</f>
        <v>#N/A</v>
      </c>
      <c r="R15" s="195"/>
      <c r="S15" s="193"/>
      <c r="T15" s="194"/>
      <c r="U15" s="194"/>
      <c r="V15" s="190"/>
      <c r="W15" s="194"/>
      <c r="X15" s="190"/>
      <c r="Y15" s="191"/>
      <c r="Z15" s="194"/>
      <c r="AA15" s="194"/>
      <c r="AB15" s="194"/>
      <c r="AC15" s="191">
        <f>IF(U15="preventivo",(AC14-(AC14*Y15/100)),IF(U15="detectivo",(AC14-(AC14*Y15/100)),IF(U15="Correctivo",AC14,AC14)))</f>
        <v>21.6</v>
      </c>
      <c r="AD15" s="376"/>
      <c r="AE15" s="130">
        <f>IF(U15="Correctivo",(AE14-(AE14*V14/100)),AE14)</f>
        <v>20</v>
      </c>
      <c r="AF15" s="376"/>
      <c r="AG15" s="376"/>
      <c r="AH15" s="388"/>
      <c r="AI15" s="382"/>
      <c r="AJ15" s="399"/>
      <c r="AK15" s="399"/>
      <c r="AL15" s="399"/>
      <c r="AM15" s="399"/>
      <c r="AN15" s="399"/>
      <c r="AO15" s="399"/>
    </row>
    <row r="16" spans="2:52" ht="28.5" x14ac:dyDescent="0.25">
      <c r="B16" s="383">
        <v>4</v>
      </c>
      <c r="C16" s="345" t="s">
        <v>238</v>
      </c>
      <c r="D16" s="345" t="s">
        <v>441</v>
      </c>
      <c r="E16" s="394" t="s">
        <v>442</v>
      </c>
      <c r="F16" s="397" t="s">
        <v>450</v>
      </c>
      <c r="G16" s="400" t="s">
        <v>419</v>
      </c>
      <c r="H16" s="397" t="s">
        <v>451</v>
      </c>
      <c r="I16" s="401" t="s">
        <v>452</v>
      </c>
      <c r="J16" s="401" t="s">
        <v>422</v>
      </c>
      <c r="K16" s="394">
        <v>2</v>
      </c>
      <c r="L16" s="374" t="str">
        <f>VLOOKUP(M16,'[1]PARÁMETROS RIESGOS GESTIÓN'!$D$12:$F$17,3,0)</f>
        <v>Muy Baja</v>
      </c>
      <c r="M16" s="374">
        <f t="shared" ref="M16" si="10">IF(K16&lt;=2,20,IF(K16&lt;=24,40,IF(K16&lt;=500,60,IF(K16&lt;="5000",80,100))))</f>
        <v>20</v>
      </c>
      <c r="N16" s="394" t="s">
        <v>434</v>
      </c>
      <c r="O16" s="374">
        <f t="shared" si="1"/>
        <v>20</v>
      </c>
      <c r="P16" s="394">
        <f t="shared" ref="P16" si="11">VALUE(_xlfn.CONCAT(M16,O16))</f>
        <v>2020</v>
      </c>
      <c r="Q16" s="387" t="str">
        <f>VLOOKUP(P16,'[1]Zona de riesgo'!$B$12:$C$36,2,0)</f>
        <v>Baja</v>
      </c>
      <c r="R16" s="195" t="s">
        <v>453</v>
      </c>
      <c r="S16" s="193"/>
      <c r="T16" s="164" t="s">
        <v>436</v>
      </c>
      <c r="U16" s="194" t="s">
        <v>14</v>
      </c>
      <c r="V16" s="190">
        <f t="shared" si="5"/>
        <v>25</v>
      </c>
      <c r="W16" s="194" t="s">
        <v>9</v>
      </c>
      <c r="X16" s="190">
        <f t="shared" si="3"/>
        <v>15</v>
      </c>
      <c r="Y16" s="191">
        <f t="shared" si="6"/>
        <v>40</v>
      </c>
      <c r="Z16" s="194" t="s">
        <v>19</v>
      </c>
      <c r="AA16" s="194" t="s">
        <v>22</v>
      </c>
      <c r="AB16" s="194" t="s">
        <v>425</v>
      </c>
      <c r="AC16" s="191">
        <f>IF(U16="Correctivo",M16,(M16-(M16*Y16)/100))</f>
        <v>12</v>
      </c>
      <c r="AD16" s="374" t="str">
        <f>IF(AC18&gt;80,"Muy Alta",IF(AC18&gt;60,"Alta",IF(AC18&gt;40,"Media",IF(AC18&gt;20,"Baja","Muy Baja"))))</f>
        <v>Muy Baja</v>
      </c>
      <c r="AE16" s="130">
        <f>IF(U16="Correctivo",(O16-(O16*V16)/100),O16)</f>
        <v>20</v>
      </c>
      <c r="AF16" s="374" t="str">
        <f t="shared" ref="AF16" si="12">IF(AE18&gt;80,"Catastrófico",IF(AE18&gt;60,"Mayor",IF(AE18&gt;40,"Moderado",IF(AE18&gt;20,"Menor","Leve"))))</f>
        <v>Leve</v>
      </c>
      <c r="AG16" s="374" t="str">
        <f>CONCATENATE(AD16,AF16)</f>
        <v>Muy BajaLeve</v>
      </c>
      <c r="AH16" s="387" t="str">
        <f>VLOOKUP(AG16,'[1]RIESGO RESIDUAL'!$A$1:$B$25,2,0)</f>
        <v>Baja</v>
      </c>
      <c r="AI16" s="380" t="str">
        <f t="shared" ref="AI16" si="13">IF(AH16="Baja","Aceptar-Asumir","Reducir-Mitigar")</f>
        <v>Aceptar-Asumir</v>
      </c>
      <c r="AJ16" s="404" t="s">
        <v>454</v>
      </c>
      <c r="AK16" s="404" t="s">
        <v>448</v>
      </c>
      <c r="AL16" s="405">
        <v>44735</v>
      </c>
      <c r="AM16" s="405">
        <v>44858</v>
      </c>
      <c r="AN16" s="404" t="s">
        <v>275</v>
      </c>
      <c r="AO16" s="404"/>
    </row>
    <row r="17" spans="2:41" ht="28.5" x14ac:dyDescent="0.25">
      <c r="B17" s="384"/>
      <c r="C17" s="386"/>
      <c r="D17" s="392"/>
      <c r="E17" s="395"/>
      <c r="F17" s="398"/>
      <c r="G17" s="398"/>
      <c r="H17" s="398"/>
      <c r="I17" s="402"/>
      <c r="J17" s="402"/>
      <c r="K17" s="395"/>
      <c r="L17" s="375" t="e">
        <f>VLOOKUP(M17,'[1]PARÁMETROS RIESGOS GESTIÓN'!D22:F27,3,TRUE)</f>
        <v>#N/A</v>
      </c>
      <c r="M17" s="375">
        <f t="shared" si="0"/>
        <v>100</v>
      </c>
      <c r="N17" s="395"/>
      <c r="O17" s="375">
        <f t="shared" si="1"/>
        <v>0</v>
      </c>
      <c r="P17" s="395"/>
      <c r="Q17" s="388" t="e">
        <f>VLOOKUP(P17,'[1]Zona de riesgo'!B22:C46,2)</f>
        <v>#N/A</v>
      </c>
      <c r="R17" s="196" t="s">
        <v>455</v>
      </c>
      <c r="S17" s="193"/>
      <c r="T17" s="164" t="s">
        <v>436</v>
      </c>
      <c r="U17" s="194" t="s">
        <v>14</v>
      </c>
      <c r="V17" s="190">
        <f t="shared" si="5"/>
        <v>25</v>
      </c>
      <c r="W17" s="194" t="s">
        <v>9</v>
      </c>
      <c r="X17" s="190">
        <f t="shared" si="3"/>
        <v>15</v>
      </c>
      <c r="Y17" s="191">
        <f t="shared" si="6"/>
        <v>40</v>
      </c>
      <c r="Z17" s="194" t="s">
        <v>19</v>
      </c>
      <c r="AA17" s="194" t="s">
        <v>22</v>
      </c>
      <c r="AB17" s="194" t="s">
        <v>425</v>
      </c>
      <c r="AC17" s="191">
        <f>IF(U17="preventivo",(AC16-(AC16*Y17/100)),IF(U17="detectivo",(AC16-(AC16*Y17/100)),IF(U17="Correctivo",AC16,AC16)))</f>
        <v>7.2</v>
      </c>
      <c r="AD17" s="375"/>
      <c r="AE17" s="130">
        <f>IF(U17="Correctivo",(AE16-(AE16*V16/100)),AE16)</f>
        <v>20</v>
      </c>
      <c r="AF17" s="375"/>
      <c r="AG17" s="375"/>
      <c r="AH17" s="388"/>
      <c r="AI17" s="381"/>
      <c r="AJ17" s="398"/>
      <c r="AK17" s="398"/>
      <c r="AL17" s="398"/>
      <c r="AM17" s="398"/>
      <c r="AN17" s="398"/>
      <c r="AO17" s="398"/>
    </row>
    <row r="18" spans="2:41" ht="28.5" x14ac:dyDescent="0.25">
      <c r="B18" s="385"/>
      <c r="C18" s="346"/>
      <c r="D18" s="393"/>
      <c r="E18" s="396"/>
      <c r="F18" s="399"/>
      <c r="G18" s="399"/>
      <c r="H18" s="399"/>
      <c r="I18" s="403"/>
      <c r="J18" s="403"/>
      <c r="K18" s="396"/>
      <c r="L18" s="376" t="e">
        <f>VLOOKUP(M18,'[1]PARÁMETROS RIESGOS GESTIÓN'!D23:F28,3,TRUE)</f>
        <v>#N/A</v>
      </c>
      <c r="M18" s="376">
        <f t="shared" si="0"/>
        <v>100</v>
      </c>
      <c r="N18" s="396"/>
      <c r="O18" s="376">
        <f t="shared" si="1"/>
        <v>0</v>
      </c>
      <c r="P18" s="396"/>
      <c r="Q18" s="388" t="e">
        <f>VLOOKUP(P18,'[1]Zona de riesgo'!B23:C47,2)</f>
        <v>#N/A</v>
      </c>
      <c r="R18" s="196" t="s">
        <v>456</v>
      </c>
      <c r="S18" s="193"/>
      <c r="T18" s="164" t="s">
        <v>436</v>
      </c>
      <c r="U18" s="194" t="s">
        <v>14</v>
      </c>
      <c r="V18" s="190">
        <f t="shared" si="5"/>
        <v>25</v>
      </c>
      <c r="W18" s="194" t="s">
        <v>9</v>
      </c>
      <c r="X18" s="190">
        <f t="shared" si="3"/>
        <v>15</v>
      </c>
      <c r="Y18" s="191">
        <f t="shared" si="6"/>
        <v>40</v>
      </c>
      <c r="Z18" s="194" t="s">
        <v>19</v>
      </c>
      <c r="AA18" s="194" t="s">
        <v>22</v>
      </c>
      <c r="AB18" s="194" t="s">
        <v>425</v>
      </c>
      <c r="AC18" s="191">
        <f>IF(U18="preventivo",(AC17-(AC17*Y18/100)),IF(U18="detectivo",(AC17-(AC17*Y18/100)),IF(U18="Correctivo",AC17,AC17)))</f>
        <v>4.32</v>
      </c>
      <c r="AD18" s="376"/>
      <c r="AE18" s="130">
        <f>IF(U18="Correctivo",(AE17-(AE17*V17/100)),AE17)</f>
        <v>20</v>
      </c>
      <c r="AF18" s="376"/>
      <c r="AG18" s="376"/>
      <c r="AH18" s="388"/>
      <c r="AI18" s="382"/>
      <c r="AJ18" s="399"/>
      <c r="AK18" s="399"/>
      <c r="AL18" s="399"/>
      <c r="AM18" s="399"/>
      <c r="AN18" s="399"/>
      <c r="AO18" s="399"/>
    </row>
    <row r="19" spans="2:41" ht="57" x14ac:dyDescent="0.25">
      <c r="B19" s="383">
        <v>5</v>
      </c>
      <c r="C19" s="345" t="s">
        <v>276</v>
      </c>
      <c r="D19" s="345" t="s">
        <v>457</v>
      </c>
      <c r="E19" s="374" t="s">
        <v>442</v>
      </c>
      <c r="F19" s="374" t="s">
        <v>458</v>
      </c>
      <c r="G19" s="374" t="s">
        <v>419</v>
      </c>
      <c r="H19" s="374" t="s">
        <v>459</v>
      </c>
      <c r="I19" s="389" t="s">
        <v>460</v>
      </c>
      <c r="J19" s="374" t="s">
        <v>461</v>
      </c>
      <c r="K19" s="374">
        <v>3000</v>
      </c>
      <c r="L19" s="374" t="str">
        <f>VLOOKUP(M19,'[1]PARÁMETROS RIESGOS GESTIÓN'!$D$12:$F$17,3,0)</f>
        <v>Alta</v>
      </c>
      <c r="M19" s="374">
        <f t="shared" ref="M19" si="14">IF(K19&lt;=2,20,IF(K19&lt;=24,40,IF(K19&lt;=500,60,IF(K19&lt;="5000",80,100))))</f>
        <v>80</v>
      </c>
      <c r="N19" s="374" t="s">
        <v>80</v>
      </c>
      <c r="O19" s="374">
        <f t="shared" si="1"/>
        <v>60</v>
      </c>
      <c r="P19" s="374">
        <f>VALUE(_xlfn.CONCAT(M19,O19))</f>
        <v>8060</v>
      </c>
      <c r="Q19" s="387" t="str">
        <f>VLOOKUP(P19,'[1]Zona de riesgo'!$B$12:$C$36,2,0)</f>
        <v>Alto</v>
      </c>
      <c r="R19" s="196" t="s">
        <v>462</v>
      </c>
      <c r="S19" s="155" t="s">
        <v>436</v>
      </c>
      <c r="T19" s="130"/>
      <c r="U19" s="130" t="s">
        <v>14</v>
      </c>
      <c r="V19" s="190">
        <f t="shared" si="5"/>
        <v>25</v>
      </c>
      <c r="W19" s="130" t="s">
        <v>10</v>
      </c>
      <c r="X19" s="190">
        <f t="shared" si="3"/>
        <v>25</v>
      </c>
      <c r="Y19" s="191">
        <f t="shared" si="6"/>
        <v>50</v>
      </c>
      <c r="Z19" s="130" t="s">
        <v>19</v>
      </c>
      <c r="AA19" s="130" t="s">
        <v>22</v>
      </c>
      <c r="AB19" s="130" t="s">
        <v>425</v>
      </c>
      <c r="AC19" s="191">
        <f>IF(U19="Correctivo",M19,(M19-(M19*Y19)/100))</f>
        <v>40</v>
      </c>
      <c r="AD19" s="374" t="str">
        <f>IF(AC21&gt;80,"Muy Alta",IF(AC21&gt;60,"Alta",IF(AC21&gt;40,"Media",IF(AC21&gt;20,"Baja","Muy Baja"))))</f>
        <v>Baja</v>
      </c>
      <c r="AE19" s="130">
        <f>IF(U19="Correctivo",(O19-(O19*V19)/100),O19)</f>
        <v>60</v>
      </c>
      <c r="AF19" s="374" t="str">
        <f t="shared" ref="AF19" si="15">IF(AE21&gt;80,"Catastrófico",IF(AE21&gt;60,"Mayor",IF(AE21&gt;40,"Moderado",IF(AE21&gt;20,"Menor","Leve"))))</f>
        <v>Moderado</v>
      </c>
      <c r="AG19" s="374" t="str">
        <f>CONCATENATE(AD19,AF19)</f>
        <v>BajaModerado</v>
      </c>
      <c r="AH19" s="387" t="str">
        <f>VLOOKUP(AG19,'[1]RIESGO RESIDUAL'!$A$1:$B$25,2,0)</f>
        <v>Moderado</v>
      </c>
      <c r="AI19" s="380" t="str">
        <f t="shared" ref="AI19" si="16">IF(AH19="Baja","Aceptar-Asumir","Reducir-Mitigar")</f>
        <v>Reducir-Mitigar</v>
      </c>
      <c r="AJ19" s="377" t="s">
        <v>285</v>
      </c>
      <c r="AK19" s="377" t="s">
        <v>286</v>
      </c>
      <c r="AL19" s="377" t="s">
        <v>287</v>
      </c>
      <c r="AM19" s="406"/>
      <c r="AN19" s="197"/>
      <c r="AO19" s="377" t="s">
        <v>286</v>
      </c>
    </row>
    <row r="20" spans="2:41" ht="42.75" x14ac:dyDescent="0.25">
      <c r="B20" s="384"/>
      <c r="C20" s="386"/>
      <c r="D20" s="392"/>
      <c r="E20" s="375"/>
      <c r="F20" s="375"/>
      <c r="G20" s="375"/>
      <c r="H20" s="375"/>
      <c r="I20" s="390"/>
      <c r="J20" s="375"/>
      <c r="K20" s="375" t="s">
        <v>427</v>
      </c>
      <c r="L20" s="375" t="e">
        <f>VLOOKUP(M20,'[1]PARÁMETROS RIESGOS GESTIÓN'!D25:F30,3,TRUE)</f>
        <v>#N/A</v>
      </c>
      <c r="M20" s="375">
        <f t="shared" si="0"/>
        <v>40</v>
      </c>
      <c r="N20" s="375" t="s">
        <v>84</v>
      </c>
      <c r="O20" s="375">
        <f t="shared" si="1"/>
        <v>100</v>
      </c>
      <c r="P20" s="375">
        <f t="shared" ref="P20:P21" si="17">VALUE(_xlfn.CONCAT(M20,O20))</f>
        <v>40100</v>
      </c>
      <c r="Q20" s="388" t="str">
        <f>VLOOKUP(P20,'[1]Zona de riesgo'!B25:C49,2)</f>
        <v>Extremo</v>
      </c>
      <c r="R20" s="196" t="s">
        <v>463</v>
      </c>
      <c r="S20" s="155" t="s">
        <v>424</v>
      </c>
      <c r="T20" s="130"/>
      <c r="U20" s="130" t="s">
        <v>15</v>
      </c>
      <c r="V20" s="190">
        <f t="shared" si="5"/>
        <v>15</v>
      </c>
      <c r="W20" s="130" t="s">
        <v>9</v>
      </c>
      <c r="X20" s="190">
        <f t="shared" si="3"/>
        <v>15</v>
      </c>
      <c r="Y20" s="191">
        <f t="shared" si="6"/>
        <v>30</v>
      </c>
      <c r="Z20" s="130" t="s">
        <v>464</v>
      </c>
      <c r="AA20" s="130" t="s">
        <v>22</v>
      </c>
      <c r="AB20" s="130" t="s">
        <v>27</v>
      </c>
      <c r="AC20" s="191">
        <f>IF(U20="preventivo",(AC19-(AC19*Y20/100)),IF(U20="detectivo",(AC19-(AC19*Y20/100)),IF(U20="Correctivo",AC19,AC19)))</f>
        <v>28</v>
      </c>
      <c r="AD20" s="375"/>
      <c r="AE20" s="130">
        <f>IF(U20="Correctivo",(AE19-(AE19*V19/100)),AE19)</f>
        <v>60</v>
      </c>
      <c r="AF20" s="375"/>
      <c r="AG20" s="375"/>
      <c r="AH20" s="388"/>
      <c r="AI20" s="381"/>
      <c r="AJ20" s="378"/>
      <c r="AK20" s="378"/>
      <c r="AL20" s="378"/>
      <c r="AM20" s="407"/>
      <c r="AN20" s="197"/>
      <c r="AO20" s="378"/>
    </row>
    <row r="21" spans="2:41" ht="20.25" x14ac:dyDescent="0.25">
      <c r="B21" s="385"/>
      <c r="C21" s="346"/>
      <c r="D21" s="393"/>
      <c r="E21" s="376"/>
      <c r="F21" s="376"/>
      <c r="G21" s="376"/>
      <c r="H21" s="376"/>
      <c r="I21" s="391"/>
      <c r="J21" s="376"/>
      <c r="K21" s="376" t="s">
        <v>429</v>
      </c>
      <c r="L21" s="376" t="e">
        <f>VLOOKUP(M21,'[1]PARÁMETROS RIESGOS GESTIÓN'!D26:F31,3,TRUE)</f>
        <v>#N/A</v>
      </c>
      <c r="M21" s="376">
        <f t="shared" si="0"/>
        <v>60</v>
      </c>
      <c r="N21" s="376" t="s">
        <v>84</v>
      </c>
      <c r="O21" s="376">
        <f t="shared" si="1"/>
        <v>100</v>
      </c>
      <c r="P21" s="376">
        <f t="shared" si="17"/>
        <v>60100</v>
      </c>
      <c r="Q21" s="388" t="str">
        <f>VLOOKUP(P21,'[1]Zona de riesgo'!B26:C50,2)</f>
        <v>Extremo</v>
      </c>
      <c r="R21" s="178"/>
      <c r="S21" s="155"/>
      <c r="T21" s="130"/>
      <c r="U21" s="156"/>
      <c r="V21" s="190"/>
      <c r="W21" s="130"/>
      <c r="X21" s="190"/>
      <c r="Y21" s="191"/>
      <c r="Z21" s="130"/>
      <c r="AA21" s="130"/>
      <c r="AB21" s="130"/>
      <c r="AC21" s="191">
        <f>IF(U21="preventivo",(AC20-(AC20*Y21/100)),IF(U21="detectivo",(AC20-(AC20*Y21/100)),IF(U21="Correctivo",AC20,AC20)))</f>
        <v>28</v>
      </c>
      <c r="AD21" s="376"/>
      <c r="AE21" s="130">
        <f>IF(U21="Correctivo",(AE20-(AE20*V20/100)),AE20)</f>
        <v>60</v>
      </c>
      <c r="AF21" s="376"/>
      <c r="AG21" s="376"/>
      <c r="AH21" s="388"/>
      <c r="AI21" s="382"/>
      <c r="AJ21" s="379"/>
      <c r="AK21" s="379"/>
      <c r="AL21" s="379"/>
      <c r="AM21" s="408"/>
      <c r="AN21" s="197"/>
      <c r="AO21" s="379"/>
    </row>
    <row r="22" spans="2:41" ht="28.5" x14ac:dyDescent="0.25">
      <c r="B22" s="383">
        <v>6</v>
      </c>
      <c r="C22" s="345" t="s">
        <v>288</v>
      </c>
      <c r="D22" s="345" t="s">
        <v>465</v>
      </c>
      <c r="E22" s="374" t="s">
        <v>442</v>
      </c>
      <c r="F22" s="374" t="s">
        <v>466</v>
      </c>
      <c r="G22" s="374" t="s">
        <v>419</v>
      </c>
      <c r="H22" s="374" t="s">
        <v>467</v>
      </c>
      <c r="I22" s="389" t="s">
        <v>468</v>
      </c>
      <c r="J22" s="374" t="s">
        <v>422</v>
      </c>
      <c r="K22" s="374">
        <v>500</v>
      </c>
      <c r="L22" s="374" t="str">
        <f>VLOOKUP(M22,'[1]PARÁMETROS RIESGOS GESTIÓN'!$D$12:$F$17,3,0)</f>
        <v>Media</v>
      </c>
      <c r="M22" s="374">
        <f t="shared" ref="M22" si="18">IF(K22&lt;=2,20,IF(K22&lt;=24,40,IF(K22&lt;=500,60,IF(K22&lt;="5000",80,100))))</f>
        <v>60</v>
      </c>
      <c r="N22" s="374" t="s">
        <v>434</v>
      </c>
      <c r="O22" s="374">
        <f t="shared" si="1"/>
        <v>20</v>
      </c>
      <c r="P22" s="374">
        <f>VALUE(_xlfn.CONCAT(M22,O22))</f>
        <v>6020</v>
      </c>
      <c r="Q22" s="387" t="str">
        <f>VLOOKUP(P22,'[1]Zona de riesgo'!$B$12:$C$36,2,0)</f>
        <v>Moderado</v>
      </c>
      <c r="R22" s="178" t="s">
        <v>469</v>
      </c>
      <c r="S22" s="155" t="s">
        <v>436</v>
      </c>
      <c r="T22" s="130"/>
      <c r="U22" s="130" t="s">
        <v>14</v>
      </c>
      <c r="V22" s="190">
        <f t="shared" si="5"/>
        <v>25</v>
      </c>
      <c r="W22" s="130" t="s">
        <v>9</v>
      </c>
      <c r="X22" s="190">
        <f t="shared" si="3"/>
        <v>15</v>
      </c>
      <c r="Y22" s="191">
        <f t="shared" si="6"/>
        <v>40</v>
      </c>
      <c r="Z22" s="130" t="s">
        <v>19</v>
      </c>
      <c r="AA22" s="130" t="s">
        <v>23</v>
      </c>
      <c r="AB22" s="130" t="s">
        <v>425</v>
      </c>
      <c r="AC22" s="191">
        <f>IF(U22="Correctivo",M22,(M22-(M22*Y22)/100))</f>
        <v>36</v>
      </c>
      <c r="AD22" s="374" t="str">
        <f t="shared" ref="AD22" si="19">IF(AC24&gt;80,"Muy Alta",IF(AC24&gt;60,"Alta",IF(AC24&gt;40,"Media",IF(AC24&gt;20,"Baja","Muy Baja"))))</f>
        <v>Baja</v>
      </c>
      <c r="AE22" s="130">
        <f>IF(U22="Correctivo",(O22-(O22*V22)/100),O22)</f>
        <v>20</v>
      </c>
      <c r="AF22" s="374" t="str">
        <f t="shared" ref="AF22" si="20">IF(AE24&gt;80,"Catastrófico",IF(AE24&gt;60,"Mayor",IF(AE24&gt;40,"Moderado",IF(AE24&gt;20,"Menor","Leve"))))</f>
        <v>Leve</v>
      </c>
      <c r="AG22" s="374" t="str">
        <f>CONCATENATE(AD22,AF22)</f>
        <v>BajaLeve</v>
      </c>
      <c r="AH22" s="387" t="str">
        <f>VLOOKUP(AG22,'[1]RIESGO RESIDUAL'!$A$1:$B$25,2,0)</f>
        <v>Baja</v>
      </c>
      <c r="AI22" s="380" t="str">
        <f t="shared" ref="AI22" si="21">IF(AH22="Baja","Aceptar-Asumir","Reducir-Mitigar")</f>
        <v>Aceptar-Asumir</v>
      </c>
      <c r="AJ22" s="377" t="s">
        <v>296</v>
      </c>
      <c r="AK22" s="377" t="s">
        <v>296</v>
      </c>
      <c r="AL22" s="377" t="s">
        <v>296</v>
      </c>
      <c r="AM22" s="377" t="s">
        <v>296</v>
      </c>
      <c r="AN22" s="377" t="s">
        <v>296</v>
      </c>
      <c r="AO22" s="377" t="s">
        <v>296</v>
      </c>
    </row>
    <row r="23" spans="2:41" ht="28.5" x14ac:dyDescent="0.25">
      <c r="B23" s="384"/>
      <c r="C23" s="386"/>
      <c r="D23" s="392"/>
      <c r="E23" s="375"/>
      <c r="F23" s="375"/>
      <c r="G23" s="375"/>
      <c r="H23" s="375"/>
      <c r="I23" s="390"/>
      <c r="J23" s="375"/>
      <c r="K23" s="375"/>
      <c r="L23" s="375" t="e">
        <f>VLOOKUP(M23,'[1]PARÁMETROS RIESGOS GESTIÓN'!D28:F33,3,TRUE)</f>
        <v>#N/A</v>
      </c>
      <c r="M23" s="375">
        <f t="shared" si="0"/>
        <v>100</v>
      </c>
      <c r="N23" s="375" t="s">
        <v>84</v>
      </c>
      <c r="O23" s="375">
        <f t="shared" si="1"/>
        <v>100</v>
      </c>
      <c r="P23" s="375">
        <f t="shared" ref="P23:P24" si="22">VALUE(_xlfn.CONCAT(M23,O23))</f>
        <v>100100</v>
      </c>
      <c r="Q23" s="388" t="str">
        <f>VLOOKUP(P23,'[1]Zona de riesgo'!B28:C52,2)</f>
        <v>Extremo</v>
      </c>
      <c r="R23" s="178" t="s">
        <v>470</v>
      </c>
      <c r="S23" s="155" t="s">
        <v>436</v>
      </c>
      <c r="T23" s="130"/>
      <c r="U23" s="130" t="s">
        <v>15</v>
      </c>
      <c r="V23" s="190">
        <f t="shared" si="5"/>
        <v>15</v>
      </c>
      <c r="W23" s="130" t="s">
        <v>9</v>
      </c>
      <c r="X23" s="190">
        <f t="shared" si="3"/>
        <v>15</v>
      </c>
      <c r="Y23" s="191">
        <f t="shared" si="6"/>
        <v>30</v>
      </c>
      <c r="Z23" s="130" t="s">
        <v>464</v>
      </c>
      <c r="AA23" s="130" t="s">
        <v>23</v>
      </c>
      <c r="AB23" s="130" t="s">
        <v>27</v>
      </c>
      <c r="AC23" s="191">
        <f>IF(U23="preventivo",(AC22-(AC22*Y23/100)),IF(U23="detectivo",(AC22-(AC22*Y23/100)),IF(U23="Correctivo",AC22,AC22)))</f>
        <v>25.2</v>
      </c>
      <c r="AD23" s="375"/>
      <c r="AE23" s="130">
        <f>IF(U23="Correctivo",(AE22-(AE22*V22/100)),AE22)</f>
        <v>20</v>
      </c>
      <c r="AF23" s="375"/>
      <c r="AG23" s="375"/>
      <c r="AH23" s="388"/>
      <c r="AI23" s="381"/>
      <c r="AJ23" s="378"/>
      <c r="AK23" s="378"/>
      <c r="AL23" s="378"/>
      <c r="AM23" s="378"/>
      <c r="AN23" s="378"/>
      <c r="AO23" s="378"/>
    </row>
    <row r="24" spans="2:41" ht="20.25" x14ac:dyDescent="0.25">
      <c r="B24" s="385"/>
      <c r="C24" s="346"/>
      <c r="D24" s="393"/>
      <c r="E24" s="376"/>
      <c r="F24" s="376"/>
      <c r="G24" s="376"/>
      <c r="H24" s="376"/>
      <c r="I24" s="391"/>
      <c r="J24" s="376"/>
      <c r="K24" s="376"/>
      <c r="L24" s="376" t="e">
        <f>VLOOKUP(M24,'[1]PARÁMETROS RIESGOS GESTIÓN'!D29:F34,3,TRUE)</f>
        <v>#N/A</v>
      </c>
      <c r="M24" s="376">
        <f t="shared" si="0"/>
        <v>100</v>
      </c>
      <c r="N24" s="376" t="s">
        <v>84</v>
      </c>
      <c r="O24" s="376">
        <f t="shared" si="1"/>
        <v>100</v>
      </c>
      <c r="P24" s="376">
        <f t="shared" si="22"/>
        <v>100100</v>
      </c>
      <c r="Q24" s="388" t="str">
        <f>VLOOKUP(P24,'[1]Zona de riesgo'!B29:C53,2)</f>
        <v>Extremo</v>
      </c>
      <c r="R24" s="178"/>
      <c r="S24" s="155"/>
      <c r="T24" s="130"/>
      <c r="U24" s="156"/>
      <c r="V24" s="190"/>
      <c r="W24" s="130"/>
      <c r="X24" s="190"/>
      <c r="Y24" s="191"/>
      <c r="Z24" s="130"/>
      <c r="AA24" s="130"/>
      <c r="AB24" s="130"/>
      <c r="AC24" s="191">
        <f>IF(U24="preventivo",(AC23-(AC23*Y24/100)),IF(U24="detectivo",(AC23-(AC23*Y24/100)),IF(U24="Correctivo",AC23,AC23)))</f>
        <v>25.2</v>
      </c>
      <c r="AD24" s="376"/>
      <c r="AE24" s="130">
        <f>IF(U24="Correctivo",(AE23-(AE23*V23/100)),AE23)</f>
        <v>20</v>
      </c>
      <c r="AF24" s="376"/>
      <c r="AG24" s="376"/>
      <c r="AH24" s="388"/>
      <c r="AI24" s="382"/>
      <c r="AJ24" s="379"/>
      <c r="AK24" s="379"/>
      <c r="AL24" s="379"/>
      <c r="AM24" s="379"/>
      <c r="AN24" s="379"/>
      <c r="AO24" s="379"/>
    </row>
    <row r="25" spans="2:41" ht="42.75" x14ac:dyDescent="0.25">
      <c r="B25" s="383">
        <v>7</v>
      </c>
      <c r="C25" s="345" t="s">
        <v>471</v>
      </c>
      <c r="D25" s="345" t="s">
        <v>472</v>
      </c>
      <c r="E25" s="374" t="s">
        <v>417</v>
      </c>
      <c r="F25" s="374" t="s">
        <v>473</v>
      </c>
      <c r="G25" s="374" t="s">
        <v>419</v>
      </c>
      <c r="H25" s="374" t="s">
        <v>474</v>
      </c>
      <c r="I25" s="389" t="s">
        <v>475</v>
      </c>
      <c r="J25" s="374" t="s">
        <v>422</v>
      </c>
      <c r="K25" s="374">
        <v>453</v>
      </c>
      <c r="L25" s="374" t="str">
        <f>VLOOKUP(M25,'[1]PARÁMETROS RIESGOS GESTIÓN'!$D$12:$F$17,3,0)</f>
        <v>Media</v>
      </c>
      <c r="M25" s="374">
        <f t="shared" ref="M25" si="23">IF(K25&lt;=2,20,IF(K25&lt;=24,40,IF(K25&lt;=500,60,IF(K25&lt;="5000",80,100))))</f>
        <v>60</v>
      </c>
      <c r="N25" s="374" t="s">
        <v>80</v>
      </c>
      <c r="O25" s="374">
        <f t="shared" si="1"/>
        <v>60</v>
      </c>
      <c r="P25" s="374">
        <f>VALUE(_xlfn.CONCAT(M25,O25))</f>
        <v>6060</v>
      </c>
      <c r="Q25" s="387" t="str">
        <f>VLOOKUP(P25,'[1]Zona de riesgo'!$B$12:$C$36,2,0)</f>
        <v>Moderado</v>
      </c>
      <c r="R25" s="178" t="s">
        <v>476</v>
      </c>
      <c r="S25" s="155" t="s">
        <v>424</v>
      </c>
      <c r="T25" s="130"/>
      <c r="U25" s="130" t="s">
        <v>14</v>
      </c>
      <c r="V25" s="190">
        <f t="shared" si="5"/>
        <v>25</v>
      </c>
      <c r="W25" s="130" t="s">
        <v>9</v>
      </c>
      <c r="X25" s="190">
        <f t="shared" si="3"/>
        <v>15</v>
      </c>
      <c r="Y25" s="191">
        <f t="shared" si="6"/>
        <v>40</v>
      </c>
      <c r="Z25" s="130" t="s">
        <v>19</v>
      </c>
      <c r="AA25" s="130" t="s">
        <v>22</v>
      </c>
      <c r="AB25" s="130" t="s">
        <v>425</v>
      </c>
      <c r="AC25" s="191">
        <f>IF(U25="Correctivo",M25,(M25-(M25*Y25)/100))</f>
        <v>36</v>
      </c>
      <c r="AD25" s="374" t="str">
        <f t="shared" ref="AD25" si="24">IF(AC27&gt;80,"Muy Alta",IF(AC27&gt;60,"Alta",IF(AC27&gt;40,"Media",IF(AC27&gt;20,"Baja","Muy Baja"))))</f>
        <v>Baja</v>
      </c>
      <c r="AE25" s="130">
        <f>IF(U25="Correctivo",(O25-(O25*V25)/100),O25)</f>
        <v>60</v>
      </c>
      <c r="AF25" s="374" t="str">
        <f t="shared" ref="AF25" si="25">IF(AE27&gt;80,"Catastrófico",IF(AE27&gt;60,"Mayor",IF(AE27&gt;40,"Moderado",IF(AE27&gt;20,"Menor","Leve"))))</f>
        <v>Moderado</v>
      </c>
      <c r="AG25" s="374" t="str">
        <f>CONCATENATE(AD25,AF25)</f>
        <v>BajaModerado</v>
      </c>
      <c r="AH25" s="387" t="str">
        <f>VLOOKUP(AG25,'[1]RIESGO RESIDUAL'!$A$1:$B$25,2,0)</f>
        <v>Moderado</v>
      </c>
      <c r="AI25" s="380" t="str">
        <f t="shared" ref="AI25" si="26">IF(AH25="Baja","Aceptar-Asumir","Reducir-Mitigar")</f>
        <v>Reducir-Mitigar</v>
      </c>
      <c r="AJ25" s="198" t="s">
        <v>477</v>
      </c>
      <c r="AK25" s="198" t="s">
        <v>478</v>
      </c>
      <c r="AL25" s="412">
        <v>44228</v>
      </c>
      <c r="AM25" s="377" t="s">
        <v>275</v>
      </c>
      <c r="AN25" s="377"/>
      <c r="AO25" s="377"/>
    </row>
    <row r="26" spans="2:41" ht="28.5" x14ac:dyDescent="0.25">
      <c r="B26" s="384"/>
      <c r="C26" s="386"/>
      <c r="D26" s="392"/>
      <c r="E26" s="375"/>
      <c r="F26" s="375"/>
      <c r="G26" s="375"/>
      <c r="H26" s="375"/>
      <c r="I26" s="390"/>
      <c r="J26" s="375"/>
      <c r="K26" s="375" t="s">
        <v>427</v>
      </c>
      <c r="L26" s="375" t="e">
        <f>VLOOKUP(M26,'[1]PARÁMETROS RIESGOS GESTIÓN'!D31:F36,3,TRUE)</f>
        <v>#N/A</v>
      </c>
      <c r="M26" s="375">
        <f t="shared" si="0"/>
        <v>40</v>
      </c>
      <c r="N26" s="375" t="s">
        <v>84</v>
      </c>
      <c r="O26" s="375">
        <f t="shared" si="1"/>
        <v>100</v>
      </c>
      <c r="P26" s="375">
        <f t="shared" ref="P26:P45" si="27">VALUE(_xlfn.CONCAT(M26,O26))</f>
        <v>40100</v>
      </c>
      <c r="Q26" s="388" t="str">
        <f>VLOOKUP(P26,'[1]Zona de riesgo'!B31:C55,2)</f>
        <v>Extremo</v>
      </c>
      <c r="R26" s="178" t="s">
        <v>476</v>
      </c>
      <c r="S26" s="155"/>
      <c r="T26" s="130"/>
      <c r="U26" s="130" t="s">
        <v>16</v>
      </c>
      <c r="V26" s="190">
        <f t="shared" si="5"/>
        <v>10</v>
      </c>
      <c r="W26" s="130" t="s">
        <v>9</v>
      </c>
      <c r="X26" s="190">
        <f t="shared" si="3"/>
        <v>15</v>
      </c>
      <c r="Y26" s="191">
        <f t="shared" si="6"/>
        <v>25</v>
      </c>
      <c r="Z26" s="130" t="s">
        <v>19</v>
      </c>
      <c r="AA26" s="130" t="s">
        <v>22</v>
      </c>
      <c r="AB26" s="130" t="s">
        <v>425</v>
      </c>
      <c r="AC26" s="191">
        <f>IF(U26="preventivo",(AC25-(AC25*Y26/100)),IF(U26="detectivo",(AC25-(AC25*Y26/100)),IF(U26="Correctivo",AC25,AC25)))</f>
        <v>36</v>
      </c>
      <c r="AD26" s="375"/>
      <c r="AE26" s="130">
        <f>IF(U26="Correctivo",(AE25-(AE25*V25/100)),AE25)</f>
        <v>45</v>
      </c>
      <c r="AF26" s="375"/>
      <c r="AG26" s="375"/>
      <c r="AH26" s="388"/>
      <c r="AI26" s="381"/>
      <c r="AJ26" s="199"/>
      <c r="AK26" s="199"/>
      <c r="AL26" s="378"/>
      <c r="AM26" s="378"/>
      <c r="AN26" s="378"/>
      <c r="AO26" s="378"/>
    </row>
    <row r="27" spans="2:41" ht="21" thickBot="1" x14ac:dyDescent="0.3">
      <c r="B27" s="385"/>
      <c r="C27" s="346"/>
      <c r="D27" s="393"/>
      <c r="E27" s="376"/>
      <c r="F27" s="376"/>
      <c r="G27" s="376"/>
      <c r="H27" s="376"/>
      <c r="I27" s="391"/>
      <c r="J27" s="376"/>
      <c r="K27" s="376" t="s">
        <v>429</v>
      </c>
      <c r="L27" s="376" t="e">
        <f>VLOOKUP(M27,'[1]PARÁMETROS RIESGOS GESTIÓN'!D32:F37,3,TRUE)</f>
        <v>#N/A</v>
      </c>
      <c r="M27" s="376">
        <f t="shared" si="0"/>
        <v>60</v>
      </c>
      <c r="N27" s="376" t="s">
        <v>84</v>
      </c>
      <c r="O27" s="376">
        <f t="shared" si="1"/>
        <v>100</v>
      </c>
      <c r="P27" s="376">
        <f t="shared" si="27"/>
        <v>60100</v>
      </c>
      <c r="Q27" s="388" t="str">
        <f>VLOOKUP(P27,'[1]Zona de riesgo'!B32:C56,2)</f>
        <v>Extremo</v>
      </c>
      <c r="R27" s="178"/>
      <c r="S27" s="155"/>
      <c r="T27" s="130"/>
      <c r="U27" s="130"/>
      <c r="V27" s="190"/>
      <c r="W27" s="130"/>
      <c r="X27" s="190"/>
      <c r="Y27" s="191"/>
      <c r="Z27" s="130"/>
      <c r="AA27" s="130"/>
      <c r="AB27" s="130"/>
      <c r="AC27" s="191">
        <f>IF(U27="preventivo",(AC26-(AC26*Y27/100)),IF(U27="detectivo",(AC26-(AC26*Y27/100)),IF(U27="Correctivo",AC26,AC26)))</f>
        <v>36</v>
      </c>
      <c r="AD27" s="376"/>
      <c r="AE27" s="130">
        <f>IF(U27="Correctivo",(AE26-(AE26*V26/100)),AE26)</f>
        <v>45</v>
      </c>
      <c r="AF27" s="376"/>
      <c r="AG27" s="376"/>
      <c r="AH27" s="388"/>
      <c r="AI27" s="382"/>
      <c r="AJ27" s="200"/>
      <c r="AK27" s="200"/>
      <c r="AL27" s="379"/>
      <c r="AM27" s="379"/>
      <c r="AN27" s="379"/>
      <c r="AO27" s="379"/>
    </row>
    <row r="28" spans="2:41" ht="72" customHeight="1" x14ac:dyDescent="0.25">
      <c r="B28" s="383">
        <v>8</v>
      </c>
      <c r="C28" s="345" t="s">
        <v>297</v>
      </c>
      <c r="D28" s="345" t="s">
        <v>479</v>
      </c>
      <c r="E28" s="374" t="s">
        <v>442</v>
      </c>
      <c r="F28" s="374" t="s">
        <v>480</v>
      </c>
      <c r="G28" s="374" t="s">
        <v>419</v>
      </c>
      <c r="H28" s="374" t="s">
        <v>481</v>
      </c>
      <c r="I28" s="389" t="s">
        <v>482</v>
      </c>
      <c r="J28" s="374" t="s">
        <v>422</v>
      </c>
      <c r="K28" s="374">
        <v>12</v>
      </c>
      <c r="L28" s="374" t="str">
        <f>VLOOKUP(M28,'[1]PARÁMETROS RIESGOS GESTIÓN'!$D$12:$F$17,3,0)</f>
        <v>Baja</v>
      </c>
      <c r="M28" s="374">
        <f t="shared" ref="M28" si="28">IF(K28&lt;=2,20,IF(K28&lt;=24,40,IF(K28&lt;=500,60,IF(K28&lt;="5000",80,100))))</f>
        <v>40</v>
      </c>
      <c r="N28" s="409" t="s">
        <v>80</v>
      </c>
      <c r="O28" s="374">
        <f t="shared" si="1"/>
        <v>60</v>
      </c>
      <c r="P28" s="374">
        <f>VALUE(_xlfn.CONCAT(M28,O28))</f>
        <v>4060</v>
      </c>
      <c r="Q28" s="387" t="str">
        <f>VLOOKUP(P28,'[1]Zona de riesgo'!$B$12:$C$36,2,0)</f>
        <v>Moderado</v>
      </c>
      <c r="R28" s="178" t="s">
        <v>483</v>
      </c>
      <c r="S28" s="155"/>
      <c r="T28" s="130"/>
      <c r="U28" s="130" t="s">
        <v>16</v>
      </c>
      <c r="V28" s="190">
        <f t="shared" si="5"/>
        <v>10</v>
      </c>
      <c r="W28" s="130" t="s">
        <v>9</v>
      </c>
      <c r="X28" s="190">
        <f t="shared" si="3"/>
        <v>15</v>
      </c>
      <c r="Y28" s="191">
        <f t="shared" si="6"/>
        <v>25</v>
      </c>
      <c r="Z28" s="130" t="s">
        <v>19</v>
      </c>
      <c r="AA28" s="130" t="s">
        <v>22</v>
      </c>
      <c r="AB28" s="130" t="s">
        <v>425</v>
      </c>
      <c r="AC28" s="191">
        <f>IF(U28="Correctivo",M28,(M28-(M28*Y28)/100))</f>
        <v>40</v>
      </c>
      <c r="AD28" s="374" t="str">
        <f t="shared" ref="AD28" si="29">IF(AC30&gt;80,"Muy Alta",IF(AC30&gt;60,"Alta",IF(AC30&gt;40,"Media",IF(AC30&gt;20,"Baja","Muy Baja"))))</f>
        <v>Baja</v>
      </c>
      <c r="AE28" s="130">
        <f>IF(U28="Correctivo",(O28-(O28*V28)/100),O28)</f>
        <v>54</v>
      </c>
      <c r="AF28" s="374" t="str">
        <f t="shared" ref="AF28" si="30">IF(AE30&gt;80,"Catastrófico",IF(AE30&gt;60,"Mayor",IF(AE30&gt;40,"Moderado",IF(AE30&gt;20,"Menor","Leve"))))</f>
        <v>Moderado</v>
      </c>
      <c r="AG28" s="374" t="str">
        <f>CONCATENATE(AD28,AF28)</f>
        <v>BajaModerado</v>
      </c>
      <c r="AH28" s="387" t="str">
        <f>VLOOKUP(AG28,'[1]RIESGO RESIDUAL'!$A$1:$B$25,2,0)</f>
        <v>Moderado</v>
      </c>
      <c r="AI28" s="380" t="str">
        <f t="shared" ref="AI28" si="31">IF(AH28="Baja","Aceptar-Asumir","Reducir-Mitigar")</f>
        <v>Reducir-Mitigar</v>
      </c>
      <c r="AJ28" s="413" t="s">
        <v>484</v>
      </c>
      <c r="AK28" s="413" t="s">
        <v>485</v>
      </c>
      <c r="AL28" s="416">
        <v>44713</v>
      </c>
      <c r="AM28" s="413"/>
      <c r="AN28" s="413" t="s">
        <v>275</v>
      </c>
      <c r="AO28" s="413"/>
    </row>
    <row r="29" spans="2:41" ht="20.25" x14ac:dyDescent="0.25">
      <c r="B29" s="384"/>
      <c r="C29" s="386"/>
      <c r="D29" s="392"/>
      <c r="E29" s="375"/>
      <c r="F29" s="375"/>
      <c r="G29" s="375"/>
      <c r="H29" s="375"/>
      <c r="I29" s="390"/>
      <c r="J29" s="375"/>
      <c r="K29" s="375"/>
      <c r="L29" s="375" t="e">
        <f>VLOOKUP(M29,'[1]PARÁMETROS RIESGOS GESTIÓN'!D34:F39,3,TRUE)</f>
        <v>#N/A</v>
      </c>
      <c r="M29" s="375">
        <f t="shared" si="0"/>
        <v>100</v>
      </c>
      <c r="N29" s="410"/>
      <c r="O29" s="375">
        <f t="shared" si="1"/>
        <v>0</v>
      </c>
      <c r="P29" s="375">
        <f t="shared" si="27"/>
        <v>1000</v>
      </c>
      <c r="Q29" s="388" t="e">
        <f>VLOOKUP(P29,'[1]Zona de riesgo'!B34:C58,2)</f>
        <v>#N/A</v>
      </c>
      <c r="R29" s="178"/>
      <c r="S29" s="155"/>
      <c r="T29" s="130"/>
      <c r="U29" s="130"/>
      <c r="V29" s="190"/>
      <c r="W29" s="130"/>
      <c r="X29" s="190"/>
      <c r="Y29" s="191"/>
      <c r="Z29" s="130"/>
      <c r="AA29" s="130"/>
      <c r="AB29" s="130"/>
      <c r="AC29" s="191">
        <f>IF(U29="preventivo",(AC28-(AC28*Y29/100)),IF(U29="detectivo",(AC28-(AC28*Y29/100)),IF(U29="Correctivo",AC28,AC28)))</f>
        <v>40</v>
      </c>
      <c r="AD29" s="375"/>
      <c r="AE29" s="130">
        <f>IF(U29="Correctivo",(AE28-(AE28*V28/100)),AE28)</f>
        <v>54</v>
      </c>
      <c r="AF29" s="375"/>
      <c r="AG29" s="375"/>
      <c r="AH29" s="388"/>
      <c r="AI29" s="381"/>
      <c r="AJ29" s="414"/>
      <c r="AK29" s="414"/>
      <c r="AL29" s="417"/>
      <c r="AM29" s="414"/>
      <c r="AN29" s="414"/>
      <c r="AO29" s="414"/>
    </row>
    <row r="30" spans="2:41" ht="21" thickBot="1" x14ac:dyDescent="0.3">
      <c r="B30" s="385"/>
      <c r="C30" s="346"/>
      <c r="D30" s="393"/>
      <c r="E30" s="376"/>
      <c r="F30" s="376"/>
      <c r="G30" s="376"/>
      <c r="H30" s="376"/>
      <c r="I30" s="391"/>
      <c r="J30" s="376"/>
      <c r="K30" s="376"/>
      <c r="L30" s="376" t="e">
        <f>VLOOKUP(M30,'[1]PARÁMETROS RIESGOS GESTIÓN'!D35:F40,3,TRUE)</f>
        <v>#N/A</v>
      </c>
      <c r="M30" s="376">
        <f t="shared" si="0"/>
        <v>100</v>
      </c>
      <c r="N30" s="411"/>
      <c r="O30" s="376">
        <f t="shared" si="1"/>
        <v>0</v>
      </c>
      <c r="P30" s="376">
        <f t="shared" si="27"/>
        <v>1000</v>
      </c>
      <c r="Q30" s="388" t="e">
        <f>VLOOKUP(P30,'[1]Zona de riesgo'!B35:C59,2)</f>
        <v>#N/A</v>
      </c>
      <c r="R30" s="178"/>
      <c r="S30" s="155"/>
      <c r="T30" s="130"/>
      <c r="U30" s="130"/>
      <c r="V30" s="190"/>
      <c r="W30" s="130"/>
      <c r="X30" s="190"/>
      <c r="Y30" s="191"/>
      <c r="Z30" s="130"/>
      <c r="AA30" s="130"/>
      <c r="AB30" s="130"/>
      <c r="AC30" s="191">
        <f>IF(U30="preventivo",(AC29-(AC29*Y30/100)),IF(U30="detectivo",(AC29-(AC29*Y30/100)),IF(U30="Correctivo",AC29,AC29)))</f>
        <v>40</v>
      </c>
      <c r="AD30" s="376"/>
      <c r="AE30" s="130">
        <f>IF(U30="Correctivo",(AE29-(AE29*V29/100)),AE29)</f>
        <v>54</v>
      </c>
      <c r="AF30" s="376"/>
      <c r="AG30" s="376"/>
      <c r="AH30" s="388"/>
      <c r="AI30" s="382"/>
      <c r="AJ30" s="415"/>
      <c r="AK30" s="415"/>
      <c r="AL30" s="418"/>
      <c r="AM30" s="415"/>
      <c r="AN30" s="415"/>
      <c r="AO30" s="415"/>
    </row>
    <row r="31" spans="2:41" ht="45.75" customHeight="1" x14ac:dyDescent="0.25">
      <c r="B31" s="383">
        <v>9</v>
      </c>
      <c r="C31" s="345" t="s">
        <v>297</v>
      </c>
      <c r="D31" s="345" t="s">
        <v>479</v>
      </c>
      <c r="E31" s="374" t="s">
        <v>431</v>
      </c>
      <c r="F31" s="374" t="s">
        <v>480</v>
      </c>
      <c r="G31" s="374" t="s">
        <v>419</v>
      </c>
      <c r="H31" s="374" t="s">
        <v>486</v>
      </c>
      <c r="I31" s="389" t="s">
        <v>487</v>
      </c>
      <c r="J31" s="374" t="s">
        <v>422</v>
      </c>
      <c r="K31" s="374">
        <v>250</v>
      </c>
      <c r="L31" s="374" t="str">
        <f>VLOOKUP(M31,'[1]PARÁMETROS RIESGOS GESTIÓN'!$D$12:$F$17,3,0)</f>
        <v>Media</v>
      </c>
      <c r="M31" s="374">
        <f t="shared" ref="M31" si="32">IF(K31&lt;=2,20,IF(K31&lt;=24,40,IF(K31&lt;=500,60,IF(K31&lt;="5000",80,100))))</f>
        <v>60</v>
      </c>
      <c r="N31" s="419" t="s">
        <v>434</v>
      </c>
      <c r="O31" s="374">
        <f t="shared" si="1"/>
        <v>20</v>
      </c>
      <c r="P31" s="374">
        <f>VALUE(_xlfn.CONCAT(M31,O31))</f>
        <v>6020</v>
      </c>
      <c r="Q31" s="387" t="str">
        <f>VLOOKUP(P31,'[1]Zona de riesgo'!$B$12:$C$36,2,0)</f>
        <v>Moderado</v>
      </c>
      <c r="R31" s="178" t="s">
        <v>488</v>
      </c>
      <c r="S31" s="155" t="s">
        <v>424</v>
      </c>
      <c r="T31" s="130"/>
      <c r="U31" s="130" t="s">
        <v>14</v>
      </c>
      <c r="V31" s="190">
        <f t="shared" si="5"/>
        <v>25</v>
      </c>
      <c r="W31" s="130" t="s">
        <v>9</v>
      </c>
      <c r="X31" s="190">
        <f t="shared" si="3"/>
        <v>15</v>
      </c>
      <c r="Y31" s="191">
        <f t="shared" si="6"/>
        <v>40</v>
      </c>
      <c r="Z31" s="130" t="s">
        <v>19</v>
      </c>
      <c r="AA31" s="130" t="s">
        <v>22</v>
      </c>
      <c r="AB31" s="130" t="s">
        <v>425</v>
      </c>
      <c r="AC31" s="191">
        <f>IF(U31="Correctivo",M31,(M31-(M31*Y31)/100))</f>
        <v>36</v>
      </c>
      <c r="AD31" s="374" t="str">
        <f t="shared" ref="AD31" si="33">IF(AC33&gt;80,"Muy Alta",IF(AC33&gt;60,"Alta",IF(AC33&gt;40,"Media",IF(AC33&gt;20,"Baja","Muy Baja"))))</f>
        <v>Baja</v>
      </c>
      <c r="AE31" s="130">
        <f>IF(U31="Correctivo",(O31-(O31*V31)/100),O31)</f>
        <v>20</v>
      </c>
      <c r="AF31" s="374" t="str">
        <f t="shared" ref="AF31" si="34">IF(AE33&gt;80,"Catastrófico",IF(AE33&gt;60,"Mayor",IF(AE33&gt;40,"Moderado",IF(AE33&gt;20,"Menor","Leve"))))</f>
        <v>Leve</v>
      </c>
      <c r="AG31" s="374" t="str">
        <f>CONCATENATE(AD31,AF31)</f>
        <v>BajaLeve</v>
      </c>
      <c r="AH31" s="387" t="str">
        <f>VLOOKUP(AG31,'[1]RIESGO RESIDUAL'!$A$1:$B$25,2,0)</f>
        <v>Baja</v>
      </c>
      <c r="AI31" s="380" t="str">
        <f t="shared" ref="AI31" si="35">IF(AH31="Baja","Aceptar-Asumir","Reducir-Mitigar")</f>
        <v>Aceptar-Asumir</v>
      </c>
      <c r="AJ31" s="413" t="s">
        <v>489</v>
      </c>
      <c r="AK31" s="413" t="s">
        <v>485</v>
      </c>
      <c r="AL31" s="416">
        <v>44713</v>
      </c>
      <c r="AM31" s="413"/>
      <c r="AN31" s="413" t="s">
        <v>275</v>
      </c>
      <c r="AO31" s="413"/>
    </row>
    <row r="32" spans="2:41" ht="20.25" x14ac:dyDescent="0.25">
      <c r="B32" s="384"/>
      <c r="C32" s="386"/>
      <c r="D32" s="392"/>
      <c r="E32" s="375"/>
      <c r="F32" s="375"/>
      <c r="G32" s="375"/>
      <c r="H32" s="375"/>
      <c r="I32" s="390"/>
      <c r="J32" s="375"/>
      <c r="K32" s="375"/>
      <c r="L32" s="375" t="e">
        <f>VLOOKUP(M32,'[1]PARÁMETROS RIESGOS GESTIÓN'!D37:F42,3,TRUE)</f>
        <v>#N/A</v>
      </c>
      <c r="M32" s="375">
        <f t="shared" si="0"/>
        <v>100</v>
      </c>
      <c r="N32" s="420"/>
      <c r="O32" s="375">
        <f t="shared" si="1"/>
        <v>0</v>
      </c>
      <c r="P32" s="375">
        <f t="shared" si="27"/>
        <v>1000</v>
      </c>
      <c r="Q32" s="388" t="e">
        <f>VLOOKUP(P32,'[1]Zona de riesgo'!B37:C61,2)</f>
        <v>#N/A</v>
      </c>
      <c r="R32" s="178"/>
      <c r="S32" s="155"/>
      <c r="T32" s="130"/>
      <c r="U32" s="130"/>
      <c r="V32" s="190"/>
      <c r="W32" s="130"/>
      <c r="X32" s="190"/>
      <c r="Y32" s="191"/>
      <c r="Z32" s="130"/>
      <c r="AA32" s="130"/>
      <c r="AB32" s="130"/>
      <c r="AC32" s="191">
        <f>IF(U32="preventivo",(AC31-(AC31*Y32/100)),IF(U32="detectivo",(AC31-(AC31*Y32/100)),IF(U32="Correctivo",AC31,AC31)))</f>
        <v>36</v>
      </c>
      <c r="AD32" s="375"/>
      <c r="AE32" s="130">
        <f>IF(U32="Correctivo",(AE31-(AE31*V31/100)),AE31)</f>
        <v>20</v>
      </c>
      <c r="AF32" s="375"/>
      <c r="AG32" s="375"/>
      <c r="AH32" s="388"/>
      <c r="AI32" s="381"/>
      <c r="AJ32" s="414"/>
      <c r="AK32" s="414"/>
      <c r="AL32" s="417"/>
      <c r="AM32" s="414"/>
      <c r="AN32" s="414"/>
      <c r="AO32" s="414"/>
    </row>
    <row r="33" spans="2:41" ht="21" thickBot="1" x14ac:dyDescent="0.3">
      <c r="B33" s="385"/>
      <c r="C33" s="346"/>
      <c r="D33" s="393"/>
      <c r="E33" s="376"/>
      <c r="F33" s="376"/>
      <c r="G33" s="376"/>
      <c r="H33" s="376"/>
      <c r="I33" s="391"/>
      <c r="J33" s="376"/>
      <c r="K33" s="376"/>
      <c r="L33" s="376" t="e">
        <f>VLOOKUP(M33,'[1]PARÁMETROS RIESGOS GESTIÓN'!D38:F43,3,TRUE)</f>
        <v>#N/A</v>
      </c>
      <c r="M33" s="376">
        <f t="shared" si="0"/>
        <v>100</v>
      </c>
      <c r="N33" s="421"/>
      <c r="O33" s="376">
        <f t="shared" si="1"/>
        <v>0</v>
      </c>
      <c r="P33" s="376">
        <f t="shared" si="27"/>
        <v>1000</v>
      </c>
      <c r="Q33" s="388" t="e">
        <f>VLOOKUP(P33,'[1]Zona de riesgo'!B38:C62,2)</f>
        <v>#N/A</v>
      </c>
      <c r="R33" s="178"/>
      <c r="S33" s="155"/>
      <c r="T33" s="130"/>
      <c r="U33" s="130"/>
      <c r="V33" s="190"/>
      <c r="W33" s="130"/>
      <c r="X33" s="190"/>
      <c r="Y33" s="191"/>
      <c r="Z33" s="130"/>
      <c r="AA33" s="130"/>
      <c r="AB33" s="130"/>
      <c r="AC33" s="191">
        <f>IF(U33="preventivo",(AC32-(AC32*Y33/100)),IF(U33="detectivo",(AC32-(AC32*Y33/100)),IF(U33="Correctivo",AC32,AC32)))</f>
        <v>36</v>
      </c>
      <c r="AD33" s="376"/>
      <c r="AE33" s="130">
        <f>IF(U33="Correctivo",(AE32-(AE32*V32/100)),AE32)</f>
        <v>20</v>
      </c>
      <c r="AF33" s="376"/>
      <c r="AG33" s="376"/>
      <c r="AH33" s="388"/>
      <c r="AI33" s="382"/>
      <c r="AJ33" s="415"/>
      <c r="AK33" s="415"/>
      <c r="AL33" s="418"/>
      <c r="AM33" s="415"/>
      <c r="AN33" s="415"/>
      <c r="AO33" s="415"/>
    </row>
    <row r="34" spans="2:41" ht="29.25" customHeight="1" x14ac:dyDescent="0.25">
      <c r="B34" s="383">
        <v>10</v>
      </c>
      <c r="C34" s="345" t="s">
        <v>315</v>
      </c>
      <c r="D34" s="345" t="s">
        <v>457</v>
      </c>
      <c r="E34" s="374" t="s">
        <v>417</v>
      </c>
      <c r="F34" s="374" t="s">
        <v>490</v>
      </c>
      <c r="G34" s="374" t="s">
        <v>419</v>
      </c>
      <c r="H34" s="374" t="s">
        <v>491</v>
      </c>
      <c r="I34" s="389" t="s">
        <v>492</v>
      </c>
      <c r="J34" s="374" t="s">
        <v>493</v>
      </c>
      <c r="K34" s="374">
        <v>400</v>
      </c>
      <c r="L34" s="374" t="str">
        <f>VLOOKUP(M34,'[1]PARÁMETROS RIESGOS GESTIÓN'!$D$12:$F$17,3,0)</f>
        <v>Media</v>
      </c>
      <c r="M34" s="374">
        <f t="shared" ref="M34" si="36">IF(K34&lt;=2,20,IF(K34&lt;=24,40,IF(K34&lt;=500,60,IF(K34&lt;="5000",80,100))))</f>
        <v>60</v>
      </c>
      <c r="N34" s="419" t="s">
        <v>434</v>
      </c>
      <c r="O34" s="374">
        <f t="shared" si="1"/>
        <v>20</v>
      </c>
      <c r="P34" s="374">
        <f>VALUE(_xlfn.CONCAT(M34,O34))</f>
        <v>6020</v>
      </c>
      <c r="Q34" s="387" t="str">
        <f>VLOOKUP(P34,'[1]Zona de riesgo'!$B$12:$C$36,2,0)</f>
        <v>Moderado</v>
      </c>
      <c r="R34" s="178" t="s">
        <v>494</v>
      </c>
      <c r="S34" s="155" t="s">
        <v>424</v>
      </c>
      <c r="T34" s="130"/>
      <c r="U34" s="130" t="s">
        <v>14</v>
      </c>
      <c r="V34" s="190">
        <f t="shared" si="5"/>
        <v>25</v>
      </c>
      <c r="W34" s="130" t="s">
        <v>9</v>
      </c>
      <c r="X34" s="190">
        <f t="shared" si="3"/>
        <v>15</v>
      </c>
      <c r="Y34" s="191">
        <f t="shared" si="6"/>
        <v>40</v>
      </c>
      <c r="Z34" s="130" t="s">
        <v>19</v>
      </c>
      <c r="AA34" s="130" t="s">
        <v>22</v>
      </c>
      <c r="AB34" s="130" t="s">
        <v>425</v>
      </c>
      <c r="AC34" s="191">
        <f>IF(U34="Correctivo",M34,(M34-(M34*Y34)/100))</f>
        <v>36</v>
      </c>
      <c r="AD34" s="374" t="str">
        <f t="shared" ref="AD34" si="37">IF(AC36&gt;80,"Muy Alta",IF(AC36&gt;60,"Alta",IF(AC36&gt;40,"Media",IF(AC36&gt;20,"Baja","Muy Baja"))))</f>
        <v>Baja</v>
      </c>
      <c r="AE34" s="130">
        <f>IF(U34="Correctivo",(O34-(O34*V34)/100),O34)</f>
        <v>20</v>
      </c>
      <c r="AF34" s="374" t="str">
        <f t="shared" ref="AF34" si="38">IF(AE36&gt;80,"Catastrófico",IF(AE36&gt;60,"Mayor",IF(AE36&gt;40,"Moderado",IF(AE36&gt;20,"Menor","Leve"))))</f>
        <v>Leve</v>
      </c>
      <c r="AG34" s="374" t="str">
        <f>CONCATENATE(AD34,AF34)</f>
        <v>BajaLeve</v>
      </c>
      <c r="AH34" s="387" t="str">
        <f>VLOOKUP(AG34,'[1]RIESGO RESIDUAL'!$A$1:$B$25,2,0)</f>
        <v>Baja</v>
      </c>
      <c r="AI34" s="380" t="str">
        <f t="shared" ref="AI34" si="39">IF(AH34="Baja","Aceptar-Asumir","Reducir-Mitigar")</f>
        <v>Aceptar-Asumir</v>
      </c>
      <c r="AJ34" s="413" t="s">
        <v>495</v>
      </c>
      <c r="AK34" s="413" t="s">
        <v>322</v>
      </c>
      <c r="AL34" s="413" t="s">
        <v>323</v>
      </c>
      <c r="AM34" s="422">
        <v>44805</v>
      </c>
      <c r="AN34" s="413"/>
      <c r="AO34" s="197"/>
    </row>
    <row r="35" spans="2:41" ht="28.5" x14ac:dyDescent="0.25">
      <c r="B35" s="384"/>
      <c r="C35" s="386"/>
      <c r="D35" s="392"/>
      <c r="E35" s="375"/>
      <c r="F35" s="375"/>
      <c r="G35" s="375"/>
      <c r="H35" s="375"/>
      <c r="I35" s="390"/>
      <c r="J35" s="375"/>
      <c r="K35" s="375"/>
      <c r="L35" s="375" t="e">
        <f>VLOOKUP(M35,'[1]PARÁMETROS RIESGOS GESTIÓN'!D40:F45,3,TRUE)</f>
        <v>#N/A</v>
      </c>
      <c r="M35" s="375">
        <f t="shared" si="0"/>
        <v>100</v>
      </c>
      <c r="N35" s="420"/>
      <c r="O35" s="375">
        <f t="shared" si="1"/>
        <v>0</v>
      </c>
      <c r="P35" s="375">
        <f t="shared" si="27"/>
        <v>1000</v>
      </c>
      <c r="Q35" s="388" t="e">
        <f>VLOOKUP(P35,'[1]Zona de riesgo'!B40:C64,2)</f>
        <v>#N/A</v>
      </c>
      <c r="R35" s="178" t="s">
        <v>496</v>
      </c>
      <c r="S35" s="155" t="s">
        <v>424</v>
      </c>
      <c r="T35" s="130"/>
      <c r="U35" s="130" t="s">
        <v>14</v>
      </c>
      <c r="V35" s="190">
        <f t="shared" si="5"/>
        <v>25</v>
      </c>
      <c r="W35" s="130" t="s">
        <v>9</v>
      </c>
      <c r="X35" s="190">
        <f t="shared" si="3"/>
        <v>15</v>
      </c>
      <c r="Y35" s="191">
        <f t="shared" si="6"/>
        <v>40</v>
      </c>
      <c r="Z35" s="130" t="s">
        <v>464</v>
      </c>
      <c r="AA35" s="130" t="s">
        <v>23</v>
      </c>
      <c r="AB35" s="130" t="s">
        <v>425</v>
      </c>
      <c r="AC35" s="191">
        <f>IF(U35="preventivo",(AC34-(AC34*Y35/100)),IF(U35="detectivo",(AC34-(AC34*Y35/100)),IF(U35="Correctivo",AC34,AC34)))</f>
        <v>21.6</v>
      </c>
      <c r="AD35" s="375"/>
      <c r="AE35" s="130">
        <f>IF(U35="Correctivo",(AE34-(AE34*V34/100)),AE34)</f>
        <v>20</v>
      </c>
      <c r="AF35" s="375"/>
      <c r="AG35" s="375"/>
      <c r="AH35" s="388"/>
      <c r="AI35" s="381"/>
      <c r="AJ35" s="414"/>
      <c r="AK35" s="414"/>
      <c r="AL35" s="414"/>
      <c r="AM35" s="423"/>
      <c r="AN35" s="414"/>
      <c r="AO35" s="197"/>
    </row>
    <row r="36" spans="2:41" ht="29.25" thickBot="1" x14ac:dyDescent="0.3">
      <c r="B36" s="385"/>
      <c r="C36" s="346"/>
      <c r="D36" s="393"/>
      <c r="E36" s="376"/>
      <c r="F36" s="376"/>
      <c r="G36" s="376"/>
      <c r="H36" s="376"/>
      <c r="I36" s="391"/>
      <c r="J36" s="376"/>
      <c r="K36" s="376"/>
      <c r="L36" s="376" t="e">
        <f>VLOOKUP(M36,'[1]PARÁMETROS RIESGOS GESTIÓN'!D41:F46,3,TRUE)</f>
        <v>#N/A</v>
      </c>
      <c r="M36" s="376">
        <f t="shared" si="0"/>
        <v>100</v>
      </c>
      <c r="N36" s="421"/>
      <c r="O36" s="376">
        <f t="shared" si="1"/>
        <v>0</v>
      </c>
      <c r="P36" s="376">
        <f t="shared" si="27"/>
        <v>1000</v>
      </c>
      <c r="Q36" s="388" t="e">
        <f>VLOOKUP(P36,'[1]Zona de riesgo'!B41:C65,2)</f>
        <v>#N/A</v>
      </c>
      <c r="R36" s="178" t="s">
        <v>497</v>
      </c>
      <c r="S36" s="155"/>
      <c r="T36" s="130"/>
      <c r="U36" s="130" t="s">
        <v>16</v>
      </c>
      <c r="V36" s="190">
        <f t="shared" si="5"/>
        <v>10</v>
      </c>
      <c r="W36" s="130" t="s">
        <v>9</v>
      </c>
      <c r="X36" s="190">
        <f t="shared" si="3"/>
        <v>15</v>
      </c>
      <c r="Y36" s="191">
        <f t="shared" si="6"/>
        <v>25</v>
      </c>
      <c r="Z36" s="130" t="s">
        <v>464</v>
      </c>
      <c r="AA36" s="130" t="s">
        <v>23</v>
      </c>
      <c r="AB36" s="130" t="s">
        <v>425</v>
      </c>
      <c r="AC36" s="191">
        <f>IF(U36="preventivo",(AC35-(AC35*Y36/100)),IF(U36="detectivo",(AC35-(AC35*Y36/100)),IF(U36="Correctivo",AC35,AC35)))</f>
        <v>21.6</v>
      </c>
      <c r="AD36" s="376"/>
      <c r="AE36" s="130">
        <f>IF(U36="Correctivo",(AE35-(AE35*V35/100)),AE35)</f>
        <v>15</v>
      </c>
      <c r="AF36" s="376"/>
      <c r="AG36" s="376"/>
      <c r="AH36" s="388"/>
      <c r="AI36" s="382"/>
      <c r="AJ36" s="415"/>
      <c r="AK36" s="415"/>
      <c r="AL36" s="415"/>
      <c r="AM36" s="424"/>
      <c r="AN36" s="415"/>
      <c r="AO36" s="197"/>
    </row>
    <row r="37" spans="2:41" ht="39" customHeight="1" x14ac:dyDescent="0.25">
      <c r="B37" s="383">
        <v>11</v>
      </c>
      <c r="C37" s="345" t="s">
        <v>498</v>
      </c>
      <c r="D37" s="345" t="s">
        <v>274</v>
      </c>
      <c r="E37" s="374" t="s">
        <v>417</v>
      </c>
      <c r="F37" s="374" t="s">
        <v>499</v>
      </c>
      <c r="G37" s="374" t="s">
        <v>500</v>
      </c>
      <c r="H37" s="374" t="s">
        <v>501</v>
      </c>
      <c r="I37" s="389" t="s">
        <v>502</v>
      </c>
      <c r="J37" s="374" t="s">
        <v>503</v>
      </c>
      <c r="K37" s="374">
        <v>250</v>
      </c>
      <c r="L37" s="374" t="str">
        <f>VLOOKUP(M37,'[1]PARÁMETROS RIESGOS GESTIÓN'!$D$12:$F$17,3,0)</f>
        <v>Media</v>
      </c>
      <c r="M37" s="374">
        <f t="shared" ref="M37" si="40">IF(K37&lt;=2,20,IF(K37&lt;=24,40,IF(K37&lt;=500,60,IF(K37&lt;="5000",80,100))))</f>
        <v>60</v>
      </c>
      <c r="N37" s="434" t="s">
        <v>83</v>
      </c>
      <c r="O37" s="374">
        <f t="shared" si="1"/>
        <v>40</v>
      </c>
      <c r="P37" s="374">
        <f>VALUE(_xlfn.CONCAT(M37,O37))</f>
        <v>6040</v>
      </c>
      <c r="Q37" s="387" t="str">
        <f>VLOOKUP(P37,'[1]Zona de riesgo'!$B$12:$C$36,2,0)</f>
        <v>Moderado</v>
      </c>
      <c r="R37" s="178" t="s">
        <v>504</v>
      </c>
      <c r="S37" s="155" t="s">
        <v>424</v>
      </c>
      <c r="T37" s="130"/>
      <c r="U37" s="130" t="s">
        <v>14</v>
      </c>
      <c r="V37" s="190">
        <f t="shared" si="5"/>
        <v>25</v>
      </c>
      <c r="W37" s="130" t="s">
        <v>9</v>
      </c>
      <c r="X37" s="190">
        <f t="shared" si="3"/>
        <v>15</v>
      </c>
      <c r="Y37" s="191">
        <f t="shared" si="6"/>
        <v>40</v>
      </c>
      <c r="Z37" s="130" t="s">
        <v>464</v>
      </c>
      <c r="AA37" s="130" t="s">
        <v>23</v>
      </c>
      <c r="AB37" s="130" t="s">
        <v>425</v>
      </c>
      <c r="AC37" s="191">
        <f>IF(U37="Correctivo",M37,(M37-(M37*Y37)/100))</f>
        <v>36</v>
      </c>
      <c r="AD37" s="374" t="str">
        <f t="shared" ref="AD37" si="41">IF(AC39&gt;80,"Muy Alta",IF(AC39&gt;60,"Alta",IF(AC39&gt;40,"Media",IF(AC39&gt;20,"Baja","Muy Baja"))))</f>
        <v>Muy Baja</v>
      </c>
      <c r="AE37" s="130">
        <f>IF(U37="Correctivo",(O37-(O37*V37)/100),O37)</f>
        <v>40</v>
      </c>
      <c r="AF37" s="374" t="str">
        <f t="shared" ref="AF37" si="42">IF(AE39&gt;80,"Catastrófico",IF(AE39&gt;60,"Mayor",IF(AE39&gt;40,"Moderado",IF(AE39&gt;20,"Menor","Leve"))))</f>
        <v>Menor</v>
      </c>
      <c r="AG37" s="374" t="str">
        <f>CONCATENATE(AD37,AF37)</f>
        <v>Muy BajaMenor</v>
      </c>
      <c r="AH37" s="387" t="str">
        <f>VLOOKUP(AG37,'[1]RIESGO RESIDUAL'!$A$1:$B$25,2,0)</f>
        <v>Baja</v>
      </c>
      <c r="AI37" s="380" t="str">
        <f t="shared" ref="AI37" si="43">IF(AH37="Baja","Aceptar-Asumir","Reducir-Mitigar")</f>
        <v>Aceptar-Asumir</v>
      </c>
      <c r="AJ37" s="413"/>
      <c r="AK37" s="413"/>
      <c r="AL37" s="425"/>
      <c r="AM37" s="428"/>
      <c r="AN37" s="431"/>
      <c r="AO37" s="431"/>
    </row>
    <row r="38" spans="2:41" ht="28.5" x14ac:dyDescent="0.25">
      <c r="B38" s="384"/>
      <c r="C38" s="386"/>
      <c r="D38" s="392"/>
      <c r="E38" s="375"/>
      <c r="F38" s="375"/>
      <c r="G38" s="375"/>
      <c r="H38" s="375"/>
      <c r="I38" s="390"/>
      <c r="J38" s="375"/>
      <c r="K38" s="375"/>
      <c r="L38" s="375" t="e">
        <f>VLOOKUP(M38,'[1]PARÁMETROS RIESGOS GESTIÓN'!D43:F48,3,TRUE)</f>
        <v>#N/A</v>
      </c>
      <c r="M38" s="375">
        <f t="shared" si="0"/>
        <v>100</v>
      </c>
      <c r="N38" s="435"/>
      <c r="O38" s="375">
        <f t="shared" si="1"/>
        <v>0</v>
      </c>
      <c r="P38" s="375">
        <f t="shared" si="27"/>
        <v>1000</v>
      </c>
      <c r="Q38" s="388" t="e">
        <f>VLOOKUP(P38,'[1]Zona de riesgo'!B43:C67,2)</f>
        <v>#N/A</v>
      </c>
      <c r="R38" s="178" t="s">
        <v>505</v>
      </c>
      <c r="S38" s="155" t="s">
        <v>424</v>
      </c>
      <c r="T38" s="130"/>
      <c r="U38" s="130" t="s">
        <v>14</v>
      </c>
      <c r="V38" s="190">
        <f t="shared" si="5"/>
        <v>25</v>
      </c>
      <c r="W38" s="130" t="s">
        <v>9</v>
      </c>
      <c r="X38" s="190">
        <f t="shared" si="3"/>
        <v>15</v>
      </c>
      <c r="Y38" s="191">
        <f t="shared" si="6"/>
        <v>40</v>
      </c>
      <c r="Z38" s="130" t="s">
        <v>464</v>
      </c>
      <c r="AA38" s="130" t="s">
        <v>23</v>
      </c>
      <c r="AB38" s="130" t="s">
        <v>425</v>
      </c>
      <c r="AC38" s="191">
        <f>IF(U38="preventivo",(AC37-(AC37*Y38/100)),IF(U38="detectivo",(AC37-(AC37*Y38/100)),IF(U38="Correctivo",AC37,AC37)))</f>
        <v>21.6</v>
      </c>
      <c r="AD38" s="375"/>
      <c r="AE38" s="130">
        <f>IF(U38="Correctivo",(AE37-(AE37*V37/100)),AE37)</f>
        <v>40</v>
      </c>
      <c r="AF38" s="375"/>
      <c r="AG38" s="375"/>
      <c r="AH38" s="388"/>
      <c r="AI38" s="381"/>
      <c r="AJ38" s="414"/>
      <c r="AK38" s="414"/>
      <c r="AL38" s="426"/>
      <c r="AM38" s="429"/>
      <c r="AN38" s="432"/>
      <c r="AO38" s="432"/>
    </row>
    <row r="39" spans="2:41" ht="43.5" thickBot="1" x14ac:dyDescent="0.3">
      <c r="B39" s="385"/>
      <c r="C39" s="346"/>
      <c r="D39" s="393"/>
      <c r="E39" s="376"/>
      <c r="F39" s="376"/>
      <c r="G39" s="376"/>
      <c r="H39" s="376"/>
      <c r="I39" s="391"/>
      <c r="J39" s="376"/>
      <c r="K39" s="376"/>
      <c r="L39" s="376" t="e">
        <f>VLOOKUP(M39,'[1]PARÁMETROS RIESGOS GESTIÓN'!D44:F49,3,TRUE)</f>
        <v>#N/A</v>
      </c>
      <c r="M39" s="376">
        <f t="shared" si="0"/>
        <v>100</v>
      </c>
      <c r="N39" s="436"/>
      <c r="O39" s="376">
        <f t="shared" si="1"/>
        <v>0</v>
      </c>
      <c r="P39" s="376">
        <f t="shared" si="27"/>
        <v>1000</v>
      </c>
      <c r="Q39" s="388" t="e">
        <f>VLOOKUP(P39,'[1]Zona de riesgo'!B44:C68,2)</f>
        <v>#N/A</v>
      </c>
      <c r="R39" s="178" t="s">
        <v>506</v>
      </c>
      <c r="S39" s="155" t="s">
        <v>424</v>
      </c>
      <c r="T39" s="130"/>
      <c r="U39" s="130" t="s">
        <v>14</v>
      </c>
      <c r="V39" s="190">
        <f t="shared" si="5"/>
        <v>25</v>
      </c>
      <c r="W39" s="130" t="s">
        <v>9</v>
      </c>
      <c r="X39" s="190">
        <f t="shared" si="3"/>
        <v>15</v>
      </c>
      <c r="Y39" s="191">
        <f t="shared" si="6"/>
        <v>40</v>
      </c>
      <c r="Z39" s="130" t="s">
        <v>464</v>
      </c>
      <c r="AA39" s="130" t="s">
        <v>23</v>
      </c>
      <c r="AB39" s="130" t="s">
        <v>425</v>
      </c>
      <c r="AC39" s="191">
        <f>IF(U39="preventivo",(AC38-(AC38*Y39/100)),IF(U39="detectivo",(AC38-(AC38*Y39/100)),IF(U39="Correctivo",AC38,AC38)))</f>
        <v>12.96</v>
      </c>
      <c r="AD39" s="376"/>
      <c r="AE39" s="130">
        <f>IF(U39="Correctivo",(AE38-(AE38*V38/100)),AE38)</f>
        <v>40</v>
      </c>
      <c r="AF39" s="376"/>
      <c r="AG39" s="376"/>
      <c r="AH39" s="388"/>
      <c r="AI39" s="382"/>
      <c r="AJ39" s="415"/>
      <c r="AK39" s="415"/>
      <c r="AL39" s="427"/>
      <c r="AM39" s="430"/>
      <c r="AN39" s="433"/>
      <c r="AO39" s="433"/>
    </row>
    <row r="40" spans="2:41" ht="43.5" customHeight="1" thickBot="1" x14ac:dyDescent="0.3">
      <c r="B40" s="383">
        <v>12</v>
      </c>
      <c r="C40" s="345" t="s">
        <v>498</v>
      </c>
      <c r="D40" s="345" t="s">
        <v>274</v>
      </c>
      <c r="E40" s="374" t="s">
        <v>442</v>
      </c>
      <c r="F40" s="374" t="s">
        <v>507</v>
      </c>
      <c r="G40" s="374" t="s">
        <v>419</v>
      </c>
      <c r="H40" s="374" t="s">
        <v>508</v>
      </c>
      <c r="I40" s="389" t="s">
        <v>509</v>
      </c>
      <c r="J40" s="374" t="s">
        <v>510</v>
      </c>
      <c r="K40" s="374">
        <v>250</v>
      </c>
      <c r="L40" s="374" t="str">
        <f>VLOOKUP(M40,'[1]PARÁMETROS RIESGOS GESTIÓN'!$D$12:$F$17,3,0)</f>
        <v>Media</v>
      </c>
      <c r="M40" s="374">
        <f t="shared" ref="M40" si="44">IF(K40&lt;=2,20,IF(K40&lt;=24,40,IF(K40&lt;=500,60,IF(K40&lt;="5000",80,100))))</f>
        <v>60</v>
      </c>
      <c r="N40" s="409" t="s">
        <v>80</v>
      </c>
      <c r="O40" s="374">
        <f t="shared" si="1"/>
        <v>60</v>
      </c>
      <c r="P40" s="374">
        <f>VALUE(_xlfn.CONCAT(M40,O40))</f>
        <v>6060</v>
      </c>
      <c r="Q40" s="387" t="str">
        <f>VLOOKUP(P40,'[1]Zona de riesgo'!$B$12:$C$36,2,0)</f>
        <v>Moderado</v>
      </c>
      <c r="R40" s="178" t="s">
        <v>511</v>
      </c>
      <c r="S40" s="155" t="s">
        <v>424</v>
      </c>
      <c r="T40" s="130"/>
      <c r="U40" s="130" t="s">
        <v>16</v>
      </c>
      <c r="V40" s="190">
        <f t="shared" si="5"/>
        <v>10</v>
      </c>
      <c r="W40" s="130" t="s">
        <v>10</v>
      </c>
      <c r="X40" s="190">
        <f t="shared" si="3"/>
        <v>25</v>
      </c>
      <c r="Y40" s="191">
        <f t="shared" si="6"/>
        <v>35</v>
      </c>
      <c r="Z40" s="130" t="s">
        <v>19</v>
      </c>
      <c r="AA40" s="130" t="s">
        <v>23</v>
      </c>
      <c r="AB40" s="130" t="s">
        <v>425</v>
      </c>
      <c r="AC40" s="191">
        <f>IF(U40="Correctivo",M40,(M40-(M40*Y40)/100))</f>
        <v>60</v>
      </c>
      <c r="AD40" s="374" t="str">
        <f t="shared" ref="AD40" si="45">IF(AC42&gt;80,"Muy Alta",IF(AC42&gt;60,"Alta",IF(AC42&gt;40,"Media",IF(AC42&gt;20,"Baja","Muy Baja"))))</f>
        <v>Baja</v>
      </c>
      <c r="AE40" s="130">
        <f>IF(U40="Correctivo",(O40-(O40*V40)/100),O40)</f>
        <v>54</v>
      </c>
      <c r="AF40" s="374" t="str">
        <f t="shared" ref="AF40" si="46">IF(AE42&gt;80,"Catastrófico",IF(AE42&gt;60,"Mayor",IF(AE42&gt;40,"Moderado",IF(AE42&gt;20,"Menor","Leve"))))</f>
        <v>Moderado</v>
      </c>
      <c r="AG40" s="374" t="str">
        <f>CONCATENATE(AD40,AF40)</f>
        <v>BajaModerado</v>
      </c>
      <c r="AH40" s="387" t="str">
        <f>VLOOKUP(AG40,'[1]RIESGO RESIDUAL'!$A$1:$B$25,2,0)</f>
        <v>Moderado</v>
      </c>
      <c r="AI40" s="380" t="str">
        <f t="shared" ref="AI40" si="47">IF(AH40="Baja","Aceptar-Asumir","Reducir-Mitigar")</f>
        <v>Reducir-Mitigar</v>
      </c>
      <c r="AJ40" s="201" t="s">
        <v>512</v>
      </c>
      <c r="AK40" s="425" t="s">
        <v>513</v>
      </c>
      <c r="AL40" s="444">
        <v>44593</v>
      </c>
      <c r="AM40" s="431" t="s">
        <v>275</v>
      </c>
      <c r="AN40" s="431"/>
      <c r="AO40" s="431"/>
    </row>
    <row r="41" spans="2:41" ht="57" x14ac:dyDescent="0.25">
      <c r="B41" s="384"/>
      <c r="C41" s="386"/>
      <c r="D41" s="392"/>
      <c r="E41" s="375"/>
      <c r="F41" s="375"/>
      <c r="G41" s="375"/>
      <c r="H41" s="375"/>
      <c r="I41" s="390"/>
      <c r="J41" s="375"/>
      <c r="K41" s="375"/>
      <c r="L41" s="375" t="e">
        <f>VLOOKUP(M41,'[1]PARÁMETROS RIESGOS GESTIÓN'!D46:F51,3,TRUE)</f>
        <v>#N/A</v>
      </c>
      <c r="M41" s="375">
        <f t="shared" si="0"/>
        <v>100</v>
      </c>
      <c r="N41" s="410"/>
      <c r="O41" s="375">
        <f t="shared" si="1"/>
        <v>0</v>
      </c>
      <c r="P41" s="375">
        <f t="shared" si="27"/>
        <v>1000</v>
      </c>
      <c r="Q41" s="388" t="e">
        <f>VLOOKUP(P41,'[1]Zona de riesgo'!B46:C70,2)</f>
        <v>#N/A</v>
      </c>
      <c r="R41" s="178" t="s">
        <v>514</v>
      </c>
      <c r="S41" s="155" t="s">
        <v>424</v>
      </c>
      <c r="T41" s="130"/>
      <c r="U41" s="130" t="s">
        <v>14</v>
      </c>
      <c r="V41" s="190">
        <f t="shared" si="5"/>
        <v>25</v>
      </c>
      <c r="W41" s="130" t="s">
        <v>9</v>
      </c>
      <c r="X41" s="190">
        <f t="shared" si="3"/>
        <v>15</v>
      </c>
      <c r="Y41" s="191">
        <f t="shared" si="6"/>
        <v>40</v>
      </c>
      <c r="Z41" s="130" t="s">
        <v>19</v>
      </c>
      <c r="AA41" s="130" t="s">
        <v>23</v>
      </c>
      <c r="AB41" s="130" t="s">
        <v>425</v>
      </c>
      <c r="AC41" s="191">
        <f>IF(U41="preventivo",(AC40-(AC40*Y41/100)),IF(U41="detectivo",(AC40-(AC40*Y41/100)),IF(U41="Correctivo",AC40,AC40)))</f>
        <v>36</v>
      </c>
      <c r="AD41" s="375"/>
      <c r="AE41" s="130">
        <f>IF(U41="Correctivo",(AE40-(AE40*V40/100)),AE40)</f>
        <v>54</v>
      </c>
      <c r="AF41" s="375"/>
      <c r="AG41" s="375"/>
      <c r="AH41" s="388"/>
      <c r="AI41" s="381"/>
      <c r="AJ41" s="443" t="s">
        <v>515</v>
      </c>
      <c r="AK41" s="426"/>
      <c r="AL41" s="445"/>
      <c r="AM41" s="432"/>
      <c r="AN41" s="432"/>
      <c r="AO41" s="432"/>
    </row>
    <row r="42" spans="2:41" ht="21" thickBot="1" x14ac:dyDescent="0.3">
      <c r="B42" s="385"/>
      <c r="C42" s="346"/>
      <c r="D42" s="393"/>
      <c r="E42" s="376"/>
      <c r="F42" s="376"/>
      <c r="G42" s="376"/>
      <c r="H42" s="376"/>
      <c r="I42" s="391"/>
      <c r="J42" s="376"/>
      <c r="K42" s="376"/>
      <c r="L42" s="376" t="e">
        <f>VLOOKUP(M42,'[1]PARÁMETROS RIESGOS GESTIÓN'!D47:F52,3,TRUE)</f>
        <v>#N/A</v>
      </c>
      <c r="M42" s="376">
        <f t="shared" si="0"/>
        <v>100</v>
      </c>
      <c r="N42" s="411"/>
      <c r="O42" s="376">
        <f t="shared" si="1"/>
        <v>0</v>
      </c>
      <c r="P42" s="376">
        <f t="shared" si="27"/>
        <v>1000</v>
      </c>
      <c r="Q42" s="388" t="e">
        <f>VLOOKUP(P42,'[1]Zona de riesgo'!B47:C71,2)</f>
        <v>#N/A</v>
      </c>
      <c r="R42" s="178"/>
      <c r="S42" s="155"/>
      <c r="T42" s="130"/>
      <c r="U42" s="130"/>
      <c r="V42" s="190"/>
      <c r="W42" s="130"/>
      <c r="X42" s="190"/>
      <c r="Y42" s="191"/>
      <c r="Z42" s="130"/>
      <c r="AA42" s="130"/>
      <c r="AB42" s="130"/>
      <c r="AC42" s="191">
        <f>IF(U42="preventivo",(AC41-(AC41*Y42/100)),IF(U42="detectivo",(AC41-(AC41*Y42/100)),IF(U42="Correctivo",AC41,AC41)))</f>
        <v>36</v>
      </c>
      <c r="AD42" s="376"/>
      <c r="AE42" s="130">
        <f>IF(U42="Correctivo",(AE41-(AE41*V41/100)),AE41)</f>
        <v>54</v>
      </c>
      <c r="AF42" s="376"/>
      <c r="AG42" s="376"/>
      <c r="AH42" s="388"/>
      <c r="AI42" s="382"/>
      <c r="AJ42" s="415"/>
      <c r="AK42" s="427"/>
      <c r="AL42" s="446"/>
      <c r="AM42" s="433"/>
      <c r="AN42" s="433"/>
      <c r="AO42" s="433"/>
    </row>
    <row r="43" spans="2:41" ht="43.5" thickBot="1" x14ac:dyDescent="0.3">
      <c r="B43" s="383">
        <v>13</v>
      </c>
      <c r="C43" s="345" t="s">
        <v>516</v>
      </c>
      <c r="D43" s="345" t="s">
        <v>380</v>
      </c>
      <c r="E43" s="374" t="s">
        <v>442</v>
      </c>
      <c r="F43" s="374" t="s">
        <v>517</v>
      </c>
      <c r="G43" s="374" t="s">
        <v>419</v>
      </c>
      <c r="H43" s="374" t="s">
        <v>518</v>
      </c>
      <c r="I43" s="389" t="s">
        <v>519</v>
      </c>
      <c r="J43" s="374" t="s">
        <v>520</v>
      </c>
      <c r="K43" s="374">
        <v>1</v>
      </c>
      <c r="L43" s="374" t="str">
        <f>VLOOKUP(M43,'[1]PARÁMETROS RIESGOS GESTIÓN'!$D$12:$F$17,3,0)</f>
        <v>Muy Baja</v>
      </c>
      <c r="M43" s="374">
        <f t="shared" ref="M43" si="48">IF(K43&lt;=2,20,IF(K43&lt;=24,40,IF(K43&lt;=500,60,IF(K43&lt;="5000",80,100))))</f>
        <v>20</v>
      </c>
      <c r="N43" s="434" t="s">
        <v>83</v>
      </c>
      <c r="O43" s="374">
        <f t="shared" si="1"/>
        <v>40</v>
      </c>
      <c r="P43" s="374">
        <f>VALUE(_xlfn.CONCAT(M43,O43))</f>
        <v>2040</v>
      </c>
      <c r="Q43" s="387" t="str">
        <f>VLOOKUP(P43,'[1]Zona de riesgo'!$B$12:$C$36,2,0)</f>
        <v>Baja</v>
      </c>
      <c r="R43" s="202" t="s">
        <v>521</v>
      </c>
      <c r="S43" s="155" t="s">
        <v>436</v>
      </c>
      <c r="T43" s="130"/>
      <c r="U43" s="130" t="s">
        <v>14</v>
      </c>
      <c r="V43" s="190">
        <f t="shared" si="5"/>
        <v>25</v>
      </c>
      <c r="W43" s="130" t="s">
        <v>9</v>
      </c>
      <c r="X43" s="190">
        <f t="shared" si="3"/>
        <v>15</v>
      </c>
      <c r="Y43" s="191">
        <f t="shared" si="6"/>
        <v>40</v>
      </c>
      <c r="Z43" s="130" t="s">
        <v>19</v>
      </c>
      <c r="AA43" s="130" t="s">
        <v>22</v>
      </c>
      <c r="AB43" s="130" t="s">
        <v>425</v>
      </c>
      <c r="AC43" s="191">
        <f>IF(U43="Correctivo",M43,(M43-(M43*Y43)/100))</f>
        <v>12</v>
      </c>
      <c r="AD43" s="374" t="str">
        <f t="shared" ref="AD43" si="49">IF(AC45&gt;80,"Muy Alta",IF(AC45&gt;60,"Alta",IF(AC45&gt;40,"Media",IF(AC45&gt;20,"Baja","Muy Baja"))))</f>
        <v>Muy Baja</v>
      </c>
      <c r="AE43" s="130">
        <f>IF(U43="Correctivo",(O43-(O43*V43)/100),O43)</f>
        <v>40</v>
      </c>
      <c r="AF43" s="374" t="str">
        <f t="shared" ref="AF43" si="50">IF(AE45&gt;80,"Catastrófico",IF(AE45&gt;60,"Mayor",IF(AE45&gt;40,"Moderado",IF(AE45&gt;20,"Menor","Leve"))))</f>
        <v>Menor</v>
      </c>
      <c r="AG43" s="374" t="str">
        <f>CONCATENATE(AD43,AF43)</f>
        <v>Muy BajaMenor</v>
      </c>
      <c r="AH43" s="387" t="str">
        <f>VLOOKUP(AG43,'[1]RIESGO RESIDUAL'!$A$1:$B$25,2,0)</f>
        <v>Baja</v>
      </c>
      <c r="AI43" s="380" t="str">
        <f t="shared" ref="AI43" si="51">IF(AH43="Baja","Aceptar-Asumir","Reducir-Mitigar")</f>
        <v>Aceptar-Asumir</v>
      </c>
      <c r="AJ43" s="437" t="s">
        <v>522</v>
      </c>
      <c r="AK43" s="437" t="s">
        <v>523</v>
      </c>
      <c r="AL43" s="440">
        <v>44742</v>
      </c>
      <c r="AM43" s="440">
        <v>44864</v>
      </c>
      <c r="AN43" s="437" t="s">
        <v>524</v>
      </c>
      <c r="AO43" s="437" t="s">
        <v>525</v>
      </c>
    </row>
    <row r="44" spans="2:41" ht="29.25" thickBot="1" x14ac:dyDescent="0.3">
      <c r="B44" s="384"/>
      <c r="C44" s="386"/>
      <c r="D44" s="392"/>
      <c r="E44" s="375"/>
      <c r="F44" s="375"/>
      <c r="G44" s="375"/>
      <c r="H44" s="375"/>
      <c r="I44" s="390"/>
      <c r="J44" s="375"/>
      <c r="K44" s="375"/>
      <c r="L44" s="375" t="e">
        <f>VLOOKUP(M44,'[1]PARÁMETROS RIESGOS GESTIÓN'!D49:F54,3,TRUE)</f>
        <v>#N/A</v>
      </c>
      <c r="M44" s="375">
        <f t="shared" si="0"/>
        <v>100</v>
      </c>
      <c r="N44" s="435"/>
      <c r="O44" s="375">
        <f t="shared" si="1"/>
        <v>0</v>
      </c>
      <c r="P44" s="375">
        <f t="shared" si="27"/>
        <v>1000</v>
      </c>
      <c r="Q44" s="388" t="e">
        <f>VLOOKUP(P44,'[1]Zona de riesgo'!B49:C73,2)</f>
        <v>#N/A</v>
      </c>
      <c r="R44" s="203" t="s">
        <v>526</v>
      </c>
      <c r="S44" s="155"/>
      <c r="T44" s="130"/>
      <c r="U44" s="130"/>
      <c r="V44" s="190"/>
      <c r="W44" s="130"/>
      <c r="X44" s="190"/>
      <c r="Y44" s="191"/>
      <c r="Z44" s="130"/>
      <c r="AA44" s="130"/>
      <c r="AB44" s="130"/>
      <c r="AC44" s="191">
        <f>IF(U44="preventivo",(AC43-(AC43*Y44/100)),IF(U44="detectivo",(AC43-(AC43*Y44/100)),IF(U44="Correctivo",AC43,AC43)))</f>
        <v>12</v>
      </c>
      <c r="AD44" s="375"/>
      <c r="AE44" s="130">
        <f>IF(U44="Correctivo",(AE43-(AE43*V43/100)),AE43)</f>
        <v>40</v>
      </c>
      <c r="AF44" s="375"/>
      <c r="AG44" s="375"/>
      <c r="AH44" s="388"/>
      <c r="AI44" s="381"/>
      <c r="AJ44" s="438"/>
      <c r="AK44" s="438"/>
      <c r="AL44" s="441"/>
      <c r="AM44" s="441"/>
      <c r="AN44" s="438"/>
      <c r="AO44" s="438"/>
    </row>
    <row r="45" spans="2:41" ht="15" customHeight="1" thickBot="1" x14ac:dyDescent="0.3">
      <c r="B45" s="385"/>
      <c r="C45" s="346"/>
      <c r="D45" s="393"/>
      <c r="E45" s="376"/>
      <c r="F45" s="376"/>
      <c r="G45" s="376"/>
      <c r="H45" s="376"/>
      <c r="I45" s="391"/>
      <c r="J45" s="376"/>
      <c r="K45" s="375"/>
      <c r="L45" s="376" t="e">
        <f>VLOOKUP(M45,'[1]PARÁMETROS RIESGOS GESTIÓN'!D50:F55,3,TRUE)</f>
        <v>#N/A</v>
      </c>
      <c r="M45" s="376">
        <f t="shared" si="0"/>
        <v>100</v>
      </c>
      <c r="N45" s="436"/>
      <c r="O45" s="376">
        <f t="shared" si="1"/>
        <v>0</v>
      </c>
      <c r="P45" s="376">
        <f t="shared" si="27"/>
        <v>1000</v>
      </c>
      <c r="Q45" s="388" t="e">
        <f>VLOOKUP(P45,'[1]Zona de riesgo'!B50:C74,2)</f>
        <v>#N/A</v>
      </c>
      <c r="R45" s="178"/>
      <c r="S45" s="155"/>
      <c r="T45" s="130"/>
      <c r="U45" s="130"/>
      <c r="V45" s="190"/>
      <c r="W45" s="130"/>
      <c r="X45" s="190"/>
      <c r="Y45" s="191"/>
      <c r="Z45" s="130"/>
      <c r="AA45" s="130"/>
      <c r="AB45" s="130"/>
      <c r="AC45" s="191">
        <f>IF(U45="preventivo",(AC44-(AC44*Y45/100)),IF(U45="detectivo",(AC44-(AC44*Y45/100)),IF(U45="Correctivo",AC44,AC44)))</f>
        <v>12</v>
      </c>
      <c r="AD45" s="376"/>
      <c r="AE45" s="130">
        <f>IF(U45="Correctivo",(AE44-(AE44*V44/100)),AE44)</f>
        <v>40</v>
      </c>
      <c r="AF45" s="376"/>
      <c r="AG45" s="376"/>
      <c r="AH45" s="388"/>
      <c r="AI45" s="382"/>
      <c r="AJ45" s="439"/>
      <c r="AK45" s="439"/>
      <c r="AL45" s="442"/>
      <c r="AM45" s="442"/>
      <c r="AN45" s="439"/>
      <c r="AO45" s="439"/>
    </row>
  </sheetData>
  <sheetProtection formatCells="0" formatColumns="0" formatRows="0" insertColumns="0" insertHyperlinks="0" deleteColumns="0" deleteRows="0" sort="0" autoFilter="0" pivotTables="0"/>
  <mergeCells count="383">
    <mergeCell ref="I43:I45"/>
    <mergeCell ref="J43:J45"/>
    <mergeCell ref="K43:K45"/>
    <mergeCell ref="L43:L45"/>
    <mergeCell ref="M43:M45"/>
    <mergeCell ref="N43:N45"/>
    <mergeCell ref="AI40:AI42"/>
    <mergeCell ref="AK40:AK42"/>
    <mergeCell ref="AL40:AL42"/>
    <mergeCell ref="AM40:AM42"/>
    <mergeCell ref="AN43:AN45"/>
    <mergeCell ref="AO43:AO45"/>
    <mergeCell ref="AD43:AD45"/>
    <mergeCell ref="AF43:AF45"/>
    <mergeCell ref="AG43:AG45"/>
    <mergeCell ref="AH43:AH45"/>
    <mergeCell ref="AI43:AI45"/>
    <mergeCell ref="AJ43:AJ45"/>
    <mergeCell ref="AK43:AK45"/>
    <mergeCell ref="AL43:AL45"/>
    <mergeCell ref="AM43:AM45"/>
    <mergeCell ref="O43:O45"/>
    <mergeCell ref="P43:P45"/>
    <mergeCell ref="Q43:Q45"/>
    <mergeCell ref="B43:B45"/>
    <mergeCell ref="C43:C45"/>
    <mergeCell ref="D43:D45"/>
    <mergeCell ref="E43:E45"/>
    <mergeCell ref="F43:F45"/>
    <mergeCell ref="G43:G45"/>
    <mergeCell ref="H43:H45"/>
    <mergeCell ref="AG40:AG42"/>
    <mergeCell ref="AH40:AH42"/>
    <mergeCell ref="N40:N42"/>
    <mergeCell ref="O40:O42"/>
    <mergeCell ref="P40:P42"/>
    <mergeCell ref="Q40:Q42"/>
    <mergeCell ref="AD40:AD42"/>
    <mergeCell ref="AF40:AF42"/>
    <mergeCell ref="H40:H42"/>
    <mergeCell ref="I40:I42"/>
    <mergeCell ref="J40:J42"/>
    <mergeCell ref="K40:K42"/>
    <mergeCell ref="L40:L42"/>
    <mergeCell ref="M40:M42"/>
    <mergeCell ref="B40:B42"/>
    <mergeCell ref="C40:C42"/>
    <mergeCell ref="D40:D42"/>
    <mergeCell ref="E40:E42"/>
    <mergeCell ref="F40:F42"/>
    <mergeCell ref="G40:G42"/>
    <mergeCell ref="AJ37:AJ39"/>
    <mergeCell ref="AK37:AK39"/>
    <mergeCell ref="AL37:AL39"/>
    <mergeCell ref="AM37:AM39"/>
    <mergeCell ref="AN37:AN39"/>
    <mergeCell ref="AO37:AO39"/>
    <mergeCell ref="Q37:Q39"/>
    <mergeCell ref="AD37:AD39"/>
    <mergeCell ref="AF37:AF39"/>
    <mergeCell ref="AG37:AG39"/>
    <mergeCell ref="AH37:AH39"/>
    <mergeCell ref="AI37:AI39"/>
    <mergeCell ref="K37:K39"/>
    <mergeCell ref="L37:L39"/>
    <mergeCell ref="M37:M39"/>
    <mergeCell ref="N37:N39"/>
    <mergeCell ref="O37:O39"/>
    <mergeCell ref="P37:P39"/>
    <mergeCell ref="AN40:AN42"/>
    <mergeCell ref="AO40:AO42"/>
    <mergeCell ref="AJ41:AJ42"/>
    <mergeCell ref="AJ34:AJ36"/>
    <mergeCell ref="AK34:AK36"/>
    <mergeCell ref="AL34:AL36"/>
    <mergeCell ref="AM34:AM36"/>
    <mergeCell ref="O34:O36"/>
    <mergeCell ref="P34:P36"/>
    <mergeCell ref="Q34:Q36"/>
    <mergeCell ref="AD34:AD36"/>
    <mergeCell ref="AF34:AF36"/>
    <mergeCell ref="AG34:AG36"/>
    <mergeCell ref="B37:B39"/>
    <mergeCell ref="C37:C39"/>
    <mergeCell ref="D37:D39"/>
    <mergeCell ref="E37:E39"/>
    <mergeCell ref="F37:F39"/>
    <mergeCell ref="G37:G39"/>
    <mergeCell ref="H37:H39"/>
    <mergeCell ref="I37:I39"/>
    <mergeCell ref="J37:J39"/>
    <mergeCell ref="N34:N36"/>
    <mergeCell ref="AM31:AM33"/>
    <mergeCell ref="AN31:AN33"/>
    <mergeCell ref="AO31:AO33"/>
    <mergeCell ref="B34:B36"/>
    <mergeCell ref="C34:C36"/>
    <mergeCell ref="D34:D36"/>
    <mergeCell ref="E34:E36"/>
    <mergeCell ref="F34:F36"/>
    <mergeCell ref="G34:G36"/>
    <mergeCell ref="H34:H36"/>
    <mergeCell ref="AG31:AG33"/>
    <mergeCell ref="AH31:AH33"/>
    <mergeCell ref="AI31:AI33"/>
    <mergeCell ref="AJ31:AJ33"/>
    <mergeCell ref="AK31:AK33"/>
    <mergeCell ref="AL31:AL33"/>
    <mergeCell ref="N31:N33"/>
    <mergeCell ref="O31:O33"/>
    <mergeCell ref="P31:P33"/>
    <mergeCell ref="Q31:Q33"/>
    <mergeCell ref="AN34:AN36"/>
    <mergeCell ref="AH34:AH36"/>
    <mergeCell ref="AI34:AI36"/>
    <mergeCell ref="B31:B33"/>
    <mergeCell ref="C31:C33"/>
    <mergeCell ref="D31:D33"/>
    <mergeCell ref="E31:E33"/>
    <mergeCell ref="F31:F33"/>
    <mergeCell ref="G31:G33"/>
    <mergeCell ref="K34:K36"/>
    <mergeCell ref="L34:L36"/>
    <mergeCell ref="M34:M36"/>
    <mergeCell ref="I34:I36"/>
    <mergeCell ref="J34:J36"/>
    <mergeCell ref="Q28:Q30"/>
    <mergeCell ref="AD28:AD30"/>
    <mergeCell ref="AF28:AF30"/>
    <mergeCell ref="AG28:AG30"/>
    <mergeCell ref="AH28:AH30"/>
    <mergeCell ref="AI28:AI30"/>
    <mergeCell ref="AD31:AD33"/>
    <mergeCell ref="AF31:AF33"/>
    <mergeCell ref="H31:H33"/>
    <mergeCell ref="I31:I33"/>
    <mergeCell ref="J31:J33"/>
    <mergeCell ref="K31:K33"/>
    <mergeCell ref="L31:L33"/>
    <mergeCell ref="M31:M33"/>
    <mergeCell ref="AO25:AO27"/>
    <mergeCell ref="B28:B30"/>
    <mergeCell ref="C28:C30"/>
    <mergeCell ref="D28:D30"/>
    <mergeCell ref="E28:E30"/>
    <mergeCell ref="F28:F30"/>
    <mergeCell ref="G28:G30"/>
    <mergeCell ref="H28:H30"/>
    <mergeCell ref="I28:I30"/>
    <mergeCell ref="J28:J30"/>
    <mergeCell ref="AG25:AG27"/>
    <mergeCell ref="AH25:AH27"/>
    <mergeCell ref="AI25:AI27"/>
    <mergeCell ref="AL25:AL27"/>
    <mergeCell ref="AM25:AM27"/>
    <mergeCell ref="AN25:AN27"/>
    <mergeCell ref="N25:N27"/>
    <mergeCell ref="O25:O27"/>
    <mergeCell ref="AJ28:AJ30"/>
    <mergeCell ref="AK28:AK30"/>
    <mergeCell ref="AL28:AL30"/>
    <mergeCell ref="AM28:AM30"/>
    <mergeCell ref="AN28:AN30"/>
    <mergeCell ref="AO28:AO30"/>
    <mergeCell ref="K25:K27"/>
    <mergeCell ref="L25:L27"/>
    <mergeCell ref="M25:M27"/>
    <mergeCell ref="K28:K30"/>
    <mergeCell ref="L28:L30"/>
    <mergeCell ref="M28:M30"/>
    <mergeCell ref="N28:N30"/>
    <mergeCell ref="O28:O30"/>
    <mergeCell ref="P28:P30"/>
    <mergeCell ref="B25:B27"/>
    <mergeCell ref="C25:C27"/>
    <mergeCell ref="D25:D27"/>
    <mergeCell ref="E25:E27"/>
    <mergeCell ref="F25:F27"/>
    <mergeCell ref="G25:G27"/>
    <mergeCell ref="AF22:AF24"/>
    <mergeCell ref="AG22:AG24"/>
    <mergeCell ref="AH22:AH24"/>
    <mergeCell ref="M22:M24"/>
    <mergeCell ref="N22:N24"/>
    <mergeCell ref="O22:O24"/>
    <mergeCell ref="P22:P24"/>
    <mergeCell ref="Q22:Q24"/>
    <mergeCell ref="AD22:AD24"/>
    <mergeCell ref="G22:G24"/>
    <mergeCell ref="H22:H24"/>
    <mergeCell ref="P25:P27"/>
    <mergeCell ref="Q25:Q27"/>
    <mergeCell ref="AD25:AD27"/>
    <mergeCell ref="AF25:AF27"/>
    <mergeCell ref="H25:H27"/>
    <mergeCell ref="I25:I27"/>
    <mergeCell ref="J25:J27"/>
    <mergeCell ref="AJ19:AJ21"/>
    <mergeCell ref="AK19:AK21"/>
    <mergeCell ref="AL19:AL21"/>
    <mergeCell ref="AM19:AM21"/>
    <mergeCell ref="AO19:AO21"/>
    <mergeCell ref="AH19:AH21"/>
    <mergeCell ref="AI19:AI21"/>
    <mergeCell ref="AL22:AL24"/>
    <mergeCell ref="AM22:AM24"/>
    <mergeCell ref="AN22:AN24"/>
    <mergeCell ref="AO22:AO24"/>
    <mergeCell ref="AI22:AI24"/>
    <mergeCell ref="AJ22:AJ24"/>
    <mergeCell ref="AK22:AK24"/>
    <mergeCell ref="AF19:AF21"/>
    <mergeCell ref="AG19:AG21"/>
    <mergeCell ref="K19:K21"/>
    <mergeCell ref="L19:L21"/>
    <mergeCell ref="M19:M21"/>
    <mergeCell ref="N19:N21"/>
    <mergeCell ref="O19:O21"/>
    <mergeCell ref="P19:P21"/>
    <mergeCell ref="I22:I24"/>
    <mergeCell ref="J22:J24"/>
    <mergeCell ref="K22:K24"/>
    <mergeCell ref="L22:L24"/>
    <mergeCell ref="J16:J18"/>
    <mergeCell ref="K16:K18"/>
    <mergeCell ref="B22:B24"/>
    <mergeCell ref="C22:C24"/>
    <mergeCell ref="D22:D24"/>
    <mergeCell ref="E22:E24"/>
    <mergeCell ref="F22:F24"/>
    <mergeCell ref="Q19:Q21"/>
    <mergeCell ref="AD19:AD21"/>
    <mergeCell ref="B19:B21"/>
    <mergeCell ref="C19:C21"/>
    <mergeCell ref="D19:D21"/>
    <mergeCell ref="E19:E21"/>
    <mergeCell ref="F19:F21"/>
    <mergeCell ref="G19:G21"/>
    <mergeCell ref="H19:H21"/>
    <mergeCell ref="I19:I21"/>
    <mergeCell ref="J19:J21"/>
    <mergeCell ref="AO13:AO15"/>
    <mergeCell ref="B16:B18"/>
    <mergeCell ref="C16:C18"/>
    <mergeCell ref="D16:D18"/>
    <mergeCell ref="E16:E18"/>
    <mergeCell ref="F16:F18"/>
    <mergeCell ref="G16:G18"/>
    <mergeCell ref="H16:H18"/>
    <mergeCell ref="I16:I18"/>
    <mergeCell ref="AH13:AH15"/>
    <mergeCell ref="AI13:AI15"/>
    <mergeCell ref="AJ13:AJ15"/>
    <mergeCell ref="AK13:AK15"/>
    <mergeCell ref="AL13:AL15"/>
    <mergeCell ref="AM13:AM15"/>
    <mergeCell ref="O13:O15"/>
    <mergeCell ref="P13:P15"/>
    <mergeCell ref="Q13:Q15"/>
    <mergeCell ref="AD13:AD15"/>
    <mergeCell ref="AO16:AO18"/>
    <mergeCell ref="AI16:AI18"/>
    <mergeCell ref="AJ16:AJ18"/>
    <mergeCell ref="AK16:AK18"/>
    <mergeCell ref="AL16:AL18"/>
    <mergeCell ref="AM10:AM12"/>
    <mergeCell ref="K10:K12"/>
    <mergeCell ref="L10:L12"/>
    <mergeCell ref="M10:M12"/>
    <mergeCell ref="L16:L18"/>
    <mergeCell ref="M16:M18"/>
    <mergeCell ref="N16:N18"/>
    <mergeCell ref="O16:O18"/>
    <mergeCell ref="AN13:AN15"/>
    <mergeCell ref="AM16:AM18"/>
    <mergeCell ref="AN16:AN18"/>
    <mergeCell ref="P16:P18"/>
    <mergeCell ref="Q16:Q18"/>
    <mergeCell ref="AD16:AD18"/>
    <mergeCell ref="AF16:AF18"/>
    <mergeCell ref="AG16:AG18"/>
    <mergeCell ref="AH16:AH18"/>
    <mergeCell ref="H10:H12"/>
    <mergeCell ref="I10:I12"/>
    <mergeCell ref="J10:J12"/>
    <mergeCell ref="AF13:AF15"/>
    <mergeCell ref="AG13:AG15"/>
    <mergeCell ref="I13:I15"/>
    <mergeCell ref="J13:J15"/>
    <mergeCell ref="K13:K15"/>
    <mergeCell ref="L13:L15"/>
    <mergeCell ref="M13:M15"/>
    <mergeCell ref="N13:N15"/>
    <mergeCell ref="B7:B9"/>
    <mergeCell ref="C7:C9"/>
    <mergeCell ref="D7:D9"/>
    <mergeCell ref="AN10:AN12"/>
    <mergeCell ref="AO10:AO12"/>
    <mergeCell ref="B13:B15"/>
    <mergeCell ref="C13:C15"/>
    <mergeCell ref="D13:D15"/>
    <mergeCell ref="E13:E15"/>
    <mergeCell ref="F13:F15"/>
    <mergeCell ref="G13:G15"/>
    <mergeCell ref="H13:H15"/>
    <mergeCell ref="AG10:AG12"/>
    <mergeCell ref="AH10:AH12"/>
    <mergeCell ref="AI10:AI12"/>
    <mergeCell ref="AJ10:AJ12"/>
    <mergeCell ref="AK10:AK12"/>
    <mergeCell ref="AL10:AL12"/>
    <mergeCell ref="N10:N12"/>
    <mergeCell ref="O10:O12"/>
    <mergeCell ref="P10:P12"/>
    <mergeCell ref="Q10:Q12"/>
    <mergeCell ref="AD10:AD12"/>
    <mergeCell ref="AF10:AF12"/>
    <mergeCell ref="AL7:AL9"/>
    <mergeCell ref="AM7:AM9"/>
    <mergeCell ref="AN7:AN9"/>
    <mergeCell ref="AO7:AO9"/>
    <mergeCell ref="AI7:AI9"/>
    <mergeCell ref="AJ7:AJ9"/>
    <mergeCell ref="AK7:AK9"/>
    <mergeCell ref="B10:B12"/>
    <mergeCell ref="C10:C12"/>
    <mergeCell ref="D10:D12"/>
    <mergeCell ref="E10:E12"/>
    <mergeCell ref="F10:F12"/>
    <mergeCell ref="G10:G12"/>
    <mergeCell ref="AF7:AF9"/>
    <mergeCell ref="AG7:AG9"/>
    <mergeCell ref="AH7:AH9"/>
    <mergeCell ref="M7:M9"/>
    <mergeCell ref="N7:N9"/>
    <mergeCell ref="O7:O9"/>
    <mergeCell ref="P7:P9"/>
    <mergeCell ref="Q7:Q9"/>
    <mergeCell ref="AD7:AD9"/>
    <mergeCell ref="G7:G9"/>
    <mergeCell ref="H7:H9"/>
    <mergeCell ref="E7:E9"/>
    <mergeCell ref="F7:F9"/>
    <mergeCell ref="AE4:AE5"/>
    <mergeCell ref="AF4:AF5"/>
    <mergeCell ref="AG4:AG5"/>
    <mergeCell ref="AH4:AH5"/>
    <mergeCell ref="P4:Q5"/>
    <mergeCell ref="R4:R5"/>
    <mergeCell ref="S4:T4"/>
    <mergeCell ref="U4:AB4"/>
    <mergeCell ref="AC4:AC5"/>
    <mergeCell ref="AD4:AD5"/>
    <mergeCell ref="H4:H5"/>
    <mergeCell ref="I4:I5"/>
    <mergeCell ref="J4:J5"/>
    <mergeCell ref="K4:K5"/>
    <mergeCell ref="L4:M5"/>
    <mergeCell ref="N4:O5"/>
    <mergeCell ref="I7:I9"/>
    <mergeCell ref="J7:J9"/>
    <mergeCell ref="K7:K9"/>
    <mergeCell ref="L7:L9"/>
    <mergeCell ref="B4:B5"/>
    <mergeCell ref="C4:C5"/>
    <mergeCell ref="D4:D5"/>
    <mergeCell ref="E4:E5"/>
    <mergeCell ref="F4:F5"/>
    <mergeCell ref="G4:G5"/>
    <mergeCell ref="H1:K1"/>
    <mergeCell ref="M1:T1"/>
    <mergeCell ref="E2:AJ2"/>
    <mergeCell ref="B3:K3"/>
    <mergeCell ref="L3:Q3"/>
    <mergeCell ref="R3:AH3"/>
    <mergeCell ref="AI3:AO3"/>
    <mergeCell ref="AK4:AK5"/>
    <mergeCell ref="AL4:AL5"/>
    <mergeCell ref="AM4:AM5"/>
    <mergeCell ref="AN4:AN5"/>
    <mergeCell ref="AO4:AO5"/>
    <mergeCell ref="AI4:AI5"/>
    <mergeCell ref="AJ4:AJ5"/>
  </mergeCells>
  <conditionalFormatting sqref="L7:L45">
    <cfRule type="colorScale" priority="62">
      <colorScale>
        <cfvo type="min"/>
        <cfvo type="percentile" val="50"/>
        <cfvo type="max"/>
        <color rgb="FFF8696B"/>
        <color rgb="FFFFEB84"/>
        <color rgb="FF63BE7B"/>
      </colorScale>
    </cfRule>
    <cfRule type="containsText" dxfId="65" priority="51" operator="containsText" text="Muy Baja">
      <formula>NOT(ISERROR(SEARCH("Muy Baja",L7)))</formula>
    </cfRule>
    <cfRule type="containsText" dxfId="64" priority="50" operator="containsText" text="Baja">
      <formula>NOT(ISERROR(SEARCH("Baja",L7)))</formula>
    </cfRule>
    <cfRule type="containsText" dxfId="63" priority="49" operator="containsText" text="Media">
      <formula>NOT(ISERROR(SEARCH("Media",L7)))</formula>
    </cfRule>
    <cfRule type="containsText" dxfId="62" priority="48" operator="containsText" text="Alta">
      <formula>NOT(ISERROR(SEARCH("Alta",L7)))</formula>
    </cfRule>
    <cfRule type="containsText" dxfId="61" priority="47" operator="containsText" text="Muy Alta">
      <formula>NOT(ISERROR(SEARCH("Muy Alta",L7)))</formula>
    </cfRule>
  </conditionalFormatting>
  <conditionalFormatting sqref="N7:N12">
    <cfRule type="containsText" dxfId="60" priority="42" operator="containsText" text="Mayor">
      <formula>NOT(ISERROR(SEARCH("Mayor",N7)))</formula>
    </cfRule>
    <cfRule type="containsText" dxfId="59" priority="41" operator="containsText" text="Catastrófico">
      <formula>NOT(ISERROR(SEARCH("Catastrófico",N7)))</formula>
    </cfRule>
    <cfRule type="containsText" dxfId="58" priority="45" operator="containsText" text="Leve">
      <formula>NOT(ISERROR(SEARCH("Leve",N7)))</formula>
    </cfRule>
    <cfRule type="containsText" dxfId="57" priority="44" operator="containsText" text="Menor">
      <formula>NOT(ISERROR(SEARCH("Menor",N7)))</formula>
    </cfRule>
    <cfRule type="containsText" dxfId="56" priority="43" operator="containsText" text="Moderado">
      <formula>NOT(ISERROR(SEARCH("Moderado",N7)))</formula>
    </cfRule>
  </conditionalFormatting>
  <conditionalFormatting sqref="N13:N18">
    <cfRule type="containsText" dxfId="55" priority="24" operator="containsText" text="Moderado">
      <formula>NOT(ISERROR(SEARCH(("Moderado"),(N13))))</formula>
    </cfRule>
    <cfRule type="containsText" dxfId="54" priority="23" operator="containsText" text="Mayor">
      <formula>NOT(ISERROR(SEARCH(("Mayor"),(N13))))</formula>
    </cfRule>
    <cfRule type="containsText" dxfId="53" priority="25" operator="containsText" text="Menor">
      <formula>NOT(ISERROR(SEARCH(("Menor"),(N13))))</formula>
    </cfRule>
    <cfRule type="containsText" dxfId="52" priority="22" operator="containsText" text="Catastrófico">
      <formula>NOT(ISERROR(SEARCH(("Catastrófico"),(N13))))</formula>
    </cfRule>
    <cfRule type="containsText" dxfId="51" priority="26" operator="containsText" text="Leve">
      <formula>NOT(ISERROR(SEARCH(("Leve"),(N13))))</formula>
    </cfRule>
  </conditionalFormatting>
  <conditionalFormatting sqref="N19:N27">
    <cfRule type="containsText" dxfId="50" priority="7" operator="containsText" text="Mayor">
      <formula>NOT(ISERROR(SEARCH("Mayor",N19)))</formula>
    </cfRule>
    <cfRule type="containsText" dxfId="49" priority="8" operator="containsText" text="Moderado">
      <formula>NOT(ISERROR(SEARCH("Moderado",N19)))</formula>
    </cfRule>
    <cfRule type="containsText" dxfId="48" priority="10" operator="containsText" text="Leve">
      <formula>NOT(ISERROR(SEARCH("Leve",N19)))</formula>
    </cfRule>
    <cfRule type="containsText" dxfId="47" priority="9" operator="containsText" text="Menor">
      <formula>NOT(ISERROR(SEARCH("Menor",N19)))</formula>
    </cfRule>
    <cfRule type="containsText" dxfId="46" priority="6" operator="containsText" text="Catastrófico">
      <formula>NOT(ISERROR(SEARCH("Catastrófico",N19)))</formula>
    </cfRule>
  </conditionalFormatting>
  <conditionalFormatting sqref="Q7 Q10 Q13 Q16 Q19 Q22 Q25 Q28 Q31 Q34 Q37 Q40 Q43">
    <cfRule type="containsText" dxfId="45" priority="52" operator="containsText" text="Extremo">
      <formula>NOT(ISERROR(SEARCH("Extremo",Q7)))</formula>
    </cfRule>
    <cfRule type="containsText" dxfId="44" priority="53" operator="containsText" text="Alto">
      <formula>NOT(ISERROR(SEARCH("Alto",Q7)))</formula>
    </cfRule>
    <cfRule type="containsText" dxfId="43" priority="54" operator="containsText" text="Moderado">
      <formula>NOT(ISERROR(SEARCH("Moderado",Q7)))</formula>
    </cfRule>
    <cfRule type="containsText" dxfId="42" priority="55" operator="containsText" text="Baja">
      <formula>NOT(ISERROR(SEARCH("Baja",Q7)))</formula>
    </cfRule>
    <cfRule type="cellIs" dxfId="41" priority="56" operator="equal">
      <formula>"Bajo"</formula>
    </cfRule>
  </conditionalFormatting>
  <conditionalFormatting sqref="AD7:AD9">
    <cfRule type="colorScale" priority="46">
      <colorScale>
        <cfvo type="min"/>
        <cfvo type="percentile" val="50"/>
        <cfvo type="max"/>
        <color rgb="FFF8696B"/>
        <color rgb="FFFFEB84"/>
        <color rgb="FF63BE7B"/>
      </colorScale>
    </cfRule>
  </conditionalFormatting>
  <conditionalFormatting sqref="AD7:AD45">
    <cfRule type="containsText" dxfId="40" priority="27" operator="containsText" text="Muy Alta">
      <formula>NOT(ISERROR(SEARCH("Muy Alta",AD7)))</formula>
    </cfRule>
    <cfRule type="containsText" dxfId="39" priority="28" operator="containsText" text="Alta">
      <formula>NOT(ISERROR(SEARCH("Alta",AD7)))</formula>
    </cfRule>
    <cfRule type="containsText" dxfId="38" priority="29" operator="containsText" text="Media">
      <formula>NOT(ISERROR(SEARCH("Media",AD7)))</formula>
    </cfRule>
    <cfRule type="containsText" dxfId="37" priority="30" operator="containsText" text="Baja">
      <formula>NOT(ISERROR(SEARCH("Baja",AD7)))</formula>
    </cfRule>
    <cfRule type="containsText" dxfId="36" priority="31" operator="containsText" text="Muy Baja">
      <formula>NOT(ISERROR(SEARCH("Muy Baja",AD7)))</formula>
    </cfRule>
  </conditionalFormatting>
  <conditionalFormatting sqref="AD10:AD45">
    <cfRule type="colorScale" priority="32">
      <colorScale>
        <cfvo type="min"/>
        <cfvo type="percentile" val="50"/>
        <cfvo type="max"/>
        <color rgb="FFF8696B"/>
        <color rgb="FFFFEB84"/>
        <color rgb="FF63BE7B"/>
      </colorScale>
    </cfRule>
  </conditionalFormatting>
  <conditionalFormatting sqref="AF7:AF45">
    <cfRule type="containsText" dxfId="35" priority="36" operator="containsText" text="Menor">
      <formula>NOT(ISERROR(SEARCH("Menor",AF7)))</formula>
    </cfRule>
    <cfRule type="containsText" dxfId="34" priority="37" operator="containsText" text="Leve">
      <formula>NOT(ISERROR(SEARCH("Leve",AF7)))</formula>
    </cfRule>
    <cfRule type="containsText" dxfId="33" priority="33" operator="containsText" text="Catastrófico">
      <formula>NOT(ISERROR(SEARCH("Catastrófico",AF7)))</formula>
    </cfRule>
    <cfRule type="containsText" dxfId="32" priority="34" operator="containsText" text="Mayor">
      <formula>NOT(ISERROR(SEARCH("Mayor",AF7)))</formula>
    </cfRule>
    <cfRule type="containsText" dxfId="31" priority="35" operator="containsText" text="Moderado">
      <formula>NOT(ISERROR(SEARCH("Moderado",AF7)))</formula>
    </cfRule>
  </conditionalFormatting>
  <conditionalFormatting sqref="AH7 AH10 AH13 AH16 AH19 AH22 AH25 AH28 AH31 AH34 AH37 AH40 AH43">
    <cfRule type="containsText" dxfId="30" priority="58" operator="containsText" text="Alto">
      <formula>NOT(ISERROR(SEARCH("Alto",AH7)))</formula>
    </cfRule>
    <cfRule type="containsText" dxfId="29" priority="59" operator="containsText" text="Moderado">
      <formula>NOT(ISERROR(SEARCH("Moderado",AH7)))</formula>
    </cfRule>
    <cfRule type="containsText" dxfId="28" priority="60" operator="containsText" text="Baja">
      <formula>NOT(ISERROR(SEARCH("Baja",AH7)))</formula>
    </cfRule>
    <cfRule type="cellIs" dxfId="27" priority="61" operator="equal">
      <formula>"Bajo"</formula>
    </cfRule>
    <cfRule type="containsText" dxfId="26" priority="57" operator="containsText" text="Extremo">
      <formula>NOT(ISERROR(SEARCH("Extremo",AH7)))</formula>
    </cfRule>
  </conditionalFormatting>
  <conditionalFormatting sqref="AI7">
    <cfRule type="cellIs" dxfId="25" priority="63" stopIfTrue="1" operator="equal">
      <formula>"INACEPTABLE"</formula>
    </cfRule>
    <cfRule type="cellIs" dxfId="24" priority="64" stopIfTrue="1" operator="equal">
      <formula>"IMPORTANTE"</formula>
    </cfRule>
    <cfRule type="cellIs" dxfId="23" priority="65" stopIfTrue="1" operator="equal">
      <formula>"MODERADA"</formula>
    </cfRule>
  </conditionalFormatting>
  <conditionalFormatting sqref="AI10 AI13 AI16 AI19 AI22 AI25 AI28 AI31 AI34 AI37 AI40 AI43">
    <cfRule type="cellIs" dxfId="22" priority="38" stopIfTrue="1" operator="equal">
      <formula>"INACEPTABLE"</formula>
    </cfRule>
    <cfRule type="cellIs" dxfId="21" priority="39" stopIfTrue="1" operator="equal">
      <formula>"IMPORTANTE"</formula>
    </cfRule>
    <cfRule type="cellIs" dxfId="20" priority="40" stopIfTrue="1" operator="equal">
      <formula>"MODERADA"</formula>
    </cfRule>
  </conditionalFormatting>
  <conditionalFormatting sqref="AJ25:AJ27">
    <cfRule type="containsText" dxfId="19" priority="5" operator="containsText" text="Leve">
      <formula>NOT(ISERROR(SEARCH("Leve",AJ25)))</formula>
    </cfRule>
    <cfRule type="containsText" dxfId="18" priority="4" operator="containsText" text="Menor">
      <formula>NOT(ISERROR(SEARCH("Menor",AJ25)))</formula>
    </cfRule>
    <cfRule type="containsText" dxfId="17" priority="3" operator="containsText" text="Moderado">
      <formula>NOT(ISERROR(SEARCH("Moderado",AJ25)))</formula>
    </cfRule>
    <cfRule type="containsText" dxfId="16" priority="2" operator="containsText" text="Mayor">
      <formula>NOT(ISERROR(SEARCH("Mayor",AJ25)))</formula>
    </cfRule>
    <cfRule type="containsText" dxfId="15" priority="1" operator="containsText" text="Catastrófico">
      <formula>NOT(ISERROR(SEARCH("Catastrófico",AJ25)))</formula>
    </cfRule>
  </conditionalFormatting>
  <conditionalFormatting sqref="AL25">
    <cfRule type="containsText" dxfId="14" priority="14" operator="containsText" text="Baja">
      <formula>NOT(ISERROR(SEARCH("Baja",AL25)))</formula>
    </cfRule>
    <cfRule type="containsText" dxfId="13" priority="13" operator="containsText" text="Moderado">
      <formula>NOT(ISERROR(SEARCH("Moderado",AL25)))</formula>
    </cfRule>
    <cfRule type="containsText" dxfId="12" priority="12" operator="containsText" text="Alto">
      <formula>NOT(ISERROR(SEARCH("Alto",AL25)))</formula>
    </cfRule>
    <cfRule type="containsText" dxfId="11" priority="11" operator="containsText" text="Extremo">
      <formula>NOT(ISERROR(SEARCH("Extremo",AL25)))</formula>
    </cfRule>
    <cfRule type="cellIs" dxfId="10" priority="15" operator="equal">
      <formula>"Bajo"</formula>
    </cfRule>
  </conditionalFormatting>
  <conditionalFormatting sqref="AM19">
    <cfRule type="cellIs" dxfId="9" priority="21" stopIfTrue="1" operator="equal">
      <formula>"MODERADA"</formula>
    </cfRule>
    <cfRule type="cellIs" dxfId="8" priority="20" stopIfTrue="1" operator="equal">
      <formula>"IMPORTANTE"</formula>
    </cfRule>
    <cfRule type="cellIs" dxfId="7" priority="19" stopIfTrue="1" operator="equal">
      <formula>"INACEPTABLE"</formula>
    </cfRule>
  </conditionalFormatting>
  <conditionalFormatting sqref="AM25">
    <cfRule type="cellIs" dxfId="6" priority="18" stopIfTrue="1" operator="equal">
      <formula>"MODERADA"</formula>
    </cfRule>
    <cfRule type="cellIs" dxfId="5" priority="17" stopIfTrue="1" operator="equal">
      <formula>"IMPORTANTE"</formula>
    </cfRule>
    <cfRule type="cellIs" dxfId="4" priority="16" stopIfTrue="1" operator="equal">
      <formula>"INACEPTABLE"</formula>
    </cfRule>
  </conditionalFormatting>
  <printOptions horizontalCentered="1" verticalCentered="1"/>
  <pageMargins left="0.19685039370078741" right="0.19685039370078741" top="0.31496062992125984" bottom="0.51181102362204722" header="0.11811023622047245" footer="0.27559055118110237"/>
  <pageSetup paperSize="119" scale="45" orientation="landscape" r:id="rId1"/>
  <headerFooter>
    <oddFooter>&amp;R&amp;"Arial,Normal"&amp;8Código:  1D-PGE-F001
Versión: 8 
Fecha de vigencia: 9 de junio de 2015
Página &amp;Pde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50" zoomScaleNormal="50" workbookViewId="0">
      <selection activeCell="B4" sqref="B4:H8"/>
    </sheetView>
  </sheetViews>
  <sheetFormatPr baseColWidth="10" defaultRowHeight="15" x14ac:dyDescent="0.25"/>
  <cols>
    <col min="2" max="39" width="5.7109375" customWidth="1"/>
    <col min="41" max="46" width="5.7109375" customWidth="1"/>
  </cols>
  <sheetData>
    <row r="1" spans="1:99" x14ac:dyDescent="0.25">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c r="CR1" s="69"/>
      <c r="CS1" s="69"/>
      <c r="CT1" s="69"/>
      <c r="CU1" s="69"/>
    </row>
    <row r="2" spans="1:99" ht="18" customHeight="1" x14ac:dyDescent="0.25">
      <c r="A2" s="69"/>
      <c r="B2" s="532" t="s">
        <v>159</v>
      </c>
      <c r="C2" s="532"/>
      <c r="D2" s="532"/>
      <c r="E2" s="532"/>
      <c r="F2" s="532"/>
      <c r="G2" s="532"/>
      <c r="H2" s="532"/>
      <c r="I2" s="532"/>
      <c r="J2" s="500" t="s">
        <v>2</v>
      </c>
      <c r="K2" s="500"/>
      <c r="L2" s="500"/>
      <c r="M2" s="500"/>
      <c r="N2" s="500"/>
      <c r="O2" s="500"/>
      <c r="P2" s="500"/>
      <c r="Q2" s="500"/>
      <c r="R2" s="500"/>
      <c r="S2" s="500"/>
      <c r="T2" s="500"/>
      <c r="U2" s="500"/>
      <c r="V2" s="500"/>
      <c r="W2" s="500"/>
      <c r="X2" s="500"/>
      <c r="Y2" s="500"/>
      <c r="Z2" s="500"/>
      <c r="AA2" s="500"/>
      <c r="AB2" s="500"/>
      <c r="AC2" s="500"/>
      <c r="AD2" s="500"/>
      <c r="AE2" s="500"/>
      <c r="AF2" s="500"/>
      <c r="AG2" s="500"/>
      <c r="AH2" s="500"/>
      <c r="AI2" s="500"/>
      <c r="AJ2" s="500"/>
      <c r="AK2" s="500"/>
      <c r="AL2" s="500"/>
      <c r="AM2" s="500"/>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row>
    <row r="3" spans="1:99" ht="18.75" customHeight="1" x14ac:dyDescent="0.25">
      <c r="A3" s="69"/>
      <c r="B3" s="532"/>
      <c r="C3" s="532"/>
      <c r="D3" s="532"/>
      <c r="E3" s="532"/>
      <c r="F3" s="532"/>
      <c r="G3" s="532"/>
      <c r="H3" s="532"/>
      <c r="I3" s="532"/>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c r="AL3" s="500"/>
      <c r="AM3" s="500"/>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row>
    <row r="4" spans="1:99" ht="15" customHeight="1" x14ac:dyDescent="0.25">
      <c r="A4" s="69"/>
      <c r="B4" s="532"/>
      <c r="C4" s="532"/>
      <c r="D4" s="532"/>
      <c r="E4" s="532"/>
      <c r="F4" s="532"/>
      <c r="G4" s="532"/>
      <c r="H4" s="532"/>
      <c r="I4" s="532"/>
      <c r="J4" s="500"/>
      <c r="K4" s="500"/>
      <c r="L4" s="500"/>
      <c r="M4" s="500"/>
      <c r="N4" s="500"/>
      <c r="O4" s="500"/>
      <c r="P4" s="500"/>
      <c r="Q4" s="500"/>
      <c r="R4" s="500"/>
      <c r="S4" s="500"/>
      <c r="T4" s="500"/>
      <c r="U4" s="500"/>
      <c r="V4" s="500"/>
      <c r="W4" s="500"/>
      <c r="X4" s="500"/>
      <c r="Y4" s="500"/>
      <c r="Z4" s="500"/>
      <c r="AA4" s="500"/>
      <c r="AB4" s="500"/>
      <c r="AC4" s="500"/>
      <c r="AD4" s="500"/>
      <c r="AE4" s="500"/>
      <c r="AF4" s="500"/>
      <c r="AG4" s="500"/>
      <c r="AH4" s="500"/>
      <c r="AI4" s="500"/>
      <c r="AJ4" s="500"/>
      <c r="AK4" s="500"/>
      <c r="AL4" s="500"/>
      <c r="AM4" s="500"/>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row>
    <row r="5" spans="1:99" ht="15.75" thickBot="1" x14ac:dyDescent="0.3">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c r="BV5" s="69"/>
      <c r="BW5" s="69"/>
      <c r="BX5" s="69"/>
      <c r="BY5" s="69"/>
      <c r="BZ5" s="69"/>
      <c r="CA5" s="69"/>
      <c r="CB5" s="69"/>
      <c r="CC5" s="69"/>
      <c r="CD5" s="69"/>
      <c r="CE5" s="69"/>
      <c r="CF5" s="69"/>
      <c r="CG5" s="69"/>
      <c r="CH5" s="69"/>
      <c r="CI5" s="69"/>
      <c r="CJ5" s="69"/>
      <c r="CK5" s="69"/>
      <c r="CL5" s="69"/>
      <c r="CM5" s="69"/>
      <c r="CN5" s="69"/>
      <c r="CO5" s="69"/>
      <c r="CP5" s="69"/>
      <c r="CQ5" s="69"/>
      <c r="CR5" s="69"/>
      <c r="CS5" s="69"/>
      <c r="CT5" s="69"/>
      <c r="CU5" s="69"/>
    </row>
    <row r="6" spans="1:99" ht="15" customHeight="1" x14ac:dyDescent="0.25">
      <c r="A6" s="69"/>
      <c r="B6" s="447" t="s">
        <v>4</v>
      </c>
      <c r="C6" s="447"/>
      <c r="D6" s="448"/>
      <c r="E6" s="485" t="s">
        <v>115</v>
      </c>
      <c r="F6" s="486"/>
      <c r="G6" s="486"/>
      <c r="H6" s="486"/>
      <c r="I6" s="487"/>
      <c r="J6" s="496" t="str">
        <f ca="1">IF(AND('Riesgos de Gestión'!$I$10="Muy Alta",'Riesgos de Gestión'!$M$10="Leve"),CONCATENATE("R",'Riesgos de Gestión'!$B$10),"")</f>
        <v/>
      </c>
      <c r="K6" s="497"/>
      <c r="L6" s="497" t="str">
        <f ca="1">IF(AND('Riesgos de Gestión'!$I$16="Muy Alta",'Riesgos de Gestión'!$M$16="Leve"),CONCATENATE("R",'Riesgos de Gestión'!$B$16),"")</f>
        <v/>
      </c>
      <c r="M6" s="497"/>
      <c r="N6" s="497" t="str">
        <f ca="1">IF(AND('Riesgos de Gestión'!$I$22="Muy Alta",'Riesgos de Gestión'!$M$22="Leve"),CONCATENATE("R",'Riesgos de Gestión'!$B$22),"")</f>
        <v/>
      </c>
      <c r="O6" s="499"/>
      <c r="P6" s="496" t="str">
        <f ca="1">IF(AND('Riesgos de Gestión'!$I$10="Muy Alta",'Riesgos de Gestión'!$M$10="Menor"),CONCATENATE("R",'Riesgos de Gestión'!$B$10),"")</f>
        <v/>
      </c>
      <c r="Q6" s="497"/>
      <c r="R6" s="497" t="str">
        <f ca="1">IF(AND('Riesgos de Gestión'!$I$16="Muy Alta",'Riesgos de Gestión'!$M$16="Menor"),CONCATENATE("R",'Riesgos de Gestión'!$B$16),"")</f>
        <v/>
      </c>
      <c r="S6" s="497"/>
      <c r="T6" s="497" t="str">
        <f ca="1">IF(AND('Riesgos de Gestión'!$I$22="Muy Alta",'Riesgos de Gestión'!$M$22="Menor"),CONCATENATE("R",'Riesgos de Gestión'!$B$22),"")</f>
        <v/>
      </c>
      <c r="U6" s="499"/>
      <c r="V6" s="496" t="str">
        <f ca="1">IF(AND('Riesgos de Gestión'!$I$10="Muy Alta",'Riesgos de Gestión'!$M$10="Moderado"),CONCATENATE("R",'Riesgos de Gestión'!$B$10),"")</f>
        <v/>
      </c>
      <c r="W6" s="497"/>
      <c r="X6" s="497" t="str">
        <f ca="1">IF(AND('Riesgos de Gestión'!$I$16="Muy Alta",'Riesgos de Gestión'!$M$16="Moderado"),CONCATENATE("R",'Riesgos de Gestión'!$B$16),"")</f>
        <v/>
      </c>
      <c r="Y6" s="497"/>
      <c r="Z6" s="497" t="str">
        <f ca="1">IF(AND('Riesgos de Gestión'!$I$22="Muy Alta",'Riesgos de Gestión'!$M$22="Moderado"),CONCATENATE("R",'Riesgos de Gestión'!$B$22),"")</f>
        <v/>
      </c>
      <c r="AA6" s="499"/>
      <c r="AB6" s="496" t="str">
        <f ca="1">IF(AND('Riesgos de Gestión'!$I$10="Muy Alta",'Riesgos de Gestión'!$M$10="Mayor"),CONCATENATE("R",'Riesgos de Gestión'!$B$10),"")</f>
        <v/>
      </c>
      <c r="AC6" s="497"/>
      <c r="AD6" s="497" t="str">
        <f ca="1">IF(AND('Riesgos de Gestión'!$I$16="Muy Alta",'Riesgos de Gestión'!$M$16="Mayor"),CONCATENATE("R",'Riesgos de Gestión'!$B$16),"")</f>
        <v/>
      </c>
      <c r="AE6" s="497"/>
      <c r="AF6" s="497" t="str">
        <f ca="1">IF(AND('Riesgos de Gestión'!$I$22="Muy Alta",'Riesgos de Gestión'!$M$22="Mayor"),CONCATENATE("R",'Riesgos de Gestión'!$B$22),"")</f>
        <v/>
      </c>
      <c r="AG6" s="499"/>
      <c r="AH6" s="511" t="str">
        <f ca="1">IF(AND('Riesgos de Gestión'!$I$10="Muy Alta",'Riesgos de Gestión'!$M$10="Catastrófico"),CONCATENATE("R",'Riesgos de Gestión'!$B$10),"")</f>
        <v/>
      </c>
      <c r="AI6" s="512"/>
      <c r="AJ6" s="512" t="str">
        <f ca="1">IF(AND('Riesgos de Gestión'!$I$16="Muy Alta",'Riesgos de Gestión'!$M$16="Catastrófico"),CONCATENATE("R",'Riesgos de Gestión'!$B$16),"")</f>
        <v/>
      </c>
      <c r="AK6" s="512"/>
      <c r="AL6" s="512" t="str">
        <f ca="1">IF(AND('Riesgos de Gestión'!$I$22="Muy Alta",'Riesgos de Gestión'!$M$22="Catastrófico"),CONCATENATE("R",'Riesgos de Gestión'!$B$22),"")</f>
        <v/>
      </c>
      <c r="AM6" s="513"/>
      <c r="AO6" s="449" t="s">
        <v>78</v>
      </c>
      <c r="AP6" s="450"/>
      <c r="AQ6" s="450"/>
      <c r="AR6" s="450"/>
      <c r="AS6" s="450"/>
      <c r="AT6" s="451"/>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row>
    <row r="7" spans="1:99" ht="15" customHeight="1" x14ac:dyDescent="0.25">
      <c r="A7" s="69"/>
      <c r="B7" s="447"/>
      <c r="C7" s="447"/>
      <c r="D7" s="448"/>
      <c r="E7" s="488"/>
      <c r="F7" s="489"/>
      <c r="G7" s="489"/>
      <c r="H7" s="489"/>
      <c r="I7" s="490"/>
      <c r="J7" s="498"/>
      <c r="K7" s="494"/>
      <c r="L7" s="494"/>
      <c r="M7" s="494"/>
      <c r="N7" s="494"/>
      <c r="O7" s="495"/>
      <c r="P7" s="498"/>
      <c r="Q7" s="494"/>
      <c r="R7" s="494"/>
      <c r="S7" s="494"/>
      <c r="T7" s="494"/>
      <c r="U7" s="495"/>
      <c r="V7" s="498"/>
      <c r="W7" s="494"/>
      <c r="X7" s="494"/>
      <c r="Y7" s="494"/>
      <c r="Z7" s="494"/>
      <c r="AA7" s="495"/>
      <c r="AB7" s="498"/>
      <c r="AC7" s="494"/>
      <c r="AD7" s="494"/>
      <c r="AE7" s="494"/>
      <c r="AF7" s="494"/>
      <c r="AG7" s="495"/>
      <c r="AH7" s="505"/>
      <c r="AI7" s="506"/>
      <c r="AJ7" s="506"/>
      <c r="AK7" s="506"/>
      <c r="AL7" s="506"/>
      <c r="AM7" s="507"/>
      <c r="AN7" s="69"/>
      <c r="AO7" s="452"/>
      <c r="AP7" s="453"/>
      <c r="AQ7" s="453"/>
      <c r="AR7" s="453"/>
      <c r="AS7" s="453"/>
      <c r="AT7" s="454"/>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row>
    <row r="8" spans="1:99" ht="15" customHeight="1" x14ac:dyDescent="0.25">
      <c r="A8" s="69"/>
      <c r="B8" s="447"/>
      <c r="C8" s="447"/>
      <c r="D8" s="448"/>
      <c r="E8" s="488"/>
      <c r="F8" s="489"/>
      <c r="G8" s="489"/>
      <c r="H8" s="489"/>
      <c r="I8" s="490"/>
      <c r="J8" s="498" t="str">
        <f ca="1">IF(AND('Riesgos de Gestión'!$I$28="Muy Alta",'Riesgos de Gestión'!$M$28="Leve"),CONCATENATE("R",'Riesgos de Gestión'!$B$28),"")</f>
        <v/>
      </c>
      <c r="K8" s="494"/>
      <c r="L8" s="494" t="str">
        <f ca="1">IF(AND('Riesgos de Gestión'!$I$34="Muy Alta",'Riesgos de Gestión'!$M$34="Leve"),CONCATENATE("R",'Riesgos de Gestión'!$B$34),"")</f>
        <v/>
      </c>
      <c r="M8" s="494"/>
      <c r="N8" s="494" t="str">
        <f ca="1">IF(AND('Riesgos de Gestión'!$I$40="Muy Alta",'Riesgos de Gestión'!$M$40="Leve"),CONCATENATE("R",'Riesgos de Gestión'!$B$40),"")</f>
        <v/>
      </c>
      <c r="O8" s="495"/>
      <c r="P8" s="498" t="str">
        <f ca="1">IF(AND('Riesgos de Gestión'!$I$28="Muy Alta",'Riesgos de Gestión'!$M$28="Menor"),CONCATENATE("R",'Riesgos de Gestión'!$B$28),"")</f>
        <v/>
      </c>
      <c r="Q8" s="494"/>
      <c r="R8" s="494" t="str">
        <f ca="1">IF(AND('Riesgos de Gestión'!$I$34="Muy Alta",'Riesgos de Gestión'!$M$34="Menor"),CONCATENATE("R",'Riesgos de Gestión'!$B$34),"")</f>
        <v/>
      </c>
      <c r="S8" s="494"/>
      <c r="T8" s="494" t="str">
        <f ca="1">IF(AND('Riesgos de Gestión'!$I$40="Muy Alta",'Riesgos de Gestión'!$M$40="Menor"),CONCATENATE("R",'Riesgos de Gestión'!$B$40),"")</f>
        <v/>
      </c>
      <c r="U8" s="495"/>
      <c r="V8" s="498" t="str">
        <f ca="1">IF(AND('Riesgos de Gestión'!$I$28="Muy Alta",'Riesgos de Gestión'!$M$28="Moderado"),CONCATENATE("R",'Riesgos de Gestión'!$B$28),"")</f>
        <v/>
      </c>
      <c r="W8" s="494"/>
      <c r="X8" s="494" t="str">
        <f ca="1">IF(AND('Riesgos de Gestión'!$I$34="Muy Alta",'Riesgos de Gestión'!$M$34="Moderado"),CONCATENATE("R",'Riesgos de Gestión'!$B$34),"")</f>
        <v/>
      </c>
      <c r="Y8" s="494"/>
      <c r="Z8" s="494" t="str">
        <f ca="1">IF(AND('Riesgos de Gestión'!$I$40="Muy Alta",'Riesgos de Gestión'!$M$40="Moderado"),CONCATENATE("R",'Riesgos de Gestión'!$B$40),"")</f>
        <v/>
      </c>
      <c r="AA8" s="495"/>
      <c r="AB8" s="498" t="str">
        <f ca="1">IF(AND('Riesgos de Gestión'!$I$28="Muy Alta",'Riesgos de Gestión'!$M$28="Mayor"),CONCATENATE("R",'Riesgos de Gestión'!$B$28),"")</f>
        <v/>
      </c>
      <c r="AC8" s="494"/>
      <c r="AD8" s="494" t="str">
        <f ca="1">IF(AND('Riesgos de Gestión'!$I$34="Muy Alta",'Riesgos de Gestión'!$M$34="Mayor"),CONCATENATE("R",'Riesgos de Gestión'!$B$34),"")</f>
        <v/>
      </c>
      <c r="AE8" s="494"/>
      <c r="AF8" s="494" t="str">
        <f ca="1">IF(AND('Riesgos de Gestión'!$I$40="Muy Alta",'Riesgos de Gestión'!$M$40="Mayor"),CONCATENATE("R",'Riesgos de Gestión'!$B$40),"")</f>
        <v/>
      </c>
      <c r="AG8" s="495"/>
      <c r="AH8" s="505" t="str">
        <f ca="1">IF(AND('Riesgos de Gestión'!$I$28="Muy Alta",'Riesgos de Gestión'!$M$28="Catastrófico"),CONCATENATE("R",'Riesgos de Gestión'!$B$28),"")</f>
        <v/>
      </c>
      <c r="AI8" s="506"/>
      <c r="AJ8" s="506" t="str">
        <f ca="1">IF(AND('Riesgos de Gestión'!$I$34="Muy Alta",'Riesgos de Gestión'!$M$34="Catastrófico"),CONCATENATE("R",'Riesgos de Gestión'!$B$34),"")</f>
        <v/>
      </c>
      <c r="AK8" s="506"/>
      <c r="AL8" s="506" t="str">
        <f ca="1">IF(AND('Riesgos de Gestión'!$I$40="Muy Alta",'Riesgos de Gestión'!$M$40="Catastrófico"),CONCATENATE("R",'Riesgos de Gestión'!$B$40),"")</f>
        <v/>
      </c>
      <c r="AM8" s="507"/>
      <c r="AN8" s="69"/>
      <c r="AO8" s="452"/>
      <c r="AP8" s="453"/>
      <c r="AQ8" s="453"/>
      <c r="AR8" s="453"/>
      <c r="AS8" s="453"/>
      <c r="AT8" s="454"/>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row>
    <row r="9" spans="1:99" ht="15" customHeight="1" x14ac:dyDescent="0.25">
      <c r="A9" s="69"/>
      <c r="B9" s="447"/>
      <c r="C9" s="447"/>
      <c r="D9" s="448"/>
      <c r="E9" s="488"/>
      <c r="F9" s="489"/>
      <c r="G9" s="489"/>
      <c r="H9" s="489"/>
      <c r="I9" s="490"/>
      <c r="J9" s="498"/>
      <c r="K9" s="494"/>
      <c r="L9" s="494"/>
      <c r="M9" s="494"/>
      <c r="N9" s="494"/>
      <c r="O9" s="495"/>
      <c r="P9" s="498"/>
      <c r="Q9" s="494"/>
      <c r="R9" s="494"/>
      <c r="S9" s="494"/>
      <c r="T9" s="494"/>
      <c r="U9" s="495"/>
      <c r="V9" s="498"/>
      <c r="W9" s="494"/>
      <c r="X9" s="494"/>
      <c r="Y9" s="494"/>
      <c r="Z9" s="494"/>
      <c r="AA9" s="495"/>
      <c r="AB9" s="498"/>
      <c r="AC9" s="494"/>
      <c r="AD9" s="494"/>
      <c r="AE9" s="494"/>
      <c r="AF9" s="494"/>
      <c r="AG9" s="495"/>
      <c r="AH9" s="505"/>
      <c r="AI9" s="506"/>
      <c r="AJ9" s="506"/>
      <c r="AK9" s="506"/>
      <c r="AL9" s="506"/>
      <c r="AM9" s="507"/>
      <c r="AN9" s="69"/>
      <c r="AO9" s="452"/>
      <c r="AP9" s="453"/>
      <c r="AQ9" s="453"/>
      <c r="AR9" s="453"/>
      <c r="AS9" s="453"/>
      <c r="AT9" s="454"/>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row>
    <row r="10" spans="1:99" ht="15" customHeight="1" x14ac:dyDescent="0.25">
      <c r="A10" s="69"/>
      <c r="B10" s="447"/>
      <c r="C10" s="447"/>
      <c r="D10" s="448"/>
      <c r="E10" s="488"/>
      <c r="F10" s="489"/>
      <c r="G10" s="489"/>
      <c r="H10" s="489"/>
      <c r="I10" s="490"/>
      <c r="J10" s="498" t="str">
        <f ca="1">IF(AND('Riesgos de Gestión'!$I$46="Muy Alta",'Riesgos de Gestión'!$M$46="Leve"),CONCATENATE("R",'Riesgos de Gestión'!$B$46),"")</f>
        <v/>
      </c>
      <c r="K10" s="494"/>
      <c r="L10" s="494" t="str">
        <f ca="1">IF(AND('Riesgos de Gestión'!$I$52="Muy Alta",'Riesgos de Gestión'!$M$52="Leve"),CONCATENATE("R",'Riesgos de Gestión'!$B$52),"")</f>
        <v/>
      </c>
      <c r="M10" s="494"/>
      <c r="N10" s="494" t="str">
        <f ca="1">IF(AND('Riesgos de Gestión'!$I$58="Muy Alta",'Riesgos de Gestión'!$M$58="Leve"),CONCATENATE("R",'Riesgos de Gestión'!$B$58),"")</f>
        <v/>
      </c>
      <c r="O10" s="495"/>
      <c r="P10" s="498" t="str">
        <f ca="1">IF(AND('Riesgos de Gestión'!$I$46="Muy Alta",'Riesgos de Gestión'!$M$46="Menor"),CONCATENATE("R",'Riesgos de Gestión'!$B$46),"")</f>
        <v/>
      </c>
      <c r="Q10" s="494"/>
      <c r="R10" s="494" t="str">
        <f ca="1">IF(AND('Riesgos de Gestión'!$I$52="Muy Alta",'Riesgos de Gestión'!$M$52="Menor"),CONCATENATE("R",'Riesgos de Gestión'!$B$52),"")</f>
        <v/>
      </c>
      <c r="S10" s="494"/>
      <c r="T10" s="494" t="str">
        <f ca="1">IF(AND('Riesgos de Gestión'!$I$58="Muy Alta",'Riesgos de Gestión'!$M$58="Menor"),CONCATENATE("R",'Riesgos de Gestión'!$B$58),"")</f>
        <v/>
      </c>
      <c r="U10" s="495"/>
      <c r="V10" s="498" t="str">
        <f ca="1">IF(AND('Riesgos de Gestión'!$I$46="Muy Alta",'Riesgos de Gestión'!$M$46="Moderado"),CONCATENATE("R",'Riesgos de Gestión'!$B$46),"")</f>
        <v/>
      </c>
      <c r="W10" s="494"/>
      <c r="X10" s="494" t="str">
        <f ca="1">IF(AND('Riesgos de Gestión'!$I$52="Muy Alta",'Riesgos de Gestión'!$M$52="Moderado"),CONCATENATE("R",'Riesgos de Gestión'!$B$52),"")</f>
        <v/>
      </c>
      <c r="Y10" s="494"/>
      <c r="Z10" s="494" t="str">
        <f ca="1">IF(AND('Riesgos de Gestión'!$I$58="Muy Alta",'Riesgos de Gestión'!$M$58="Moderado"),CONCATENATE("R",'Riesgos de Gestión'!$B$58),"")</f>
        <v/>
      </c>
      <c r="AA10" s="495"/>
      <c r="AB10" s="498" t="str">
        <f ca="1">IF(AND('Riesgos de Gestión'!$I$46="Muy Alta",'Riesgos de Gestión'!$M$46="Mayor"),CONCATENATE("R",'Riesgos de Gestión'!$B$46),"")</f>
        <v/>
      </c>
      <c r="AC10" s="494"/>
      <c r="AD10" s="494" t="str">
        <f ca="1">IF(AND('Riesgos de Gestión'!$I$52="Muy Alta",'Riesgos de Gestión'!$M$52="Mayor"),CONCATENATE("R",'Riesgos de Gestión'!$B$52),"")</f>
        <v/>
      </c>
      <c r="AE10" s="494"/>
      <c r="AF10" s="494" t="str">
        <f ca="1">IF(AND('Riesgos de Gestión'!$I$58="Muy Alta",'Riesgos de Gestión'!$M$58="Mayor"),CONCATENATE("R",'Riesgos de Gestión'!$B$58),"")</f>
        <v/>
      </c>
      <c r="AG10" s="495"/>
      <c r="AH10" s="505" t="str">
        <f ca="1">IF(AND('Riesgos de Gestión'!$I$46="Muy Alta",'Riesgos de Gestión'!$M$46="Catastrófico"),CONCATENATE("R",'Riesgos de Gestión'!$B$46),"")</f>
        <v/>
      </c>
      <c r="AI10" s="506"/>
      <c r="AJ10" s="506" t="str">
        <f ca="1">IF(AND('Riesgos de Gestión'!$I$52="Muy Alta",'Riesgos de Gestión'!$M$52="Catastrófico"),CONCATENATE("R",'Riesgos de Gestión'!$B$52),"")</f>
        <v/>
      </c>
      <c r="AK10" s="506"/>
      <c r="AL10" s="506" t="str">
        <f ca="1">IF(AND('Riesgos de Gestión'!$I$58="Muy Alta",'Riesgos de Gestión'!$M$58="Catastrófico"),CONCATENATE("R",'Riesgos de Gestión'!$B$58),"")</f>
        <v/>
      </c>
      <c r="AM10" s="507"/>
      <c r="AN10" s="69"/>
      <c r="AO10" s="452"/>
      <c r="AP10" s="453"/>
      <c r="AQ10" s="453"/>
      <c r="AR10" s="453"/>
      <c r="AS10" s="453"/>
      <c r="AT10" s="454"/>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row>
    <row r="11" spans="1:99" ht="15" customHeight="1" x14ac:dyDescent="0.25">
      <c r="A11" s="69"/>
      <c r="B11" s="447"/>
      <c r="C11" s="447"/>
      <c r="D11" s="448"/>
      <c r="E11" s="488"/>
      <c r="F11" s="489"/>
      <c r="G11" s="489"/>
      <c r="H11" s="489"/>
      <c r="I11" s="490"/>
      <c r="J11" s="498"/>
      <c r="K11" s="494"/>
      <c r="L11" s="494"/>
      <c r="M11" s="494"/>
      <c r="N11" s="494"/>
      <c r="O11" s="495"/>
      <c r="P11" s="498"/>
      <c r="Q11" s="494"/>
      <c r="R11" s="494"/>
      <c r="S11" s="494"/>
      <c r="T11" s="494"/>
      <c r="U11" s="495"/>
      <c r="V11" s="498"/>
      <c r="W11" s="494"/>
      <c r="X11" s="494"/>
      <c r="Y11" s="494"/>
      <c r="Z11" s="494"/>
      <c r="AA11" s="495"/>
      <c r="AB11" s="498"/>
      <c r="AC11" s="494"/>
      <c r="AD11" s="494"/>
      <c r="AE11" s="494"/>
      <c r="AF11" s="494"/>
      <c r="AG11" s="495"/>
      <c r="AH11" s="505"/>
      <c r="AI11" s="506"/>
      <c r="AJ11" s="506"/>
      <c r="AK11" s="506"/>
      <c r="AL11" s="506"/>
      <c r="AM11" s="507"/>
      <c r="AN11" s="69"/>
      <c r="AO11" s="452"/>
      <c r="AP11" s="453"/>
      <c r="AQ11" s="453"/>
      <c r="AR11" s="453"/>
      <c r="AS11" s="453"/>
      <c r="AT11" s="454"/>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row>
    <row r="12" spans="1:99" ht="15" customHeight="1" x14ac:dyDescent="0.25">
      <c r="A12" s="69"/>
      <c r="B12" s="447"/>
      <c r="C12" s="447"/>
      <c r="D12" s="448"/>
      <c r="E12" s="488"/>
      <c r="F12" s="489"/>
      <c r="G12" s="489"/>
      <c r="H12" s="489"/>
      <c r="I12" s="490"/>
      <c r="J12" s="498" t="str">
        <f ca="1">IF(AND('Riesgos de Gestión'!$I$64="Muy Alta",'Riesgos de Gestión'!$M$64="Leve"),CONCATENATE("R",'Riesgos de Gestión'!$B$64),"")</f>
        <v/>
      </c>
      <c r="K12" s="494"/>
      <c r="L12" s="494" t="str">
        <f>IF(AND('Riesgos de Gestión'!$I$70="Muy Alta",'Riesgos de Gestión'!$M$70="Leve"),CONCATENATE("R",'Riesgos de Gestión'!$B$70),"")</f>
        <v/>
      </c>
      <c r="M12" s="494"/>
      <c r="N12" s="494" t="str">
        <f>IF(AND('Riesgos de Gestión'!$I$76="Muy Alta",'Riesgos de Gestión'!$M$76="Leve"),CONCATENATE("R",'Riesgos de Gestión'!$B$76),"")</f>
        <v/>
      </c>
      <c r="O12" s="495"/>
      <c r="P12" s="498" t="str">
        <f ca="1">IF(AND('Riesgos de Gestión'!$I$64="Muy Alta",'Riesgos de Gestión'!$M$64="Menor"),CONCATENATE("R",'Riesgos de Gestión'!$B$64),"")</f>
        <v/>
      </c>
      <c r="Q12" s="494"/>
      <c r="R12" s="494" t="str">
        <f>IF(AND('Riesgos de Gestión'!$I$70="Muy Alta",'Riesgos de Gestión'!$M$70="Menor"),CONCATENATE("R",'Riesgos de Gestión'!$B$70),"")</f>
        <v/>
      </c>
      <c r="S12" s="494"/>
      <c r="T12" s="494" t="str">
        <f>IF(AND('Riesgos de Gestión'!$I$76="Muy Alta",'Riesgos de Gestión'!$M$76="Menor"),CONCATENATE("R",'Riesgos de Gestión'!$B$76),"")</f>
        <v/>
      </c>
      <c r="U12" s="495"/>
      <c r="V12" s="498" t="str">
        <f ca="1">IF(AND('Riesgos de Gestión'!$I$64="Muy Alta",'Riesgos de Gestión'!$M$64="Moderado"),CONCATENATE("R",'Riesgos de Gestión'!$B$64),"")</f>
        <v/>
      </c>
      <c r="W12" s="494"/>
      <c r="X12" s="494" t="str">
        <f>IF(AND('Riesgos de Gestión'!$I$70="Muy Alta",'Riesgos de Gestión'!$M$70="Moderado"),CONCATENATE("R",'Riesgos de Gestión'!$B$70),"")</f>
        <v/>
      </c>
      <c r="Y12" s="494"/>
      <c r="Z12" s="494" t="str">
        <f>IF(AND('Riesgos de Gestión'!$I$76="Muy Alta",'Riesgos de Gestión'!$M$76="Moderado"),CONCATENATE("R",'Riesgos de Gestión'!$B$76),"")</f>
        <v/>
      </c>
      <c r="AA12" s="495"/>
      <c r="AB12" s="498" t="str">
        <f ca="1">IF(AND('Riesgos de Gestión'!$I$64="Muy Alta",'Riesgos de Gestión'!$M$64="Mayor"),CONCATENATE("R",'Riesgos de Gestión'!$B$64),"")</f>
        <v/>
      </c>
      <c r="AC12" s="494"/>
      <c r="AD12" s="494" t="str">
        <f>IF(AND('Riesgos de Gestión'!$I$70="Muy Alta",'Riesgos de Gestión'!$M$70="Mayor"),CONCATENATE("R",'Riesgos de Gestión'!$B$70),"")</f>
        <v/>
      </c>
      <c r="AE12" s="494"/>
      <c r="AF12" s="494" t="str">
        <f>IF(AND('Riesgos de Gestión'!$I$76="Muy Alta",'Riesgos de Gestión'!$M$76="Mayor"),CONCATENATE("R",'Riesgos de Gestión'!$B$76),"")</f>
        <v/>
      </c>
      <c r="AG12" s="495"/>
      <c r="AH12" s="505" t="str">
        <f ca="1">IF(AND('Riesgos de Gestión'!$I$64="Muy Alta",'Riesgos de Gestión'!$M$64="Catastrófico"),CONCATENATE("R",'Riesgos de Gestión'!$B$64),"")</f>
        <v/>
      </c>
      <c r="AI12" s="506"/>
      <c r="AJ12" s="506" t="str">
        <f>IF(AND('Riesgos de Gestión'!$I$70="Muy Alta",'Riesgos de Gestión'!$M$70="Catastrófico"),CONCATENATE("R",'Riesgos de Gestión'!$B$70),"")</f>
        <v/>
      </c>
      <c r="AK12" s="506"/>
      <c r="AL12" s="506" t="str">
        <f>IF(AND('Riesgos de Gestión'!$I$76="Muy Alta",'Riesgos de Gestión'!$M$76="Catastrófico"),CONCATENATE("R",'Riesgos de Gestión'!$B$76),"")</f>
        <v/>
      </c>
      <c r="AM12" s="507"/>
      <c r="AN12" s="69"/>
      <c r="AO12" s="452"/>
      <c r="AP12" s="453"/>
      <c r="AQ12" s="453"/>
      <c r="AR12" s="453"/>
      <c r="AS12" s="453"/>
      <c r="AT12" s="454"/>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row>
    <row r="13" spans="1:99" ht="15.75" customHeight="1" thickBot="1" x14ac:dyDescent="0.3">
      <c r="A13" s="69"/>
      <c r="B13" s="447"/>
      <c r="C13" s="447"/>
      <c r="D13" s="448"/>
      <c r="E13" s="491"/>
      <c r="F13" s="492"/>
      <c r="G13" s="492"/>
      <c r="H13" s="492"/>
      <c r="I13" s="493"/>
      <c r="J13" s="498"/>
      <c r="K13" s="494"/>
      <c r="L13" s="494"/>
      <c r="M13" s="494"/>
      <c r="N13" s="494"/>
      <c r="O13" s="495"/>
      <c r="P13" s="498"/>
      <c r="Q13" s="494"/>
      <c r="R13" s="494"/>
      <c r="S13" s="494"/>
      <c r="T13" s="494"/>
      <c r="U13" s="495"/>
      <c r="V13" s="498"/>
      <c r="W13" s="494"/>
      <c r="X13" s="494"/>
      <c r="Y13" s="494"/>
      <c r="Z13" s="494"/>
      <c r="AA13" s="495"/>
      <c r="AB13" s="498"/>
      <c r="AC13" s="494"/>
      <c r="AD13" s="494"/>
      <c r="AE13" s="494"/>
      <c r="AF13" s="494"/>
      <c r="AG13" s="495"/>
      <c r="AH13" s="508"/>
      <c r="AI13" s="509"/>
      <c r="AJ13" s="509"/>
      <c r="AK13" s="509"/>
      <c r="AL13" s="509"/>
      <c r="AM13" s="510"/>
      <c r="AN13" s="69"/>
      <c r="AO13" s="455"/>
      <c r="AP13" s="456"/>
      <c r="AQ13" s="456"/>
      <c r="AR13" s="456"/>
      <c r="AS13" s="456"/>
      <c r="AT13" s="457"/>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row>
    <row r="14" spans="1:99" ht="15" customHeight="1" x14ac:dyDescent="0.25">
      <c r="A14" s="69"/>
      <c r="B14" s="447"/>
      <c r="C14" s="447"/>
      <c r="D14" s="448"/>
      <c r="E14" s="485" t="s">
        <v>114</v>
      </c>
      <c r="F14" s="486"/>
      <c r="G14" s="486"/>
      <c r="H14" s="486"/>
      <c r="I14" s="486"/>
      <c r="J14" s="520" t="str">
        <f ca="1">IF(AND('Riesgos de Gestión'!$I$10="Alta",'Riesgos de Gestión'!$M$10="Leve"),CONCATENATE("R",'Riesgos de Gestión'!$B$10),"")</f>
        <v/>
      </c>
      <c r="K14" s="521"/>
      <c r="L14" s="521" t="str">
        <f ca="1">IF(AND('Riesgos de Gestión'!$I$16="Alta",'Riesgos de Gestión'!$M$16="Leve"),CONCATENATE("R",'Riesgos de Gestión'!$B$16),"")</f>
        <v/>
      </c>
      <c r="M14" s="521"/>
      <c r="N14" s="521" t="str">
        <f ca="1">IF(AND('Riesgos de Gestión'!$I$22="Alta",'Riesgos de Gestión'!$M$22="Leve"),CONCATENATE("R",'Riesgos de Gestión'!$B$22),"")</f>
        <v/>
      </c>
      <c r="O14" s="522"/>
      <c r="P14" s="520" t="str">
        <f ca="1">IF(AND('Riesgos de Gestión'!$I$10="Alta",'Riesgos de Gestión'!$M$10="Menor"),CONCATENATE("R",'Riesgos de Gestión'!$B$10),"")</f>
        <v>R1</v>
      </c>
      <c r="Q14" s="521"/>
      <c r="R14" s="521" t="str">
        <f ca="1">IF(AND('Riesgos de Gestión'!$I$16="Alta",'Riesgos de Gestión'!$M$16="Menor"),CONCATENATE("R",'Riesgos de Gestión'!$B$16),"")</f>
        <v/>
      </c>
      <c r="S14" s="521"/>
      <c r="T14" s="521" t="str">
        <f ca="1">IF(AND('Riesgos de Gestión'!$I$22="Alta",'Riesgos de Gestión'!$M$22="Menor"),CONCATENATE("R",'Riesgos de Gestión'!$B$22),"")</f>
        <v/>
      </c>
      <c r="U14" s="522"/>
      <c r="V14" s="496" t="str">
        <f ca="1">IF(AND('Riesgos de Gestión'!$I$10="Alta",'Riesgos de Gestión'!$M$10="Moderado"),CONCATENATE("R",'Riesgos de Gestión'!$B$10),"")</f>
        <v/>
      </c>
      <c r="W14" s="497"/>
      <c r="X14" s="497" t="str">
        <f ca="1">IF(AND('Riesgos de Gestión'!$I$16="Alta",'Riesgos de Gestión'!$M$16="Moderado"),CONCATENATE("R",'Riesgos de Gestión'!$B$16),"")</f>
        <v/>
      </c>
      <c r="Y14" s="497"/>
      <c r="Z14" s="497" t="str">
        <f ca="1">IF(AND('Riesgos de Gestión'!$I$22="Alta",'Riesgos de Gestión'!$M$22="Moderado"),CONCATENATE("R",'Riesgos de Gestión'!$B$22),"")</f>
        <v/>
      </c>
      <c r="AA14" s="499"/>
      <c r="AB14" s="496" t="str">
        <f ca="1">IF(AND('Riesgos de Gestión'!$I$10="Alta",'Riesgos de Gestión'!$M$10="Mayor"),CONCATENATE("R",'Riesgos de Gestión'!$B$10),"")</f>
        <v/>
      </c>
      <c r="AC14" s="497"/>
      <c r="AD14" s="497" t="str">
        <f ca="1">IF(AND('Riesgos de Gestión'!$I$16="Alta",'Riesgos de Gestión'!$M$16="Mayor"),CONCATENATE("R",'Riesgos de Gestión'!$B$16),"")</f>
        <v/>
      </c>
      <c r="AE14" s="497"/>
      <c r="AF14" s="497" t="str">
        <f ca="1">IF(AND('Riesgos de Gestión'!$I$22="Alta",'Riesgos de Gestión'!$M$22="Mayor"),CONCATENATE("R",'Riesgos de Gestión'!$B$22),"")</f>
        <v/>
      </c>
      <c r="AG14" s="499"/>
      <c r="AH14" s="511" t="str">
        <f ca="1">IF(AND('Riesgos de Gestión'!$I$10="Alta",'Riesgos de Gestión'!$M$10="Catastrófico"),CONCATENATE("R",'Riesgos de Gestión'!$B$10),"")</f>
        <v/>
      </c>
      <c r="AI14" s="512"/>
      <c r="AJ14" s="512" t="str">
        <f ca="1">IF(AND('Riesgos de Gestión'!$I$16="Alta",'Riesgos de Gestión'!$M$16="Catastrófico"),CONCATENATE("R",'Riesgos de Gestión'!$B$16),"")</f>
        <v/>
      </c>
      <c r="AK14" s="512"/>
      <c r="AL14" s="512" t="str">
        <f ca="1">IF(AND('Riesgos de Gestión'!$I$22="Alta",'Riesgos de Gestión'!$M$22="Catastrófico"),CONCATENATE("R",'Riesgos de Gestión'!$B$22),"")</f>
        <v/>
      </c>
      <c r="AM14" s="513"/>
      <c r="AN14" s="69"/>
      <c r="AO14" s="458" t="s">
        <v>79</v>
      </c>
      <c r="AP14" s="459"/>
      <c r="AQ14" s="459"/>
      <c r="AR14" s="459"/>
      <c r="AS14" s="459"/>
      <c r="AT14" s="460"/>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row>
    <row r="15" spans="1:99" ht="15" customHeight="1" x14ac:dyDescent="0.25">
      <c r="A15" s="69"/>
      <c r="B15" s="447"/>
      <c r="C15" s="447"/>
      <c r="D15" s="448"/>
      <c r="E15" s="488"/>
      <c r="F15" s="489"/>
      <c r="G15" s="489"/>
      <c r="H15" s="489"/>
      <c r="I15" s="489"/>
      <c r="J15" s="514"/>
      <c r="K15" s="515"/>
      <c r="L15" s="515"/>
      <c r="M15" s="515"/>
      <c r="N15" s="515"/>
      <c r="O15" s="516"/>
      <c r="P15" s="514"/>
      <c r="Q15" s="515"/>
      <c r="R15" s="515"/>
      <c r="S15" s="515"/>
      <c r="T15" s="515"/>
      <c r="U15" s="516"/>
      <c r="V15" s="498"/>
      <c r="W15" s="494"/>
      <c r="X15" s="494"/>
      <c r="Y15" s="494"/>
      <c r="Z15" s="494"/>
      <c r="AA15" s="495"/>
      <c r="AB15" s="498"/>
      <c r="AC15" s="494"/>
      <c r="AD15" s="494"/>
      <c r="AE15" s="494"/>
      <c r="AF15" s="494"/>
      <c r="AG15" s="495"/>
      <c r="AH15" s="505"/>
      <c r="AI15" s="506"/>
      <c r="AJ15" s="506"/>
      <c r="AK15" s="506"/>
      <c r="AL15" s="506"/>
      <c r="AM15" s="507"/>
      <c r="AN15" s="69"/>
      <c r="AO15" s="461"/>
      <c r="AP15" s="462"/>
      <c r="AQ15" s="462"/>
      <c r="AR15" s="462"/>
      <c r="AS15" s="462"/>
      <c r="AT15" s="463"/>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row>
    <row r="16" spans="1:99" ht="15" customHeight="1" x14ac:dyDescent="0.25">
      <c r="A16" s="69"/>
      <c r="B16" s="447"/>
      <c r="C16" s="447"/>
      <c r="D16" s="448"/>
      <c r="E16" s="488"/>
      <c r="F16" s="489"/>
      <c r="G16" s="489"/>
      <c r="H16" s="489"/>
      <c r="I16" s="489"/>
      <c r="J16" s="514" t="str">
        <f ca="1">IF(AND('Riesgos de Gestión'!$I$28="Alta",'Riesgos de Gestión'!$M$28="Leve"),CONCATENATE("R",'Riesgos de Gestión'!$B$28),"")</f>
        <v/>
      </c>
      <c r="K16" s="515"/>
      <c r="L16" s="515" t="str">
        <f ca="1">IF(AND('Riesgos de Gestión'!$I$34="Alta",'Riesgos de Gestión'!$M$34="Leve"),CONCATENATE("R",'Riesgos de Gestión'!$B$34),"")</f>
        <v/>
      </c>
      <c r="M16" s="515"/>
      <c r="N16" s="515" t="str">
        <f ca="1">IF(AND('Riesgos de Gestión'!$I$40="Alta",'Riesgos de Gestión'!$M$40="Leve"),CONCATENATE("R",'Riesgos de Gestión'!$B$40),"")</f>
        <v/>
      </c>
      <c r="O16" s="516"/>
      <c r="P16" s="514" t="str">
        <f ca="1">IF(AND('Riesgos de Gestión'!$I$28="Alta",'Riesgos de Gestión'!$M$28="Menor"),CONCATENATE("R",'Riesgos de Gestión'!$B$28),"")</f>
        <v/>
      </c>
      <c r="Q16" s="515"/>
      <c r="R16" s="515" t="str">
        <f ca="1">IF(AND('Riesgos de Gestión'!$I$34="Alta",'Riesgos de Gestión'!$M$34="Menor"),CONCATENATE("R",'Riesgos de Gestión'!$B$34),"")</f>
        <v/>
      </c>
      <c r="S16" s="515"/>
      <c r="T16" s="515" t="str">
        <f ca="1">IF(AND('Riesgos de Gestión'!$I$40="Alta",'Riesgos de Gestión'!$M$40="Menor"),CONCATENATE("R",'Riesgos de Gestión'!$B$40),"")</f>
        <v/>
      </c>
      <c r="U16" s="516"/>
      <c r="V16" s="498" t="str">
        <f ca="1">IF(AND('Riesgos de Gestión'!$I$28="Alta",'Riesgos de Gestión'!$M$28="Moderado"),CONCATENATE("R",'Riesgos de Gestión'!$B$28),"")</f>
        <v/>
      </c>
      <c r="W16" s="494"/>
      <c r="X16" s="494" t="str">
        <f ca="1">IF(AND('Riesgos de Gestión'!$I$34="Alta",'Riesgos de Gestión'!$M$34="Moderado"),CONCATENATE("R",'Riesgos de Gestión'!$B$34),"")</f>
        <v/>
      </c>
      <c r="Y16" s="494"/>
      <c r="Z16" s="494" t="str">
        <f ca="1">IF(AND('Riesgos de Gestión'!$I$40="Alta",'Riesgos de Gestión'!$M$40="Moderado"),CONCATENATE("R",'Riesgos de Gestión'!$B$40),"")</f>
        <v/>
      </c>
      <c r="AA16" s="495"/>
      <c r="AB16" s="498" t="str">
        <f ca="1">IF(AND('Riesgos de Gestión'!$I$28="Alta",'Riesgos de Gestión'!$M$28="Mayor"),CONCATENATE("R",'Riesgos de Gestión'!$B$28),"")</f>
        <v/>
      </c>
      <c r="AC16" s="494"/>
      <c r="AD16" s="494" t="str">
        <f ca="1">IF(AND('Riesgos de Gestión'!$I$34="Alta",'Riesgos de Gestión'!$M$34="Mayor"),CONCATENATE("R",'Riesgos de Gestión'!$B$34),"")</f>
        <v/>
      </c>
      <c r="AE16" s="494"/>
      <c r="AF16" s="494" t="str">
        <f ca="1">IF(AND('Riesgos de Gestión'!$I$40="Alta",'Riesgos de Gestión'!$M$40="Mayor"),CONCATENATE("R",'Riesgos de Gestión'!$B$40),"")</f>
        <v/>
      </c>
      <c r="AG16" s="495"/>
      <c r="AH16" s="505" t="str">
        <f ca="1">IF(AND('Riesgos de Gestión'!$I$28="Alta",'Riesgos de Gestión'!$M$28="Catastrófico"),CONCATENATE("R",'Riesgos de Gestión'!$B$28),"")</f>
        <v/>
      </c>
      <c r="AI16" s="506"/>
      <c r="AJ16" s="506" t="str">
        <f ca="1">IF(AND('Riesgos de Gestión'!$I$34="Alta",'Riesgos de Gestión'!$M$34="Catastrófico"),CONCATENATE("R",'Riesgos de Gestión'!$B$34),"")</f>
        <v/>
      </c>
      <c r="AK16" s="506"/>
      <c r="AL16" s="506" t="str">
        <f ca="1">IF(AND('Riesgos de Gestión'!$I$40="Alta",'Riesgos de Gestión'!$M$40="Catastrófico"),CONCATENATE("R",'Riesgos de Gestión'!$B$40),"")</f>
        <v/>
      </c>
      <c r="AM16" s="507"/>
      <c r="AN16" s="69"/>
      <c r="AO16" s="461"/>
      <c r="AP16" s="462"/>
      <c r="AQ16" s="462"/>
      <c r="AR16" s="462"/>
      <c r="AS16" s="462"/>
      <c r="AT16" s="463"/>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row>
    <row r="17" spans="1:80" ht="15" customHeight="1" x14ac:dyDescent="0.25">
      <c r="A17" s="69"/>
      <c r="B17" s="447"/>
      <c r="C17" s="447"/>
      <c r="D17" s="448"/>
      <c r="E17" s="488"/>
      <c r="F17" s="489"/>
      <c r="G17" s="489"/>
      <c r="H17" s="489"/>
      <c r="I17" s="489"/>
      <c r="J17" s="514"/>
      <c r="K17" s="515"/>
      <c r="L17" s="515"/>
      <c r="M17" s="515"/>
      <c r="N17" s="515"/>
      <c r="O17" s="516"/>
      <c r="P17" s="514"/>
      <c r="Q17" s="515"/>
      <c r="R17" s="515"/>
      <c r="S17" s="515"/>
      <c r="T17" s="515"/>
      <c r="U17" s="516"/>
      <c r="V17" s="498"/>
      <c r="W17" s="494"/>
      <c r="X17" s="494"/>
      <c r="Y17" s="494"/>
      <c r="Z17" s="494"/>
      <c r="AA17" s="495"/>
      <c r="AB17" s="498"/>
      <c r="AC17" s="494"/>
      <c r="AD17" s="494"/>
      <c r="AE17" s="494"/>
      <c r="AF17" s="494"/>
      <c r="AG17" s="495"/>
      <c r="AH17" s="505"/>
      <c r="AI17" s="506"/>
      <c r="AJ17" s="506"/>
      <c r="AK17" s="506"/>
      <c r="AL17" s="506"/>
      <c r="AM17" s="507"/>
      <c r="AN17" s="69"/>
      <c r="AO17" s="461"/>
      <c r="AP17" s="462"/>
      <c r="AQ17" s="462"/>
      <c r="AR17" s="462"/>
      <c r="AS17" s="462"/>
      <c r="AT17" s="463"/>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row>
    <row r="18" spans="1:80" ht="15" customHeight="1" x14ac:dyDescent="0.25">
      <c r="A18" s="69"/>
      <c r="B18" s="447"/>
      <c r="C18" s="447"/>
      <c r="D18" s="448"/>
      <c r="E18" s="488"/>
      <c r="F18" s="489"/>
      <c r="G18" s="489"/>
      <c r="H18" s="489"/>
      <c r="I18" s="489"/>
      <c r="J18" s="514" t="str">
        <f ca="1">IF(AND('Riesgos de Gestión'!$I$46="Alta",'Riesgos de Gestión'!$M$46="Leve"),CONCATENATE("R",'Riesgos de Gestión'!$B$46),"")</f>
        <v/>
      </c>
      <c r="K18" s="515"/>
      <c r="L18" s="515" t="str">
        <f ca="1">IF(AND('Riesgos de Gestión'!$I$52="Alta",'Riesgos de Gestión'!$M$52="Leve"),CONCATENATE("R",'Riesgos de Gestión'!$B$52),"")</f>
        <v/>
      </c>
      <c r="M18" s="515"/>
      <c r="N18" s="515" t="str">
        <f ca="1">IF(AND('Riesgos de Gestión'!$I$58="Alta",'Riesgos de Gestión'!$M$58="Leve"),CONCATENATE("R",'Riesgos de Gestión'!$B$58),"")</f>
        <v/>
      </c>
      <c r="O18" s="516"/>
      <c r="P18" s="514" t="str">
        <f ca="1">IF(AND('Riesgos de Gestión'!$I$46="Alta",'Riesgos de Gestión'!$M$46="Menor"),CONCATENATE("R",'Riesgos de Gestión'!$B$46),"")</f>
        <v/>
      </c>
      <c r="Q18" s="515"/>
      <c r="R18" s="515" t="str">
        <f ca="1">IF(AND('Riesgos de Gestión'!$I$52="Alta",'Riesgos de Gestión'!$M$52="Menor"),CONCATENATE("R",'Riesgos de Gestión'!$B$52),"")</f>
        <v/>
      </c>
      <c r="S18" s="515"/>
      <c r="T18" s="515" t="str">
        <f ca="1">IF(AND('Riesgos de Gestión'!$I$58="Alta",'Riesgos de Gestión'!$M$58="Menor"),CONCATENATE("R",'Riesgos de Gestión'!$B$58),"")</f>
        <v/>
      </c>
      <c r="U18" s="516"/>
      <c r="V18" s="498" t="str">
        <f ca="1">IF(AND('Riesgos de Gestión'!$I$46="Alta",'Riesgos de Gestión'!$M$46="Moderado"),CONCATENATE("R",'Riesgos de Gestión'!$B$46),"")</f>
        <v/>
      </c>
      <c r="W18" s="494"/>
      <c r="X18" s="494" t="str">
        <f ca="1">IF(AND('Riesgos de Gestión'!$I$52="Alta",'Riesgos de Gestión'!$M$52="Moderado"),CONCATENATE("R",'Riesgos de Gestión'!$B$52),"")</f>
        <v/>
      </c>
      <c r="Y18" s="494"/>
      <c r="Z18" s="494" t="str">
        <f ca="1">IF(AND('Riesgos de Gestión'!$I$58="Alta",'Riesgos de Gestión'!$M$58="Moderado"),CONCATENATE("R",'Riesgos de Gestión'!$B$58),"")</f>
        <v/>
      </c>
      <c r="AA18" s="495"/>
      <c r="AB18" s="498" t="str">
        <f ca="1">IF(AND('Riesgos de Gestión'!$I$46="Alta",'Riesgos de Gestión'!$M$46="Mayor"),CONCATENATE("R",'Riesgos de Gestión'!$B$46),"")</f>
        <v/>
      </c>
      <c r="AC18" s="494"/>
      <c r="AD18" s="494" t="str">
        <f ca="1">IF(AND('Riesgos de Gestión'!$I$52="Alta",'Riesgos de Gestión'!$M$52="Mayor"),CONCATENATE("R",'Riesgos de Gestión'!$B$52),"")</f>
        <v/>
      </c>
      <c r="AE18" s="494"/>
      <c r="AF18" s="494" t="str">
        <f ca="1">IF(AND('Riesgos de Gestión'!$I$58="Alta",'Riesgos de Gestión'!$M$58="Mayor"),CONCATENATE("R",'Riesgos de Gestión'!$B$58),"")</f>
        <v/>
      </c>
      <c r="AG18" s="495"/>
      <c r="AH18" s="505" t="str">
        <f ca="1">IF(AND('Riesgos de Gestión'!$I$46="Alta",'Riesgos de Gestión'!$M$46="Catastrófico"),CONCATENATE("R",'Riesgos de Gestión'!$B$46),"")</f>
        <v/>
      </c>
      <c r="AI18" s="506"/>
      <c r="AJ18" s="506" t="str">
        <f ca="1">IF(AND('Riesgos de Gestión'!$I$52="Alta",'Riesgos de Gestión'!$M$52="Catastrófico"),CONCATENATE("R",'Riesgos de Gestión'!$B$52),"")</f>
        <v/>
      </c>
      <c r="AK18" s="506"/>
      <c r="AL18" s="506" t="str">
        <f ca="1">IF(AND('Riesgos de Gestión'!$I$58="Alta",'Riesgos de Gestión'!$M$58="Catastrófico"),CONCATENATE("R",'Riesgos de Gestión'!$B$58),"")</f>
        <v/>
      </c>
      <c r="AM18" s="507"/>
      <c r="AN18" s="69"/>
      <c r="AO18" s="461"/>
      <c r="AP18" s="462"/>
      <c r="AQ18" s="462"/>
      <c r="AR18" s="462"/>
      <c r="AS18" s="462"/>
      <c r="AT18" s="463"/>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row>
    <row r="19" spans="1:80" ht="15" customHeight="1" x14ac:dyDescent="0.25">
      <c r="A19" s="69"/>
      <c r="B19" s="447"/>
      <c r="C19" s="447"/>
      <c r="D19" s="448"/>
      <c r="E19" s="488"/>
      <c r="F19" s="489"/>
      <c r="G19" s="489"/>
      <c r="H19" s="489"/>
      <c r="I19" s="489"/>
      <c r="J19" s="514"/>
      <c r="K19" s="515"/>
      <c r="L19" s="515"/>
      <c r="M19" s="515"/>
      <c r="N19" s="515"/>
      <c r="O19" s="516"/>
      <c r="P19" s="514"/>
      <c r="Q19" s="515"/>
      <c r="R19" s="515"/>
      <c r="S19" s="515"/>
      <c r="T19" s="515"/>
      <c r="U19" s="516"/>
      <c r="V19" s="498"/>
      <c r="W19" s="494"/>
      <c r="X19" s="494"/>
      <c r="Y19" s="494"/>
      <c r="Z19" s="494"/>
      <c r="AA19" s="495"/>
      <c r="AB19" s="498"/>
      <c r="AC19" s="494"/>
      <c r="AD19" s="494"/>
      <c r="AE19" s="494"/>
      <c r="AF19" s="494"/>
      <c r="AG19" s="495"/>
      <c r="AH19" s="505"/>
      <c r="AI19" s="506"/>
      <c r="AJ19" s="506"/>
      <c r="AK19" s="506"/>
      <c r="AL19" s="506"/>
      <c r="AM19" s="507"/>
      <c r="AN19" s="69"/>
      <c r="AO19" s="461"/>
      <c r="AP19" s="462"/>
      <c r="AQ19" s="462"/>
      <c r="AR19" s="462"/>
      <c r="AS19" s="462"/>
      <c r="AT19" s="463"/>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row>
    <row r="20" spans="1:80" ht="15" customHeight="1" x14ac:dyDescent="0.25">
      <c r="A20" s="69"/>
      <c r="B20" s="447"/>
      <c r="C20" s="447"/>
      <c r="D20" s="448"/>
      <c r="E20" s="488"/>
      <c r="F20" s="489"/>
      <c r="G20" s="489"/>
      <c r="H20" s="489"/>
      <c r="I20" s="489"/>
      <c r="J20" s="514" t="str">
        <f ca="1">IF(AND('Riesgos de Gestión'!$I$64="Alta",'Riesgos de Gestión'!$M$64="Leve"),CONCATENATE("R",'Riesgos de Gestión'!$B$64),"")</f>
        <v/>
      </c>
      <c r="K20" s="515"/>
      <c r="L20" s="515" t="str">
        <f>IF(AND('Riesgos de Gestión'!$I$70="Alta",'Riesgos de Gestión'!$M$70="Leve"),CONCATENATE("R",'Riesgos de Gestión'!$B$70),"")</f>
        <v/>
      </c>
      <c r="M20" s="515"/>
      <c r="N20" s="515" t="str">
        <f>IF(AND('Riesgos de Gestión'!$I$76="Alta",'Riesgos de Gestión'!$M$76="Leve"),CONCATENATE("R",'Riesgos de Gestión'!$B$76),"")</f>
        <v/>
      </c>
      <c r="O20" s="516"/>
      <c r="P20" s="514" t="str">
        <f ca="1">IF(AND('Riesgos de Gestión'!$I$64="Alta",'Riesgos de Gestión'!$M$64="Menor"),CONCATENATE("R",'Riesgos de Gestión'!$B$64),"")</f>
        <v/>
      </c>
      <c r="Q20" s="515"/>
      <c r="R20" s="515" t="str">
        <f>IF(AND('Riesgos de Gestión'!$I$70="Alta",'Riesgos de Gestión'!$M$70="Menor"),CONCATENATE("R",'Riesgos de Gestión'!$B$70),"")</f>
        <v/>
      </c>
      <c r="S20" s="515"/>
      <c r="T20" s="515" t="str">
        <f>IF(AND('Riesgos de Gestión'!$I$76="Alta",'Riesgos de Gestión'!$M$76="Menor"),CONCATENATE("R",'Riesgos de Gestión'!$B$76),"")</f>
        <v/>
      </c>
      <c r="U20" s="516"/>
      <c r="V20" s="498" t="str">
        <f ca="1">IF(AND('Riesgos de Gestión'!$I$64="Alta",'Riesgos de Gestión'!$M$64="Moderado"),CONCATENATE("R",'Riesgos de Gestión'!$B$64),"")</f>
        <v/>
      </c>
      <c r="W20" s="494"/>
      <c r="X20" s="494" t="str">
        <f>IF(AND('Riesgos de Gestión'!$I$70="Alta",'Riesgos de Gestión'!$M$70="Moderado"),CONCATENATE("R",'Riesgos de Gestión'!$B$70),"")</f>
        <v/>
      </c>
      <c r="Y20" s="494"/>
      <c r="Z20" s="494" t="str">
        <f>IF(AND('Riesgos de Gestión'!$I$76="Alta",'Riesgos de Gestión'!$M$76="Moderado"),CONCATENATE("R",'Riesgos de Gestión'!$B$76),"")</f>
        <v/>
      </c>
      <c r="AA20" s="495"/>
      <c r="AB20" s="498" t="str">
        <f ca="1">IF(AND('Riesgos de Gestión'!$I$64="Alta",'Riesgos de Gestión'!$M$64="Mayor"),CONCATENATE("R",'Riesgos de Gestión'!$B$64),"")</f>
        <v/>
      </c>
      <c r="AC20" s="494"/>
      <c r="AD20" s="494" t="str">
        <f>IF(AND('Riesgos de Gestión'!$I$70="Alta",'Riesgos de Gestión'!$M$70="Mayor"),CONCATENATE("R",'Riesgos de Gestión'!$B$70),"")</f>
        <v/>
      </c>
      <c r="AE20" s="494"/>
      <c r="AF20" s="494" t="str">
        <f>IF(AND('Riesgos de Gestión'!$I$76="Alta",'Riesgos de Gestión'!$M$76="Mayor"),CONCATENATE("R",'Riesgos de Gestión'!$B$76),"")</f>
        <v/>
      </c>
      <c r="AG20" s="495"/>
      <c r="AH20" s="505" t="str">
        <f ca="1">IF(AND('Riesgos de Gestión'!$I$64="Alta",'Riesgos de Gestión'!$M$64="Catastrófico"),CONCATENATE("R",'Riesgos de Gestión'!$B$64),"")</f>
        <v/>
      </c>
      <c r="AI20" s="506"/>
      <c r="AJ20" s="506" t="str">
        <f>IF(AND('Riesgos de Gestión'!$I$70="Alta",'Riesgos de Gestión'!$M$70="Catastrófico"),CONCATENATE("R",'Riesgos de Gestión'!$B$70),"")</f>
        <v/>
      </c>
      <c r="AK20" s="506"/>
      <c r="AL20" s="506" t="str">
        <f>IF(AND('Riesgos de Gestión'!$I$76="Alta",'Riesgos de Gestión'!$M$76="Catastrófico"),CONCATENATE("R",'Riesgos de Gestión'!$B$76),"")</f>
        <v/>
      </c>
      <c r="AM20" s="507"/>
      <c r="AN20" s="69"/>
      <c r="AO20" s="461"/>
      <c r="AP20" s="462"/>
      <c r="AQ20" s="462"/>
      <c r="AR20" s="462"/>
      <c r="AS20" s="462"/>
      <c r="AT20" s="463"/>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row>
    <row r="21" spans="1:80" ht="15.75" customHeight="1" thickBot="1" x14ac:dyDescent="0.3">
      <c r="A21" s="69"/>
      <c r="B21" s="447"/>
      <c r="C21" s="447"/>
      <c r="D21" s="448"/>
      <c r="E21" s="491"/>
      <c r="F21" s="492"/>
      <c r="G21" s="492"/>
      <c r="H21" s="492"/>
      <c r="I21" s="492"/>
      <c r="J21" s="517"/>
      <c r="K21" s="518"/>
      <c r="L21" s="518"/>
      <c r="M21" s="518"/>
      <c r="N21" s="518"/>
      <c r="O21" s="519"/>
      <c r="P21" s="517"/>
      <c r="Q21" s="518"/>
      <c r="R21" s="518"/>
      <c r="S21" s="518"/>
      <c r="T21" s="518"/>
      <c r="U21" s="519"/>
      <c r="V21" s="502"/>
      <c r="W21" s="503"/>
      <c r="X21" s="503"/>
      <c r="Y21" s="503"/>
      <c r="Z21" s="503"/>
      <c r="AA21" s="504"/>
      <c r="AB21" s="502"/>
      <c r="AC21" s="503"/>
      <c r="AD21" s="503"/>
      <c r="AE21" s="503"/>
      <c r="AF21" s="503"/>
      <c r="AG21" s="504"/>
      <c r="AH21" s="508"/>
      <c r="AI21" s="509"/>
      <c r="AJ21" s="509"/>
      <c r="AK21" s="509"/>
      <c r="AL21" s="509"/>
      <c r="AM21" s="510"/>
      <c r="AN21" s="69"/>
      <c r="AO21" s="464"/>
      <c r="AP21" s="465"/>
      <c r="AQ21" s="465"/>
      <c r="AR21" s="465"/>
      <c r="AS21" s="465"/>
      <c r="AT21" s="466"/>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row>
    <row r="22" spans="1:80" x14ac:dyDescent="0.25">
      <c r="A22" s="69"/>
      <c r="B22" s="447"/>
      <c r="C22" s="447"/>
      <c r="D22" s="448"/>
      <c r="E22" s="485" t="s">
        <v>116</v>
      </c>
      <c r="F22" s="486"/>
      <c r="G22" s="486"/>
      <c r="H22" s="486"/>
      <c r="I22" s="487"/>
      <c r="J22" s="520" t="str">
        <f ca="1">IF(AND('Riesgos de Gestión'!$I$10="Media",'Riesgos de Gestión'!$M$10="Leve"),CONCATENATE("R",'Riesgos de Gestión'!$B$10),"")</f>
        <v/>
      </c>
      <c r="K22" s="521"/>
      <c r="L22" s="521" t="str">
        <f ca="1">IF(AND('Riesgos de Gestión'!$I$16="Media",'Riesgos de Gestión'!$M$16="Leve"),CONCATENATE("R",'Riesgos de Gestión'!$B$16),"")</f>
        <v/>
      </c>
      <c r="M22" s="521"/>
      <c r="N22" s="521" t="str">
        <f ca="1">IF(AND('Riesgos de Gestión'!$I$22="Media",'Riesgos de Gestión'!$M$22="Leve"),CONCATENATE("R",'Riesgos de Gestión'!$B$22),"")</f>
        <v/>
      </c>
      <c r="O22" s="522"/>
      <c r="P22" s="520" t="str">
        <f ca="1">IF(AND('Riesgos de Gestión'!$I$10="Media",'Riesgos de Gestión'!$M$10="Menor"),CONCATENATE("R",'Riesgos de Gestión'!$B$10),"")</f>
        <v/>
      </c>
      <c r="Q22" s="521"/>
      <c r="R22" s="521" t="str">
        <f ca="1">IF(AND('Riesgos de Gestión'!$I$16="Media",'Riesgos de Gestión'!$M$16="Menor"),CONCATENATE("R",'Riesgos de Gestión'!$B$16),"")</f>
        <v/>
      </c>
      <c r="S22" s="521"/>
      <c r="T22" s="521" t="str">
        <f ca="1">IF(AND('Riesgos de Gestión'!$I$22="Media",'Riesgos de Gestión'!$M$22="Menor"),CONCATENATE("R",'Riesgos de Gestión'!$B$22),"")</f>
        <v/>
      </c>
      <c r="U22" s="522"/>
      <c r="V22" s="520" t="str">
        <f ca="1">IF(AND('Riesgos de Gestión'!$I$10="Media",'Riesgos de Gestión'!$M$10="Moderado"),CONCATENATE("R",'Riesgos de Gestión'!$B$10),"")</f>
        <v/>
      </c>
      <c r="W22" s="521"/>
      <c r="X22" s="521" t="str">
        <f ca="1">IF(AND('Riesgos de Gestión'!$I$16="Media",'Riesgos de Gestión'!$M$16="Moderado"),CONCATENATE("R",'Riesgos de Gestión'!$B$16),"")</f>
        <v>R5</v>
      </c>
      <c r="Y22" s="521"/>
      <c r="Z22" s="521" t="str">
        <f ca="1">IF(AND('Riesgos de Gestión'!$I$22="Media",'Riesgos de Gestión'!$M$22="Moderado"),CONCATENATE("R",'Riesgos de Gestión'!$B$22),"")</f>
        <v>R9</v>
      </c>
      <c r="AA22" s="522"/>
      <c r="AB22" s="496" t="str">
        <f ca="1">IF(AND('Riesgos de Gestión'!$I$10="Media",'Riesgos de Gestión'!$M$10="Mayor"),CONCATENATE("R",'Riesgos de Gestión'!$B$10),"")</f>
        <v/>
      </c>
      <c r="AC22" s="497"/>
      <c r="AD22" s="497" t="str">
        <f ca="1">IF(AND('Riesgos de Gestión'!$I$16="Media",'Riesgos de Gestión'!$M$16="Mayor"),CONCATENATE("R",'Riesgos de Gestión'!$B$16),"")</f>
        <v/>
      </c>
      <c r="AE22" s="497"/>
      <c r="AF22" s="497" t="str">
        <f ca="1">IF(AND('Riesgos de Gestión'!$I$22="Media",'Riesgos de Gestión'!$M$22="Mayor"),CONCATENATE("R",'Riesgos de Gestión'!$B$22),"")</f>
        <v/>
      </c>
      <c r="AG22" s="499"/>
      <c r="AH22" s="511" t="str">
        <f ca="1">IF(AND('Riesgos de Gestión'!$I$10="Media",'Riesgos de Gestión'!$M$10="Catastrófico"),CONCATENATE("R",'Riesgos de Gestión'!$B$10),"")</f>
        <v/>
      </c>
      <c r="AI22" s="512"/>
      <c r="AJ22" s="512" t="str">
        <f ca="1">IF(AND('Riesgos de Gestión'!$I$16="Media",'Riesgos de Gestión'!$M$16="Catastrófico"),CONCATENATE("R",'Riesgos de Gestión'!$B$16),"")</f>
        <v/>
      </c>
      <c r="AK22" s="512"/>
      <c r="AL22" s="512" t="str">
        <f ca="1">IF(AND('Riesgos de Gestión'!$I$22="Media",'Riesgos de Gestión'!$M$22="Catastrófico"),CONCATENATE("R",'Riesgos de Gestión'!$B$22),"")</f>
        <v/>
      </c>
      <c r="AM22" s="513"/>
      <c r="AN22" s="69"/>
      <c r="AO22" s="467" t="s">
        <v>80</v>
      </c>
      <c r="AP22" s="468"/>
      <c r="AQ22" s="468"/>
      <c r="AR22" s="468"/>
      <c r="AS22" s="468"/>
      <c r="AT22" s="4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row>
    <row r="23" spans="1:80" x14ac:dyDescent="0.25">
      <c r="A23" s="69"/>
      <c r="B23" s="447"/>
      <c r="C23" s="447"/>
      <c r="D23" s="448"/>
      <c r="E23" s="488"/>
      <c r="F23" s="489"/>
      <c r="G23" s="489"/>
      <c r="H23" s="489"/>
      <c r="I23" s="490"/>
      <c r="J23" s="514"/>
      <c r="K23" s="515"/>
      <c r="L23" s="515"/>
      <c r="M23" s="515"/>
      <c r="N23" s="515"/>
      <c r="O23" s="516"/>
      <c r="P23" s="514"/>
      <c r="Q23" s="515"/>
      <c r="R23" s="515"/>
      <c r="S23" s="515"/>
      <c r="T23" s="515"/>
      <c r="U23" s="516"/>
      <c r="V23" s="514"/>
      <c r="W23" s="515"/>
      <c r="X23" s="515"/>
      <c r="Y23" s="515"/>
      <c r="Z23" s="515"/>
      <c r="AA23" s="516"/>
      <c r="AB23" s="498"/>
      <c r="AC23" s="494"/>
      <c r="AD23" s="494"/>
      <c r="AE23" s="494"/>
      <c r="AF23" s="494"/>
      <c r="AG23" s="495"/>
      <c r="AH23" s="505"/>
      <c r="AI23" s="506"/>
      <c r="AJ23" s="506"/>
      <c r="AK23" s="506"/>
      <c r="AL23" s="506"/>
      <c r="AM23" s="507"/>
      <c r="AN23" s="69"/>
      <c r="AO23" s="470"/>
      <c r="AP23" s="471"/>
      <c r="AQ23" s="471"/>
      <c r="AR23" s="471"/>
      <c r="AS23" s="471"/>
      <c r="AT23" s="472"/>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row>
    <row r="24" spans="1:80" x14ac:dyDescent="0.25">
      <c r="A24" s="69"/>
      <c r="B24" s="447"/>
      <c r="C24" s="447"/>
      <c r="D24" s="448"/>
      <c r="E24" s="488"/>
      <c r="F24" s="489"/>
      <c r="G24" s="489"/>
      <c r="H24" s="489"/>
      <c r="I24" s="490"/>
      <c r="J24" s="514" t="str">
        <f ca="1">IF(AND('Riesgos de Gestión'!$I$28="Media",'Riesgos de Gestión'!$M$28="Leve"),CONCATENATE("R",'Riesgos de Gestión'!$B$28),"")</f>
        <v/>
      </c>
      <c r="K24" s="515"/>
      <c r="L24" s="515" t="str">
        <f ca="1">IF(AND('Riesgos de Gestión'!$I$34="Media",'Riesgos de Gestión'!$M$34="Leve"),CONCATENATE("R",'Riesgos de Gestión'!$B$34),"")</f>
        <v/>
      </c>
      <c r="M24" s="515"/>
      <c r="N24" s="515" t="str">
        <f ca="1">IF(AND('Riesgos de Gestión'!$I$40="Media",'Riesgos de Gestión'!$M$40="Leve"),CONCATENATE("R",'Riesgos de Gestión'!$B$40),"")</f>
        <v/>
      </c>
      <c r="O24" s="516"/>
      <c r="P24" s="514" t="str">
        <f ca="1">IF(AND('Riesgos de Gestión'!$I$28="Media",'Riesgos de Gestión'!$M$28="Menor"),CONCATENATE("R",'Riesgos de Gestión'!$B$28),"")</f>
        <v/>
      </c>
      <c r="Q24" s="515"/>
      <c r="R24" s="515" t="str">
        <f ca="1">IF(AND('Riesgos de Gestión'!$I$34="Media",'Riesgos de Gestión'!$M$34="Menor"),CONCATENATE("R",'Riesgos de Gestión'!$B$34),"")</f>
        <v/>
      </c>
      <c r="S24" s="515"/>
      <c r="T24" s="515" t="str">
        <f ca="1">IF(AND('Riesgos de Gestión'!$I$40="Media",'Riesgos de Gestión'!$M$40="Menor"),CONCATENATE("R",'Riesgos de Gestión'!$B$40),"")</f>
        <v/>
      </c>
      <c r="U24" s="516"/>
      <c r="V24" s="514" t="str">
        <f ca="1">IF(AND('Riesgos de Gestión'!$I$28="Media",'Riesgos de Gestión'!$M$28="Moderado"),CONCATENATE("R",'Riesgos de Gestión'!$B$28),"")</f>
        <v/>
      </c>
      <c r="W24" s="515"/>
      <c r="X24" s="515" t="str">
        <f ca="1">IF(AND('Riesgos de Gestión'!$I$34="Media",'Riesgos de Gestión'!$M$34="Moderado"),CONCATENATE("R",'Riesgos de Gestión'!$B$34),"")</f>
        <v>R19</v>
      </c>
      <c r="Y24" s="515"/>
      <c r="Z24" s="515" t="str">
        <f ca="1">IF(AND('Riesgos de Gestión'!$I$40="Media",'Riesgos de Gestión'!$M$40="Moderado"),CONCATENATE("R",'Riesgos de Gestión'!$B$40),"")</f>
        <v/>
      </c>
      <c r="AA24" s="516"/>
      <c r="AB24" s="498" t="str">
        <f ca="1">IF(AND('Riesgos de Gestión'!$I$28="Media",'Riesgos de Gestión'!$M$28="Mayor"),CONCATENATE("R",'Riesgos de Gestión'!$B$28),"")</f>
        <v/>
      </c>
      <c r="AC24" s="494"/>
      <c r="AD24" s="494" t="str">
        <f ca="1">IF(AND('Riesgos de Gestión'!$I$34="Media",'Riesgos de Gestión'!$M$34="Mayor"),CONCATENATE("R",'Riesgos de Gestión'!$B$34),"")</f>
        <v/>
      </c>
      <c r="AE24" s="494"/>
      <c r="AF24" s="494" t="str">
        <f ca="1">IF(AND('Riesgos de Gestión'!$I$40="Media",'Riesgos de Gestión'!$M$40="Mayor"),CONCATENATE("R",'Riesgos de Gestión'!$B$40),"")</f>
        <v>R23</v>
      </c>
      <c r="AG24" s="495"/>
      <c r="AH24" s="505" t="str">
        <f ca="1">IF(AND('Riesgos de Gestión'!$I$28="Media",'Riesgos de Gestión'!$M$28="Catastrófico"),CONCATENATE("R",'Riesgos de Gestión'!$B$28),"")</f>
        <v/>
      </c>
      <c r="AI24" s="506"/>
      <c r="AJ24" s="506" t="str">
        <f ca="1">IF(AND('Riesgos de Gestión'!$I$34="Media",'Riesgos de Gestión'!$M$34="Catastrófico"),CONCATENATE("R",'Riesgos de Gestión'!$B$34),"")</f>
        <v/>
      </c>
      <c r="AK24" s="506"/>
      <c r="AL24" s="506" t="str">
        <f ca="1">IF(AND('Riesgos de Gestión'!$I$40="Media",'Riesgos de Gestión'!$M$40="Catastrófico"),CONCATENATE("R",'Riesgos de Gestión'!$B$40),"")</f>
        <v/>
      </c>
      <c r="AM24" s="507"/>
      <c r="AN24" s="69"/>
      <c r="AO24" s="470"/>
      <c r="AP24" s="471"/>
      <c r="AQ24" s="471"/>
      <c r="AR24" s="471"/>
      <c r="AS24" s="471"/>
      <c r="AT24" s="472"/>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row>
    <row r="25" spans="1:80" x14ac:dyDescent="0.25">
      <c r="A25" s="69"/>
      <c r="B25" s="447"/>
      <c r="C25" s="447"/>
      <c r="D25" s="448"/>
      <c r="E25" s="488"/>
      <c r="F25" s="489"/>
      <c r="G25" s="489"/>
      <c r="H25" s="489"/>
      <c r="I25" s="490"/>
      <c r="J25" s="514"/>
      <c r="K25" s="515"/>
      <c r="L25" s="515"/>
      <c r="M25" s="515"/>
      <c r="N25" s="515"/>
      <c r="O25" s="516"/>
      <c r="P25" s="514"/>
      <c r="Q25" s="515"/>
      <c r="R25" s="515"/>
      <c r="S25" s="515"/>
      <c r="T25" s="515"/>
      <c r="U25" s="516"/>
      <c r="V25" s="514"/>
      <c r="W25" s="515"/>
      <c r="X25" s="515"/>
      <c r="Y25" s="515"/>
      <c r="Z25" s="515"/>
      <c r="AA25" s="516"/>
      <c r="AB25" s="498"/>
      <c r="AC25" s="494"/>
      <c r="AD25" s="494"/>
      <c r="AE25" s="494"/>
      <c r="AF25" s="494"/>
      <c r="AG25" s="495"/>
      <c r="AH25" s="505"/>
      <c r="AI25" s="506"/>
      <c r="AJ25" s="506"/>
      <c r="AK25" s="506"/>
      <c r="AL25" s="506"/>
      <c r="AM25" s="507"/>
      <c r="AN25" s="69"/>
      <c r="AO25" s="470"/>
      <c r="AP25" s="471"/>
      <c r="AQ25" s="471"/>
      <c r="AR25" s="471"/>
      <c r="AS25" s="471"/>
      <c r="AT25" s="472"/>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row>
    <row r="26" spans="1:80" x14ac:dyDescent="0.25">
      <c r="A26" s="69"/>
      <c r="B26" s="447"/>
      <c r="C26" s="447"/>
      <c r="D26" s="448"/>
      <c r="E26" s="488"/>
      <c r="F26" s="489"/>
      <c r="G26" s="489"/>
      <c r="H26" s="489"/>
      <c r="I26" s="490"/>
      <c r="J26" s="514" t="str">
        <f ca="1">IF(AND('Riesgos de Gestión'!$I$46="Media",'Riesgos de Gestión'!$M$46="Leve"),CONCATENATE("R",'Riesgos de Gestión'!$B$46),"")</f>
        <v/>
      </c>
      <c r="K26" s="515"/>
      <c r="L26" s="515" t="str">
        <f ca="1">IF(AND('Riesgos de Gestión'!$I$52="Media",'Riesgos de Gestión'!$M$52="Leve"),CONCATENATE("R",'Riesgos de Gestión'!$B$52),"")</f>
        <v/>
      </c>
      <c r="M26" s="515"/>
      <c r="N26" s="515" t="str">
        <f ca="1">IF(AND('Riesgos de Gestión'!$I$58="Media",'Riesgos de Gestión'!$M$58="Leve"),CONCATENATE("R",'Riesgos de Gestión'!$B$58),"")</f>
        <v/>
      </c>
      <c r="O26" s="516"/>
      <c r="P26" s="514" t="str">
        <f ca="1">IF(AND('Riesgos de Gestión'!$I$46="Media",'Riesgos de Gestión'!$M$46="Menor"),CONCATENATE("R",'Riesgos de Gestión'!$B$46),"")</f>
        <v/>
      </c>
      <c r="Q26" s="515"/>
      <c r="R26" s="515" t="str">
        <f ca="1">IF(AND('Riesgos de Gestión'!$I$52="Media",'Riesgos de Gestión'!$M$52="Menor"),CONCATENATE("R",'Riesgos de Gestión'!$B$52),"")</f>
        <v/>
      </c>
      <c r="S26" s="515"/>
      <c r="T26" s="515" t="str">
        <f ca="1">IF(AND('Riesgos de Gestión'!$I$58="Media",'Riesgos de Gestión'!$M$58="Menor"),CONCATENATE("R",'Riesgos de Gestión'!$B$58),"")</f>
        <v/>
      </c>
      <c r="U26" s="516"/>
      <c r="V26" s="514" t="str">
        <f ca="1">IF(AND('Riesgos de Gestión'!$I$46="Media",'Riesgos de Gestión'!$M$46="Moderado"),CONCATENATE("R",'Riesgos de Gestión'!$B$46),"")</f>
        <v>R26</v>
      </c>
      <c r="W26" s="515"/>
      <c r="X26" s="515" t="str">
        <f ca="1">IF(AND('Riesgos de Gestión'!$I$52="Media",'Riesgos de Gestión'!$M$52="Moderado"),CONCATENATE("R",'Riesgos de Gestión'!$B$52),"")</f>
        <v/>
      </c>
      <c r="Y26" s="515"/>
      <c r="Z26" s="515" t="str">
        <f ca="1">IF(AND('Riesgos de Gestión'!$I$58="Media",'Riesgos de Gestión'!$M$58="Moderado"),CONCATENATE("R",'Riesgos de Gestión'!$B$58),"")</f>
        <v/>
      </c>
      <c r="AA26" s="516"/>
      <c r="AB26" s="498" t="str">
        <f ca="1">IF(AND('Riesgos de Gestión'!$I$46="Media",'Riesgos de Gestión'!$M$46="Mayor"),CONCATENATE("R",'Riesgos de Gestión'!$B$46),"")</f>
        <v/>
      </c>
      <c r="AC26" s="494"/>
      <c r="AD26" s="494" t="str">
        <f ca="1">IF(AND('Riesgos de Gestión'!$I$52="Media",'Riesgos de Gestión'!$M$52="Mayor"),CONCATENATE("R",'Riesgos de Gestión'!$B$52),"")</f>
        <v/>
      </c>
      <c r="AE26" s="494"/>
      <c r="AF26" s="494" t="str">
        <f ca="1">IF(AND('Riesgos de Gestión'!$I$58="Media",'Riesgos de Gestión'!$M$58="Mayor"),CONCATENATE("R",'Riesgos de Gestión'!$B$58),"")</f>
        <v/>
      </c>
      <c r="AG26" s="495"/>
      <c r="AH26" s="505" t="str">
        <f ca="1">IF(AND('Riesgos de Gestión'!$I$46="Media",'Riesgos de Gestión'!$M$46="Catastrófico"),CONCATENATE("R",'Riesgos de Gestión'!$B$46),"")</f>
        <v/>
      </c>
      <c r="AI26" s="506"/>
      <c r="AJ26" s="506" t="str">
        <f ca="1">IF(AND('Riesgos de Gestión'!$I$52="Media",'Riesgos de Gestión'!$M$52="Catastrófico"),CONCATENATE("R",'Riesgos de Gestión'!$B$52),"")</f>
        <v/>
      </c>
      <c r="AK26" s="506"/>
      <c r="AL26" s="506" t="str">
        <f ca="1">IF(AND('Riesgos de Gestión'!$I$58="Media",'Riesgos de Gestión'!$M$58="Catastrófico"),CONCATENATE("R",'Riesgos de Gestión'!$B$58),"")</f>
        <v/>
      </c>
      <c r="AM26" s="507"/>
      <c r="AN26" s="69"/>
      <c r="AO26" s="470"/>
      <c r="AP26" s="471"/>
      <c r="AQ26" s="471"/>
      <c r="AR26" s="471"/>
      <c r="AS26" s="471"/>
      <c r="AT26" s="472"/>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row>
    <row r="27" spans="1:80" x14ac:dyDescent="0.25">
      <c r="A27" s="69"/>
      <c r="B27" s="447"/>
      <c r="C27" s="447"/>
      <c r="D27" s="448"/>
      <c r="E27" s="488"/>
      <c r="F27" s="489"/>
      <c r="G27" s="489"/>
      <c r="H27" s="489"/>
      <c r="I27" s="490"/>
      <c r="J27" s="514"/>
      <c r="K27" s="515"/>
      <c r="L27" s="515"/>
      <c r="M27" s="515"/>
      <c r="N27" s="515"/>
      <c r="O27" s="516"/>
      <c r="P27" s="514"/>
      <c r="Q27" s="515"/>
      <c r="R27" s="515"/>
      <c r="S27" s="515"/>
      <c r="T27" s="515"/>
      <c r="U27" s="516"/>
      <c r="V27" s="514"/>
      <c r="W27" s="515"/>
      <c r="X27" s="515"/>
      <c r="Y27" s="515"/>
      <c r="Z27" s="515"/>
      <c r="AA27" s="516"/>
      <c r="AB27" s="498"/>
      <c r="AC27" s="494"/>
      <c r="AD27" s="494"/>
      <c r="AE27" s="494"/>
      <c r="AF27" s="494"/>
      <c r="AG27" s="495"/>
      <c r="AH27" s="505"/>
      <c r="AI27" s="506"/>
      <c r="AJ27" s="506"/>
      <c r="AK27" s="506"/>
      <c r="AL27" s="506"/>
      <c r="AM27" s="507"/>
      <c r="AN27" s="69"/>
      <c r="AO27" s="470"/>
      <c r="AP27" s="471"/>
      <c r="AQ27" s="471"/>
      <c r="AR27" s="471"/>
      <c r="AS27" s="471"/>
      <c r="AT27" s="472"/>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row>
    <row r="28" spans="1:80" x14ac:dyDescent="0.25">
      <c r="A28" s="69"/>
      <c r="B28" s="447"/>
      <c r="C28" s="447"/>
      <c r="D28" s="448"/>
      <c r="E28" s="488"/>
      <c r="F28" s="489"/>
      <c r="G28" s="489"/>
      <c r="H28" s="489"/>
      <c r="I28" s="490"/>
      <c r="J28" s="514" t="str">
        <f ca="1">IF(AND('Riesgos de Gestión'!$I$64="Media",'Riesgos de Gestión'!$M$64="Leve"),CONCATENATE("R",'Riesgos de Gestión'!$B$64),"")</f>
        <v/>
      </c>
      <c r="K28" s="515"/>
      <c r="L28" s="515" t="str">
        <f>IF(AND('Riesgos de Gestión'!$I$70="Media",'Riesgos de Gestión'!$M$70="Leve"),CONCATENATE("R",'Riesgos de Gestión'!$B$70),"")</f>
        <v/>
      </c>
      <c r="M28" s="515"/>
      <c r="N28" s="515" t="str">
        <f>IF(AND('Riesgos de Gestión'!$I$76="Media",'Riesgos de Gestión'!$M$76="Leve"),CONCATENATE("R",'Riesgos de Gestión'!$B$76),"")</f>
        <v/>
      </c>
      <c r="O28" s="516"/>
      <c r="P28" s="514" t="str">
        <f ca="1">IF(AND('Riesgos de Gestión'!$I$64="Media",'Riesgos de Gestión'!$M$64="Menor"),CONCATENATE("R",'Riesgos de Gestión'!$B$64),"")</f>
        <v/>
      </c>
      <c r="Q28" s="515"/>
      <c r="R28" s="515" t="str">
        <f>IF(AND('Riesgos de Gestión'!$I$70="Media",'Riesgos de Gestión'!$M$70="Menor"),CONCATENATE("R",'Riesgos de Gestión'!$B$70),"")</f>
        <v/>
      </c>
      <c r="S28" s="515"/>
      <c r="T28" s="515" t="str">
        <f>IF(AND('Riesgos de Gestión'!$I$76="Media",'Riesgos de Gestión'!$M$76="Menor"),CONCATENATE("R",'Riesgos de Gestión'!$B$76),"")</f>
        <v/>
      </c>
      <c r="U28" s="516"/>
      <c r="V28" s="514" t="str">
        <f ca="1">IF(AND('Riesgos de Gestión'!$I$64="Media",'Riesgos de Gestión'!$M$64="Moderado"),CONCATENATE("R",'Riesgos de Gestión'!$B$64),"")</f>
        <v/>
      </c>
      <c r="W28" s="515"/>
      <c r="X28" s="515" t="str">
        <f>IF(AND('Riesgos de Gestión'!$I$70="Media",'Riesgos de Gestión'!$M$70="Moderado"),CONCATENATE("R",'Riesgos de Gestión'!$B$70),"")</f>
        <v/>
      </c>
      <c r="Y28" s="515"/>
      <c r="Z28" s="515" t="str">
        <f>IF(AND('Riesgos de Gestión'!$I$76="Media",'Riesgos de Gestión'!$M$76="Moderado"),CONCATENATE("R",'Riesgos de Gestión'!$B$76),"")</f>
        <v/>
      </c>
      <c r="AA28" s="516"/>
      <c r="AB28" s="498" t="str">
        <f ca="1">IF(AND('Riesgos de Gestión'!$I$64="Media",'Riesgos de Gestión'!$M$64="Mayor"),CONCATENATE("R",'Riesgos de Gestión'!$B$64),"")</f>
        <v/>
      </c>
      <c r="AC28" s="494"/>
      <c r="AD28" s="494" t="str">
        <f>IF(AND('Riesgos de Gestión'!$I$70="Media",'Riesgos de Gestión'!$M$70="Mayor"),CONCATENATE("R",'Riesgos de Gestión'!$B$70),"")</f>
        <v/>
      </c>
      <c r="AE28" s="494"/>
      <c r="AF28" s="494" t="str">
        <f>IF(AND('Riesgos de Gestión'!$I$76="Media",'Riesgos de Gestión'!$M$76="Mayor"),CONCATENATE("R",'Riesgos de Gestión'!$B$76),"")</f>
        <v/>
      </c>
      <c r="AG28" s="495"/>
      <c r="AH28" s="505" t="str">
        <f ca="1">IF(AND('Riesgos de Gestión'!$I$64="Media",'Riesgos de Gestión'!$M$64="Catastrófico"),CONCATENATE("R",'Riesgos de Gestión'!$B$64),"")</f>
        <v/>
      </c>
      <c r="AI28" s="506"/>
      <c r="AJ28" s="506" t="str">
        <f>IF(AND('Riesgos de Gestión'!$I$70="Media",'Riesgos de Gestión'!$M$70="Catastrófico"),CONCATENATE("R",'Riesgos de Gestión'!$B$70),"")</f>
        <v/>
      </c>
      <c r="AK28" s="506"/>
      <c r="AL28" s="506" t="str">
        <f>IF(AND('Riesgos de Gestión'!$I$76="Media",'Riesgos de Gestión'!$M$76="Catastrófico"),CONCATENATE("R",'Riesgos de Gestión'!$B$76),"")</f>
        <v/>
      </c>
      <c r="AM28" s="507"/>
      <c r="AN28" s="69"/>
      <c r="AO28" s="470"/>
      <c r="AP28" s="471"/>
      <c r="AQ28" s="471"/>
      <c r="AR28" s="471"/>
      <c r="AS28" s="471"/>
      <c r="AT28" s="472"/>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row>
    <row r="29" spans="1:80" ht="15.75" thickBot="1" x14ac:dyDescent="0.3">
      <c r="A29" s="69"/>
      <c r="B29" s="447"/>
      <c r="C29" s="447"/>
      <c r="D29" s="448"/>
      <c r="E29" s="491"/>
      <c r="F29" s="492"/>
      <c r="G29" s="492"/>
      <c r="H29" s="492"/>
      <c r="I29" s="493"/>
      <c r="J29" s="514"/>
      <c r="K29" s="515"/>
      <c r="L29" s="515"/>
      <c r="M29" s="515"/>
      <c r="N29" s="515"/>
      <c r="O29" s="516"/>
      <c r="P29" s="517"/>
      <c r="Q29" s="518"/>
      <c r="R29" s="518"/>
      <c r="S29" s="518"/>
      <c r="T29" s="518"/>
      <c r="U29" s="519"/>
      <c r="V29" s="517"/>
      <c r="W29" s="518"/>
      <c r="X29" s="518"/>
      <c r="Y29" s="518"/>
      <c r="Z29" s="518"/>
      <c r="AA29" s="519"/>
      <c r="AB29" s="502"/>
      <c r="AC29" s="503"/>
      <c r="AD29" s="503"/>
      <c r="AE29" s="503"/>
      <c r="AF29" s="503"/>
      <c r="AG29" s="504"/>
      <c r="AH29" s="508"/>
      <c r="AI29" s="509"/>
      <c r="AJ29" s="509"/>
      <c r="AK29" s="509"/>
      <c r="AL29" s="509"/>
      <c r="AM29" s="510"/>
      <c r="AN29" s="69"/>
      <c r="AO29" s="473"/>
      <c r="AP29" s="474"/>
      <c r="AQ29" s="474"/>
      <c r="AR29" s="474"/>
      <c r="AS29" s="474"/>
      <c r="AT29" s="475"/>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row>
    <row r="30" spans="1:80" x14ac:dyDescent="0.25">
      <c r="A30" s="69"/>
      <c r="B30" s="447"/>
      <c r="C30" s="447"/>
      <c r="D30" s="448"/>
      <c r="E30" s="485" t="s">
        <v>113</v>
      </c>
      <c r="F30" s="486"/>
      <c r="G30" s="486"/>
      <c r="H30" s="486"/>
      <c r="I30" s="486"/>
      <c r="J30" s="529" t="str">
        <f ca="1">IF(AND('Riesgos de Gestión'!$I$10="Baja",'Riesgos de Gestión'!$M$10="Leve"),CONCATENATE("R",'Riesgos de Gestión'!$B$10),"")</f>
        <v/>
      </c>
      <c r="K30" s="530"/>
      <c r="L30" s="530" t="str">
        <f ca="1">IF(AND('Riesgos de Gestión'!$I$16="Baja",'Riesgos de Gestión'!$M$16="Leve"),CONCATENATE("R",'Riesgos de Gestión'!$B$16),"")</f>
        <v/>
      </c>
      <c r="M30" s="530"/>
      <c r="N30" s="530" t="str">
        <f ca="1">IF(AND('Riesgos de Gestión'!$I$22="Baja",'Riesgos de Gestión'!$M$22="Leve"),CONCATENATE("R",'Riesgos de Gestión'!$B$22),"")</f>
        <v/>
      </c>
      <c r="O30" s="531"/>
      <c r="P30" s="521" t="str">
        <f ca="1">IF(AND('Riesgos de Gestión'!$I$10="Baja",'Riesgos de Gestión'!$M$10="Menor"),CONCATENATE("R",'Riesgos de Gestión'!$B$10),"")</f>
        <v/>
      </c>
      <c r="Q30" s="521"/>
      <c r="R30" s="521" t="str">
        <f ca="1">IF(AND('Riesgos de Gestión'!$I$16="Baja",'Riesgos de Gestión'!$M$16="Menor"),CONCATENATE("R",'Riesgos de Gestión'!$B$16),"")</f>
        <v/>
      </c>
      <c r="S30" s="521"/>
      <c r="T30" s="521" t="str">
        <f ca="1">IF(AND('Riesgos de Gestión'!$I$22="Baja",'Riesgos de Gestión'!$M$22="Menor"),CONCATENATE("R",'Riesgos de Gestión'!$B$22),"")</f>
        <v/>
      </c>
      <c r="U30" s="522"/>
      <c r="V30" s="520" t="str">
        <f ca="1">IF(AND('Riesgos de Gestión'!$I$10="Baja",'Riesgos de Gestión'!$M$10="Moderado"),CONCATENATE("R",'Riesgos de Gestión'!$B$10),"")</f>
        <v/>
      </c>
      <c r="W30" s="521"/>
      <c r="X30" s="521" t="str">
        <f ca="1">IF(AND('Riesgos de Gestión'!$I$16="Baja",'Riesgos de Gestión'!$M$16="Moderado"),CONCATENATE("R",'Riesgos de Gestión'!$B$16),"")</f>
        <v/>
      </c>
      <c r="Y30" s="521"/>
      <c r="Z30" s="521" t="str">
        <f ca="1">IF(AND('Riesgos de Gestión'!$I$22="Baja",'Riesgos de Gestión'!$M$22="Moderado"),CONCATENATE("R",'Riesgos de Gestión'!$B$22),"")</f>
        <v/>
      </c>
      <c r="AA30" s="522"/>
      <c r="AB30" s="496" t="str">
        <f ca="1">IF(AND('Riesgos de Gestión'!$I$10="Baja",'Riesgos de Gestión'!$M$10="Mayor"),CONCATENATE("R",'Riesgos de Gestión'!$B$10),"")</f>
        <v/>
      </c>
      <c r="AC30" s="497"/>
      <c r="AD30" s="497" t="str">
        <f ca="1">IF(AND('Riesgos de Gestión'!$I$16="Baja",'Riesgos de Gestión'!$M$16="Mayor"),CONCATENATE("R",'Riesgos de Gestión'!$B$16),"")</f>
        <v/>
      </c>
      <c r="AE30" s="497"/>
      <c r="AF30" s="497" t="str">
        <f ca="1">IF(AND('Riesgos de Gestión'!$I$22="Baja",'Riesgos de Gestión'!$M$22="Mayor"),CONCATENATE("R",'Riesgos de Gestión'!$B$22),"")</f>
        <v/>
      </c>
      <c r="AG30" s="499"/>
      <c r="AH30" s="511" t="str">
        <f ca="1">IF(AND('Riesgos de Gestión'!$I$10="Baja",'Riesgos de Gestión'!$M$10="Catastrófico"),CONCATENATE("R",'Riesgos de Gestión'!$B$10),"")</f>
        <v/>
      </c>
      <c r="AI30" s="512"/>
      <c r="AJ30" s="512" t="str">
        <f ca="1">IF(AND('Riesgos de Gestión'!$I$16="Baja",'Riesgos de Gestión'!$M$16="Catastrófico"),CONCATENATE("R",'Riesgos de Gestión'!$B$16),"")</f>
        <v/>
      </c>
      <c r="AK30" s="512"/>
      <c r="AL30" s="512" t="str">
        <f ca="1">IF(AND('Riesgos de Gestión'!$I$22="Baja",'Riesgos de Gestión'!$M$22="Catastrófico"),CONCATENATE("R",'Riesgos de Gestión'!$B$22),"")</f>
        <v/>
      </c>
      <c r="AM30" s="513"/>
      <c r="AN30" s="69"/>
      <c r="AO30" s="476" t="s">
        <v>81</v>
      </c>
      <c r="AP30" s="477"/>
      <c r="AQ30" s="477"/>
      <c r="AR30" s="477"/>
      <c r="AS30" s="477"/>
      <c r="AT30" s="478"/>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row>
    <row r="31" spans="1:80" x14ac:dyDescent="0.25">
      <c r="A31" s="69"/>
      <c r="B31" s="447"/>
      <c r="C31" s="447"/>
      <c r="D31" s="448"/>
      <c r="E31" s="488"/>
      <c r="F31" s="489"/>
      <c r="G31" s="489"/>
      <c r="H31" s="489"/>
      <c r="I31" s="489"/>
      <c r="J31" s="525"/>
      <c r="K31" s="523"/>
      <c r="L31" s="523"/>
      <c r="M31" s="523"/>
      <c r="N31" s="523"/>
      <c r="O31" s="524"/>
      <c r="P31" s="515"/>
      <c r="Q31" s="515"/>
      <c r="R31" s="515"/>
      <c r="S31" s="515"/>
      <c r="T31" s="515"/>
      <c r="U31" s="516"/>
      <c r="V31" s="514"/>
      <c r="W31" s="515"/>
      <c r="X31" s="515"/>
      <c r="Y31" s="515"/>
      <c r="Z31" s="515"/>
      <c r="AA31" s="516"/>
      <c r="AB31" s="498"/>
      <c r="AC31" s="494"/>
      <c r="AD31" s="494"/>
      <c r="AE31" s="494"/>
      <c r="AF31" s="494"/>
      <c r="AG31" s="495"/>
      <c r="AH31" s="505"/>
      <c r="AI31" s="506"/>
      <c r="AJ31" s="506"/>
      <c r="AK31" s="506"/>
      <c r="AL31" s="506"/>
      <c r="AM31" s="507"/>
      <c r="AN31" s="69"/>
      <c r="AO31" s="479"/>
      <c r="AP31" s="480"/>
      <c r="AQ31" s="480"/>
      <c r="AR31" s="480"/>
      <c r="AS31" s="480"/>
      <c r="AT31" s="481"/>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row>
    <row r="32" spans="1:80" x14ac:dyDescent="0.25">
      <c r="A32" s="69"/>
      <c r="B32" s="447"/>
      <c r="C32" s="447"/>
      <c r="D32" s="448"/>
      <c r="E32" s="488"/>
      <c r="F32" s="489"/>
      <c r="G32" s="489"/>
      <c r="H32" s="489"/>
      <c r="I32" s="489"/>
      <c r="J32" s="525" t="str">
        <f ca="1">IF(AND('Riesgos de Gestión'!$I$28="Baja",'Riesgos de Gestión'!$M$28="Leve"),CONCATENATE("R",'Riesgos de Gestión'!$B$28),"")</f>
        <v/>
      </c>
      <c r="K32" s="523"/>
      <c r="L32" s="523" t="str">
        <f ca="1">IF(AND('Riesgos de Gestión'!$I$34="Baja",'Riesgos de Gestión'!$M$34="Leve"),CONCATENATE("R",'Riesgos de Gestión'!$B$34),"")</f>
        <v/>
      </c>
      <c r="M32" s="523"/>
      <c r="N32" s="523" t="str">
        <f ca="1">IF(AND('Riesgos de Gestión'!$I$40="Baja",'Riesgos de Gestión'!$M$40="Leve"),CONCATENATE("R",'Riesgos de Gestión'!$B$40),"")</f>
        <v/>
      </c>
      <c r="O32" s="524"/>
      <c r="P32" s="515" t="str">
        <f ca="1">IF(AND('Riesgos de Gestión'!$I$28="Baja",'Riesgos de Gestión'!$M$28="Menor"),CONCATENATE("R",'Riesgos de Gestión'!$B$28),"")</f>
        <v>R15</v>
      </c>
      <c r="Q32" s="515"/>
      <c r="R32" s="515" t="str">
        <f ca="1">IF(AND('Riesgos de Gestión'!$I$34="Baja",'Riesgos de Gestión'!$M$34="Menor"),CONCATENATE("R",'Riesgos de Gestión'!$B$34),"")</f>
        <v/>
      </c>
      <c r="S32" s="515"/>
      <c r="T32" s="515" t="str">
        <f ca="1">IF(AND('Riesgos de Gestión'!$I$40="Baja",'Riesgos de Gestión'!$M$40="Menor"),CONCATENATE("R",'Riesgos de Gestión'!$B$40),"")</f>
        <v/>
      </c>
      <c r="U32" s="516"/>
      <c r="V32" s="514" t="str">
        <f ca="1">IF(AND('Riesgos de Gestión'!$I$28="Baja",'Riesgos de Gestión'!$M$28="Moderado"),CONCATENATE("R",'Riesgos de Gestión'!$B$28),"")</f>
        <v/>
      </c>
      <c r="W32" s="515"/>
      <c r="X32" s="515" t="str">
        <f ca="1">IF(AND('Riesgos de Gestión'!$I$34="Baja",'Riesgos de Gestión'!$M$34="Moderado"),CONCATENATE("R",'Riesgos de Gestión'!$B$34),"")</f>
        <v/>
      </c>
      <c r="Y32" s="515"/>
      <c r="Z32" s="515" t="str">
        <f ca="1">IF(AND('Riesgos de Gestión'!$I$40="Baja",'Riesgos de Gestión'!$M$40="Moderado"),CONCATENATE("R",'Riesgos de Gestión'!$B$40),"")</f>
        <v/>
      </c>
      <c r="AA32" s="516"/>
      <c r="AB32" s="498" t="str">
        <f ca="1">IF(AND('Riesgos de Gestión'!$I$28="Baja",'Riesgos de Gestión'!$M$28="Mayor"),CONCATENATE("R",'Riesgos de Gestión'!$B$28),"")</f>
        <v/>
      </c>
      <c r="AC32" s="494"/>
      <c r="AD32" s="494" t="str">
        <f ca="1">IF(AND('Riesgos de Gestión'!$I$34="Baja",'Riesgos de Gestión'!$M$34="Mayor"),CONCATENATE("R",'Riesgos de Gestión'!$B$34),"")</f>
        <v/>
      </c>
      <c r="AE32" s="494"/>
      <c r="AF32" s="494" t="str">
        <f ca="1">IF(AND('Riesgos de Gestión'!$I$40="Baja",'Riesgos de Gestión'!$M$40="Mayor"),CONCATENATE("R",'Riesgos de Gestión'!$B$40),"")</f>
        <v/>
      </c>
      <c r="AG32" s="495"/>
      <c r="AH32" s="505" t="str">
        <f ca="1">IF(AND('Riesgos de Gestión'!$I$28="Baja",'Riesgos de Gestión'!$M$28="Catastrófico"),CONCATENATE("R",'Riesgos de Gestión'!$B$28),"")</f>
        <v/>
      </c>
      <c r="AI32" s="506"/>
      <c r="AJ32" s="506" t="str">
        <f ca="1">IF(AND('Riesgos de Gestión'!$I$34="Baja",'Riesgos de Gestión'!$M$34="Catastrófico"),CONCATENATE("R",'Riesgos de Gestión'!$B$34),"")</f>
        <v/>
      </c>
      <c r="AK32" s="506"/>
      <c r="AL32" s="506" t="str">
        <f ca="1">IF(AND('Riesgos de Gestión'!$I$40="Baja",'Riesgos de Gestión'!$M$40="Catastrófico"),CONCATENATE("R",'Riesgos de Gestión'!$B$40),"")</f>
        <v/>
      </c>
      <c r="AM32" s="507"/>
      <c r="AN32" s="69"/>
      <c r="AO32" s="479"/>
      <c r="AP32" s="480"/>
      <c r="AQ32" s="480"/>
      <c r="AR32" s="480"/>
      <c r="AS32" s="480"/>
      <c r="AT32" s="481"/>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row>
    <row r="33" spans="1:80" x14ac:dyDescent="0.25">
      <c r="A33" s="69"/>
      <c r="B33" s="447"/>
      <c r="C33" s="447"/>
      <c r="D33" s="448"/>
      <c r="E33" s="488"/>
      <c r="F33" s="489"/>
      <c r="G33" s="489"/>
      <c r="H33" s="489"/>
      <c r="I33" s="489"/>
      <c r="J33" s="525"/>
      <c r="K33" s="523"/>
      <c r="L33" s="523"/>
      <c r="M33" s="523"/>
      <c r="N33" s="523"/>
      <c r="O33" s="524"/>
      <c r="P33" s="515"/>
      <c r="Q33" s="515"/>
      <c r="R33" s="515"/>
      <c r="S33" s="515"/>
      <c r="T33" s="515"/>
      <c r="U33" s="516"/>
      <c r="V33" s="514"/>
      <c r="W33" s="515"/>
      <c r="X33" s="515"/>
      <c r="Y33" s="515"/>
      <c r="Z33" s="515"/>
      <c r="AA33" s="516"/>
      <c r="AB33" s="498"/>
      <c r="AC33" s="494"/>
      <c r="AD33" s="494"/>
      <c r="AE33" s="494"/>
      <c r="AF33" s="494"/>
      <c r="AG33" s="495"/>
      <c r="AH33" s="505"/>
      <c r="AI33" s="506"/>
      <c r="AJ33" s="506"/>
      <c r="AK33" s="506"/>
      <c r="AL33" s="506"/>
      <c r="AM33" s="507"/>
      <c r="AN33" s="69"/>
      <c r="AO33" s="479"/>
      <c r="AP33" s="480"/>
      <c r="AQ33" s="480"/>
      <c r="AR33" s="480"/>
      <c r="AS33" s="480"/>
      <c r="AT33" s="481"/>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row>
    <row r="34" spans="1:80" x14ac:dyDescent="0.25">
      <c r="A34" s="69"/>
      <c r="B34" s="447"/>
      <c r="C34" s="447"/>
      <c r="D34" s="448"/>
      <c r="E34" s="488"/>
      <c r="F34" s="489"/>
      <c r="G34" s="489"/>
      <c r="H34" s="489"/>
      <c r="I34" s="489"/>
      <c r="J34" s="525" t="str">
        <f ca="1">IF(AND('Riesgos de Gestión'!$I$46="Baja",'Riesgos de Gestión'!$M$46="Leve"),CONCATENATE("R",'Riesgos de Gestión'!$B$46),"")</f>
        <v/>
      </c>
      <c r="K34" s="523"/>
      <c r="L34" s="523" t="str">
        <f ca="1">IF(AND('Riesgos de Gestión'!$I$52="Baja",'Riesgos de Gestión'!$M$52="Leve"),CONCATENATE("R",'Riesgos de Gestión'!$B$52),"")</f>
        <v/>
      </c>
      <c r="M34" s="523"/>
      <c r="N34" s="523" t="str">
        <f ca="1">IF(AND('Riesgos de Gestión'!$I$58="Baja",'Riesgos de Gestión'!$M$58="Leve"),CONCATENATE("R",'Riesgos de Gestión'!$B$58),"")</f>
        <v/>
      </c>
      <c r="O34" s="524"/>
      <c r="P34" s="515" t="str">
        <f ca="1">IF(AND('Riesgos de Gestión'!$I$46="Baja",'Riesgos de Gestión'!$M$46="Menor"),CONCATENATE("R",'Riesgos de Gestión'!$B$46),"")</f>
        <v/>
      </c>
      <c r="Q34" s="515"/>
      <c r="R34" s="515" t="str">
        <f ca="1">IF(AND('Riesgos de Gestión'!$I$52="Baja",'Riesgos de Gestión'!$M$52="Menor"),CONCATENATE("R",'Riesgos de Gestión'!$B$52),"")</f>
        <v/>
      </c>
      <c r="S34" s="515"/>
      <c r="T34" s="515" t="str">
        <f ca="1">IF(AND('Riesgos de Gestión'!$I$58="Baja",'Riesgos de Gestión'!$M$58="Menor"),CONCATENATE("R",'Riesgos de Gestión'!$B$58),"")</f>
        <v/>
      </c>
      <c r="U34" s="516"/>
      <c r="V34" s="514" t="str">
        <f ca="1">IF(AND('Riesgos de Gestión'!$I$46="Baja",'Riesgos de Gestión'!$M$46="Moderado"),CONCATENATE("R",'Riesgos de Gestión'!$B$46),"")</f>
        <v/>
      </c>
      <c r="W34" s="515"/>
      <c r="X34" s="515" t="str">
        <f ca="1">IF(AND('Riesgos de Gestión'!$I$52="Baja",'Riesgos de Gestión'!$M$52="Moderado"),CONCATENATE("R",'Riesgos de Gestión'!$B$52),"")</f>
        <v>R32</v>
      </c>
      <c r="Y34" s="515"/>
      <c r="Z34" s="515" t="str">
        <f ca="1">IF(AND('Riesgos de Gestión'!$I$58="Baja",'Riesgos de Gestión'!$M$58="Moderado"),CONCATENATE("R",'Riesgos de Gestión'!$B$58),"")</f>
        <v/>
      </c>
      <c r="AA34" s="516"/>
      <c r="AB34" s="498" t="str">
        <f ca="1">IF(AND('Riesgos de Gestión'!$I$46="Baja",'Riesgos de Gestión'!$M$46="Mayor"),CONCATENATE("R",'Riesgos de Gestión'!$B$46),"")</f>
        <v/>
      </c>
      <c r="AC34" s="494"/>
      <c r="AD34" s="494" t="str">
        <f ca="1">IF(AND('Riesgos de Gestión'!$I$52="Baja",'Riesgos de Gestión'!$M$52="Mayor"),CONCATENATE("R",'Riesgos de Gestión'!$B$52),"")</f>
        <v/>
      </c>
      <c r="AE34" s="494"/>
      <c r="AF34" s="494" t="str">
        <f ca="1">IF(AND('Riesgos de Gestión'!$I$58="Baja",'Riesgos de Gestión'!$M$58="Mayor"),CONCATENATE("R",'Riesgos de Gestión'!$B$58),"")</f>
        <v/>
      </c>
      <c r="AG34" s="495"/>
      <c r="AH34" s="505" t="str">
        <f ca="1">IF(AND('Riesgos de Gestión'!$I$46="Baja",'Riesgos de Gestión'!$M$46="Catastrófico"),CONCATENATE("R",'Riesgos de Gestión'!$B$46),"")</f>
        <v/>
      </c>
      <c r="AI34" s="506"/>
      <c r="AJ34" s="506" t="str">
        <f ca="1">IF(AND('Riesgos de Gestión'!$I$52="Baja",'Riesgos de Gestión'!$M$52="Catastrófico"),CONCATENATE("R",'Riesgos de Gestión'!$B$52),"")</f>
        <v/>
      </c>
      <c r="AK34" s="506"/>
      <c r="AL34" s="506" t="str">
        <f ca="1">IF(AND('Riesgos de Gestión'!$I$58="Baja",'Riesgos de Gestión'!$M$58="Catastrófico"),CONCATENATE("R",'Riesgos de Gestión'!$B$58),"")</f>
        <v/>
      </c>
      <c r="AM34" s="507"/>
      <c r="AN34" s="69"/>
      <c r="AO34" s="479"/>
      <c r="AP34" s="480"/>
      <c r="AQ34" s="480"/>
      <c r="AR34" s="480"/>
      <c r="AS34" s="480"/>
      <c r="AT34" s="481"/>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row>
    <row r="35" spans="1:80" x14ac:dyDescent="0.25">
      <c r="A35" s="69"/>
      <c r="B35" s="447"/>
      <c r="C35" s="447"/>
      <c r="D35" s="448"/>
      <c r="E35" s="488"/>
      <c r="F35" s="489"/>
      <c r="G35" s="489"/>
      <c r="H35" s="489"/>
      <c r="I35" s="489"/>
      <c r="J35" s="525"/>
      <c r="K35" s="523"/>
      <c r="L35" s="523"/>
      <c r="M35" s="523"/>
      <c r="N35" s="523"/>
      <c r="O35" s="524"/>
      <c r="P35" s="515"/>
      <c r="Q35" s="515"/>
      <c r="R35" s="515"/>
      <c r="S35" s="515"/>
      <c r="T35" s="515"/>
      <c r="U35" s="516"/>
      <c r="V35" s="514"/>
      <c r="W35" s="515"/>
      <c r="X35" s="515"/>
      <c r="Y35" s="515"/>
      <c r="Z35" s="515"/>
      <c r="AA35" s="516"/>
      <c r="AB35" s="498"/>
      <c r="AC35" s="494"/>
      <c r="AD35" s="494"/>
      <c r="AE35" s="494"/>
      <c r="AF35" s="494"/>
      <c r="AG35" s="495"/>
      <c r="AH35" s="505"/>
      <c r="AI35" s="506"/>
      <c r="AJ35" s="506"/>
      <c r="AK35" s="506"/>
      <c r="AL35" s="506"/>
      <c r="AM35" s="507"/>
      <c r="AN35" s="69"/>
      <c r="AO35" s="479"/>
      <c r="AP35" s="480"/>
      <c r="AQ35" s="480"/>
      <c r="AR35" s="480"/>
      <c r="AS35" s="480"/>
      <c r="AT35" s="481"/>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row>
    <row r="36" spans="1:80" x14ac:dyDescent="0.25">
      <c r="A36" s="69"/>
      <c r="B36" s="447"/>
      <c r="C36" s="447"/>
      <c r="D36" s="448"/>
      <c r="E36" s="488"/>
      <c r="F36" s="489"/>
      <c r="G36" s="489"/>
      <c r="H36" s="489"/>
      <c r="I36" s="489"/>
      <c r="J36" s="525" t="str">
        <f ca="1">IF(AND('Riesgos de Gestión'!$I$64="Baja",'Riesgos de Gestión'!$M$64="Leve"),CONCATENATE("R",'Riesgos de Gestión'!$B$64),"")</f>
        <v/>
      </c>
      <c r="K36" s="523"/>
      <c r="L36" s="523" t="str">
        <f>IF(AND('Riesgos de Gestión'!$I$70="Baja",'Riesgos de Gestión'!$M$70="Leve"),CONCATENATE("R",'Riesgos de Gestión'!$B$70),"")</f>
        <v/>
      </c>
      <c r="M36" s="523"/>
      <c r="N36" s="523" t="str">
        <f>IF(AND('Riesgos de Gestión'!$I$76="Baja",'Riesgos de Gestión'!$M$76="Leve"),CONCATENATE("R",'Riesgos de Gestión'!$B$76),"")</f>
        <v/>
      </c>
      <c r="O36" s="524"/>
      <c r="P36" s="515" t="str">
        <f ca="1">IF(AND('Riesgos de Gestión'!$I$64="Baja",'Riesgos de Gestión'!$M$64="Menor"),CONCATENATE("R",'Riesgos de Gestión'!$B$64),"")</f>
        <v/>
      </c>
      <c r="Q36" s="515"/>
      <c r="R36" s="515" t="str">
        <f>IF(AND('Riesgos de Gestión'!$I$70="Baja",'Riesgos de Gestión'!$M$70="Menor"),CONCATENATE("R",'Riesgos de Gestión'!$B$70),"")</f>
        <v/>
      </c>
      <c r="S36" s="515"/>
      <c r="T36" s="515" t="str">
        <f>IF(AND('Riesgos de Gestión'!$I$76="Baja",'Riesgos de Gestión'!$M$76="Menor"),CONCATENATE("R",'Riesgos de Gestión'!$B$76),"")</f>
        <v/>
      </c>
      <c r="U36" s="516"/>
      <c r="V36" s="514" t="str">
        <f ca="1">IF(AND('Riesgos de Gestión'!$I$64="Baja",'Riesgos de Gestión'!$M$64="Moderado"),CONCATENATE("R",'Riesgos de Gestión'!$B$64),"")</f>
        <v/>
      </c>
      <c r="W36" s="515"/>
      <c r="X36" s="515" t="str">
        <f>IF(AND('Riesgos de Gestión'!$I$70="Baja",'Riesgos de Gestión'!$M$70="Moderado"),CONCATENATE("R",'Riesgos de Gestión'!$B$70),"")</f>
        <v/>
      </c>
      <c r="Y36" s="515"/>
      <c r="Z36" s="515" t="str">
        <f>IF(AND('Riesgos de Gestión'!$I$76="Baja",'Riesgos de Gestión'!$M$76="Moderado"),CONCATENATE("R",'Riesgos de Gestión'!$B$76),"")</f>
        <v/>
      </c>
      <c r="AA36" s="516"/>
      <c r="AB36" s="498" t="str">
        <f ca="1">IF(AND('Riesgos de Gestión'!$I$64="Baja",'Riesgos de Gestión'!$M$64="Mayor"),CONCATENATE("R",'Riesgos de Gestión'!$B$64),"")</f>
        <v/>
      </c>
      <c r="AC36" s="494"/>
      <c r="AD36" s="494" t="str">
        <f>IF(AND('Riesgos de Gestión'!$I$70="Baja",'Riesgos de Gestión'!$M$70="Mayor"),CONCATENATE("R",'Riesgos de Gestión'!$B$70),"")</f>
        <v/>
      </c>
      <c r="AE36" s="494"/>
      <c r="AF36" s="494" t="str">
        <f>IF(AND('Riesgos de Gestión'!$I$76="Baja",'Riesgos de Gestión'!$M$76="Mayor"),CONCATENATE("R",'Riesgos de Gestión'!$B$76),"")</f>
        <v/>
      </c>
      <c r="AG36" s="495"/>
      <c r="AH36" s="505" t="str">
        <f ca="1">IF(AND('Riesgos de Gestión'!$I$64="Baja",'Riesgos de Gestión'!$M$64="Catastrófico"),CONCATENATE("R",'Riesgos de Gestión'!$B$64),"")</f>
        <v/>
      </c>
      <c r="AI36" s="506"/>
      <c r="AJ36" s="506" t="str">
        <f>IF(AND('Riesgos de Gestión'!$I$70="Baja",'Riesgos de Gestión'!$M$70="Catastrófico"),CONCATENATE("R",'Riesgos de Gestión'!$B$70),"")</f>
        <v/>
      </c>
      <c r="AK36" s="506"/>
      <c r="AL36" s="506" t="str">
        <f>IF(AND('Riesgos de Gestión'!$I$76="Baja",'Riesgos de Gestión'!$M$76="Catastrófico"),CONCATENATE("R",'Riesgos de Gestión'!$B$76),"")</f>
        <v/>
      </c>
      <c r="AM36" s="507"/>
      <c r="AN36" s="69"/>
      <c r="AO36" s="479"/>
      <c r="AP36" s="480"/>
      <c r="AQ36" s="480"/>
      <c r="AR36" s="480"/>
      <c r="AS36" s="480"/>
      <c r="AT36" s="481"/>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row>
    <row r="37" spans="1:80" ht="15.75" thickBot="1" x14ac:dyDescent="0.3">
      <c r="A37" s="69"/>
      <c r="B37" s="447"/>
      <c r="C37" s="447"/>
      <c r="D37" s="448"/>
      <c r="E37" s="491"/>
      <c r="F37" s="492"/>
      <c r="G37" s="492"/>
      <c r="H37" s="492"/>
      <c r="I37" s="492"/>
      <c r="J37" s="526"/>
      <c r="K37" s="527"/>
      <c r="L37" s="527"/>
      <c r="M37" s="527"/>
      <c r="N37" s="527"/>
      <c r="O37" s="528"/>
      <c r="P37" s="518"/>
      <c r="Q37" s="518"/>
      <c r="R37" s="518"/>
      <c r="S37" s="518"/>
      <c r="T37" s="518"/>
      <c r="U37" s="519"/>
      <c r="V37" s="517"/>
      <c r="W37" s="518"/>
      <c r="X37" s="518"/>
      <c r="Y37" s="518"/>
      <c r="Z37" s="518"/>
      <c r="AA37" s="519"/>
      <c r="AB37" s="502"/>
      <c r="AC37" s="503"/>
      <c r="AD37" s="503"/>
      <c r="AE37" s="503"/>
      <c r="AF37" s="503"/>
      <c r="AG37" s="504"/>
      <c r="AH37" s="508"/>
      <c r="AI37" s="509"/>
      <c r="AJ37" s="509"/>
      <c r="AK37" s="509"/>
      <c r="AL37" s="509"/>
      <c r="AM37" s="510"/>
      <c r="AN37" s="69"/>
      <c r="AO37" s="482"/>
      <c r="AP37" s="483"/>
      <c r="AQ37" s="483"/>
      <c r="AR37" s="483"/>
      <c r="AS37" s="483"/>
      <c r="AT37" s="484"/>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row>
    <row r="38" spans="1:80" x14ac:dyDescent="0.25">
      <c r="A38" s="69"/>
      <c r="B38" s="447"/>
      <c r="C38" s="447"/>
      <c r="D38" s="448"/>
      <c r="E38" s="485" t="s">
        <v>112</v>
      </c>
      <c r="F38" s="486"/>
      <c r="G38" s="486"/>
      <c r="H38" s="486"/>
      <c r="I38" s="487"/>
      <c r="J38" s="529" t="str">
        <f ca="1">IF(AND('Riesgos de Gestión'!$I$10="Muy Baja",'Riesgos de Gestión'!$M$10="Leve"),CONCATENATE("R",'Riesgos de Gestión'!$B$10),"")</f>
        <v/>
      </c>
      <c r="K38" s="530"/>
      <c r="L38" s="530" t="str">
        <f ca="1">IF(AND('Riesgos de Gestión'!$I$16="Muy Baja",'Riesgos de Gestión'!$M$16="Leve"),CONCATENATE("R",'Riesgos de Gestión'!$B$16),"")</f>
        <v/>
      </c>
      <c r="M38" s="530"/>
      <c r="N38" s="530" t="str">
        <f ca="1">IF(AND('Riesgos de Gestión'!$I$22="Muy Baja",'Riesgos de Gestión'!$M$22="Leve"),CONCATENATE("R",'Riesgos de Gestión'!$B$22),"")</f>
        <v/>
      </c>
      <c r="O38" s="531"/>
      <c r="P38" s="529" t="str">
        <f ca="1">IF(AND('Riesgos de Gestión'!$I$10="Muy Baja",'Riesgos de Gestión'!$M$10="Menor"),CONCATENATE("R",'Riesgos de Gestión'!$B$10),"")</f>
        <v/>
      </c>
      <c r="Q38" s="530"/>
      <c r="R38" s="530" t="str">
        <f ca="1">IF(AND('Riesgos de Gestión'!$I$16="Muy Baja",'Riesgos de Gestión'!$M$16="Menor"),CONCATENATE("R",'Riesgos de Gestión'!$B$16),"")</f>
        <v/>
      </c>
      <c r="S38" s="530"/>
      <c r="T38" s="530" t="str">
        <f ca="1">IF(AND('Riesgos de Gestión'!$I$22="Muy Baja",'Riesgos de Gestión'!$M$22="Menor"),CONCATENATE("R",'Riesgos de Gestión'!$B$22),"")</f>
        <v/>
      </c>
      <c r="U38" s="531"/>
      <c r="V38" s="520" t="str">
        <f ca="1">IF(AND('Riesgos de Gestión'!$I$10="Muy Baja",'Riesgos de Gestión'!$M$10="Moderado"),CONCATENATE("R",'Riesgos de Gestión'!$B$10),"")</f>
        <v/>
      </c>
      <c r="W38" s="521"/>
      <c r="X38" s="521" t="str">
        <f ca="1">IF(AND('Riesgos de Gestión'!$I$16="Muy Baja",'Riesgos de Gestión'!$M$16="Moderado"),CONCATENATE("R",'Riesgos de Gestión'!$B$16),"")</f>
        <v/>
      </c>
      <c r="Y38" s="521"/>
      <c r="Z38" s="521" t="str">
        <f ca="1">IF(AND('Riesgos de Gestión'!$I$22="Muy Baja",'Riesgos de Gestión'!$M$22="Moderado"),CONCATENATE("R",'Riesgos de Gestión'!$B$22),"")</f>
        <v/>
      </c>
      <c r="AA38" s="522"/>
      <c r="AB38" s="496" t="str">
        <f ca="1">IF(AND('Riesgos de Gestión'!$I$10="Muy Baja",'Riesgos de Gestión'!$M$10="Mayor"),CONCATENATE("R",'Riesgos de Gestión'!$B$10),"")</f>
        <v/>
      </c>
      <c r="AC38" s="497"/>
      <c r="AD38" s="497" t="str">
        <f ca="1">IF(AND('Riesgos de Gestión'!$I$16="Muy Baja",'Riesgos de Gestión'!$M$16="Mayor"),CONCATENATE("R",'Riesgos de Gestión'!$B$16),"")</f>
        <v/>
      </c>
      <c r="AE38" s="497"/>
      <c r="AF38" s="497" t="str">
        <f ca="1">IF(AND('Riesgos de Gestión'!$I$22="Muy Baja",'Riesgos de Gestión'!$M$22="Mayor"),CONCATENATE("R",'Riesgos de Gestión'!$B$22),"")</f>
        <v/>
      </c>
      <c r="AG38" s="499"/>
      <c r="AH38" s="511" t="str">
        <f ca="1">IF(AND('Riesgos de Gestión'!$I$10="Muy Baja",'Riesgos de Gestión'!$M$10="Catastrófico"),CONCATENATE("R",'Riesgos de Gestión'!$B$10),"")</f>
        <v/>
      </c>
      <c r="AI38" s="512"/>
      <c r="AJ38" s="512" t="str">
        <f ca="1">IF(AND('Riesgos de Gestión'!$I$16="Muy Baja",'Riesgos de Gestión'!$M$16="Catastrófico"),CONCATENATE("R",'Riesgos de Gestión'!$B$16),"")</f>
        <v/>
      </c>
      <c r="AK38" s="512"/>
      <c r="AL38" s="512" t="str">
        <f ca="1">IF(AND('Riesgos de Gestión'!$I$22="Muy Baja",'Riesgos de Gestión'!$M$22="Catastrófico"),CONCATENATE("R",'Riesgos de Gestión'!$B$22),"")</f>
        <v/>
      </c>
      <c r="AM38" s="513"/>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row>
    <row r="39" spans="1:80" x14ac:dyDescent="0.25">
      <c r="A39" s="69"/>
      <c r="B39" s="447"/>
      <c r="C39" s="447"/>
      <c r="D39" s="448"/>
      <c r="E39" s="488"/>
      <c r="F39" s="489"/>
      <c r="G39" s="489"/>
      <c r="H39" s="489"/>
      <c r="I39" s="490"/>
      <c r="J39" s="525"/>
      <c r="K39" s="523"/>
      <c r="L39" s="523"/>
      <c r="M39" s="523"/>
      <c r="N39" s="523"/>
      <c r="O39" s="524"/>
      <c r="P39" s="525"/>
      <c r="Q39" s="523"/>
      <c r="R39" s="523"/>
      <c r="S39" s="523"/>
      <c r="T39" s="523"/>
      <c r="U39" s="524"/>
      <c r="V39" s="514"/>
      <c r="W39" s="515"/>
      <c r="X39" s="515"/>
      <c r="Y39" s="515"/>
      <c r="Z39" s="515"/>
      <c r="AA39" s="516"/>
      <c r="AB39" s="498"/>
      <c r="AC39" s="494"/>
      <c r="AD39" s="494"/>
      <c r="AE39" s="494"/>
      <c r="AF39" s="494"/>
      <c r="AG39" s="495"/>
      <c r="AH39" s="505"/>
      <c r="AI39" s="506"/>
      <c r="AJ39" s="506"/>
      <c r="AK39" s="506"/>
      <c r="AL39" s="506"/>
      <c r="AM39" s="507"/>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row>
    <row r="40" spans="1:80" x14ac:dyDescent="0.25">
      <c r="A40" s="69"/>
      <c r="B40" s="447"/>
      <c r="C40" s="447"/>
      <c r="D40" s="448"/>
      <c r="E40" s="488"/>
      <c r="F40" s="489"/>
      <c r="G40" s="489"/>
      <c r="H40" s="489"/>
      <c r="I40" s="490"/>
      <c r="J40" s="525" t="str">
        <f ca="1">IF(AND('Riesgos de Gestión'!$I$28="Muy Baja",'Riesgos de Gestión'!$M$28="Leve"),CONCATENATE("R",'Riesgos de Gestión'!$B$28),"")</f>
        <v/>
      </c>
      <c r="K40" s="523"/>
      <c r="L40" s="523" t="str">
        <f ca="1">IF(AND('Riesgos de Gestión'!$I$34="Muy Baja",'Riesgos de Gestión'!$M$34="Leve"),CONCATENATE("R",'Riesgos de Gestión'!$B$34),"")</f>
        <v/>
      </c>
      <c r="M40" s="523"/>
      <c r="N40" s="523" t="str">
        <f ca="1">IF(AND('Riesgos de Gestión'!$I$40="Muy Baja",'Riesgos de Gestión'!$M$40="Leve"),CONCATENATE("R",'Riesgos de Gestión'!$B$40),"")</f>
        <v/>
      </c>
      <c r="O40" s="524"/>
      <c r="P40" s="525" t="str">
        <f ca="1">IF(AND('Riesgos de Gestión'!$I$28="Muy Baja",'Riesgos de Gestión'!$M$28="Menor"),CONCATENATE("R",'Riesgos de Gestión'!$B$28),"")</f>
        <v/>
      </c>
      <c r="Q40" s="523"/>
      <c r="R40" s="523" t="str">
        <f ca="1">IF(AND('Riesgos de Gestión'!$I$34="Muy Baja",'Riesgos de Gestión'!$M$34="Menor"),CONCATENATE("R",'Riesgos de Gestión'!$B$34),"")</f>
        <v/>
      </c>
      <c r="S40" s="523"/>
      <c r="T40" s="523" t="str">
        <f ca="1">IF(AND('Riesgos de Gestión'!$I$40="Muy Baja",'Riesgos de Gestión'!$M$40="Menor"),CONCATENATE("R",'Riesgos de Gestión'!$B$40),"")</f>
        <v/>
      </c>
      <c r="U40" s="524"/>
      <c r="V40" s="514" t="str">
        <f ca="1">IF(AND('Riesgos de Gestión'!$I$28="Muy Baja",'Riesgos de Gestión'!$M$28="Moderado"),CONCATENATE("R",'Riesgos de Gestión'!$B$28),"")</f>
        <v/>
      </c>
      <c r="W40" s="515"/>
      <c r="X40" s="515" t="str">
        <f ca="1">IF(AND('Riesgos de Gestión'!$I$34="Muy Baja",'Riesgos de Gestión'!$M$34="Moderado"),CONCATENATE("R",'Riesgos de Gestión'!$B$34),"")</f>
        <v/>
      </c>
      <c r="Y40" s="515"/>
      <c r="Z40" s="515" t="str">
        <f ca="1">IF(AND('Riesgos de Gestión'!$I$40="Muy Baja",'Riesgos de Gestión'!$M$40="Moderado"),CONCATENATE("R",'Riesgos de Gestión'!$B$40),"")</f>
        <v/>
      </c>
      <c r="AA40" s="516"/>
      <c r="AB40" s="498" t="str">
        <f ca="1">IF(AND('Riesgos de Gestión'!$I$28="Muy Baja",'Riesgos de Gestión'!$M$28="Mayor"),CONCATENATE("R",'Riesgos de Gestión'!$B$28),"")</f>
        <v/>
      </c>
      <c r="AC40" s="494"/>
      <c r="AD40" s="494" t="str">
        <f ca="1">IF(AND('Riesgos de Gestión'!$I$34="Muy Baja",'Riesgos de Gestión'!$M$34="Mayor"),CONCATENATE("R",'Riesgos de Gestión'!$B$34),"")</f>
        <v/>
      </c>
      <c r="AE40" s="494"/>
      <c r="AF40" s="494" t="str">
        <f ca="1">IF(AND('Riesgos de Gestión'!$I$40="Muy Baja",'Riesgos de Gestión'!$M$40="Mayor"),CONCATENATE("R",'Riesgos de Gestión'!$B$40),"")</f>
        <v/>
      </c>
      <c r="AG40" s="495"/>
      <c r="AH40" s="505" t="str">
        <f ca="1">IF(AND('Riesgos de Gestión'!$I$28="Muy Baja",'Riesgos de Gestión'!$M$28="Catastrófico"),CONCATENATE("R",'Riesgos de Gestión'!$B$28),"")</f>
        <v/>
      </c>
      <c r="AI40" s="506"/>
      <c r="AJ40" s="506" t="str">
        <f ca="1">IF(AND('Riesgos de Gestión'!$I$34="Muy Baja",'Riesgos de Gestión'!$M$34="Catastrófico"),CONCATENATE("R",'Riesgos de Gestión'!$B$34),"")</f>
        <v/>
      </c>
      <c r="AK40" s="506"/>
      <c r="AL40" s="506" t="str">
        <f ca="1">IF(AND('Riesgos de Gestión'!$I$40="Muy Baja",'Riesgos de Gestión'!$M$40="Catastrófico"),CONCATENATE("R",'Riesgos de Gestión'!$B$40),"")</f>
        <v/>
      </c>
      <c r="AM40" s="507"/>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row>
    <row r="41" spans="1:80" x14ac:dyDescent="0.25">
      <c r="A41" s="69"/>
      <c r="B41" s="447"/>
      <c r="C41" s="447"/>
      <c r="D41" s="448"/>
      <c r="E41" s="488"/>
      <c r="F41" s="489"/>
      <c r="G41" s="489"/>
      <c r="H41" s="489"/>
      <c r="I41" s="490"/>
      <c r="J41" s="525"/>
      <c r="K41" s="523"/>
      <c r="L41" s="523"/>
      <c r="M41" s="523"/>
      <c r="N41" s="523"/>
      <c r="O41" s="524"/>
      <c r="P41" s="525"/>
      <c r="Q41" s="523"/>
      <c r="R41" s="523"/>
      <c r="S41" s="523"/>
      <c r="T41" s="523"/>
      <c r="U41" s="524"/>
      <c r="V41" s="514"/>
      <c r="W41" s="515"/>
      <c r="X41" s="515"/>
      <c r="Y41" s="515"/>
      <c r="Z41" s="515"/>
      <c r="AA41" s="516"/>
      <c r="AB41" s="498"/>
      <c r="AC41" s="494"/>
      <c r="AD41" s="494"/>
      <c r="AE41" s="494"/>
      <c r="AF41" s="494"/>
      <c r="AG41" s="495"/>
      <c r="AH41" s="505"/>
      <c r="AI41" s="506"/>
      <c r="AJ41" s="506"/>
      <c r="AK41" s="506"/>
      <c r="AL41" s="506"/>
      <c r="AM41" s="507"/>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row>
    <row r="42" spans="1:80" x14ac:dyDescent="0.25">
      <c r="A42" s="69"/>
      <c r="B42" s="447"/>
      <c r="C42" s="447"/>
      <c r="D42" s="448"/>
      <c r="E42" s="488"/>
      <c r="F42" s="489"/>
      <c r="G42" s="489"/>
      <c r="H42" s="489"/>
      <c r="I42" s="490"/>
      <c r="J42" s="525" t="str">
        <f ca="1">IF(AND('Riesgos de Gestión'!$I$46="Muy Baja",'Riesgos de Gestión'!$M$46="Leve"),CONCATENATE("R",'Riesgos de Gestión'!$B$46),"")</f>
        <v/>
      </c>
      <c r="K42" s="523"/>
      <c r="L42" s="523" t="str">
        <f ca="1">IF(AND('Riesgos de Gestión'!$I$52="Muy Baja",'Riesgos de Gestión'!$M$52="Leve"),CONCATENATE("R",'Riesgos de Gestión'!$B$52),"")</f>
        <v/>
      </c>
      <c r="M42" s="523"/>
      <c r="N42" s="523" t="str">
        <f ca="1">IF(AND('Riesgos de Gestión'!$I$58="Muy Baja",'Riesgos de Gestión'!$M$58="Leve"),CONCATENATE("R",'Riesgos de Gestión'!$B$58),"")</f>
        <v/>
      </c>
      <c r="O42" s="524"/>
      <c r="P42" s="525" t="str">
        <f ca="1">IF(AND('Riesgos de Gestión'!$I$46="Muy Baja",'Riesgos de Gestión'!$M$46="Menor"),CONCATENATE("R",'Riesgos de Gestión'!$B$46),"")</f>
        <v/>
      </c>
      <c r="Q42" s="523"/>
      <c r="R42" s="523" t="str">
        <f ca="1">IF(AND('Riesgos de Gestión'!$I$52="Muy Baja",'Riesgos de Gestión'!$M$52="Menor"),CONCATENATE("R",'Riesgos de Gestión'!$B$52),"")</f>
        <v/>
      </c>
      <c r="S42" s="523"/>
      <c r="T42" s="523" t="str">
        <f ca="1">IF(AND('Riesgos de Gestión'!$I$58="Muy Baja",'Riesgos de Gestión'!$M$58="Menor"),CONCATENATE("R",'Riesgos de Gestión'!$B$58),"")</f>
        <v/>
      </c>
      <c r="U42" s="524"/>
      <c r="V42" s="514" t="str">
        <f ca="1">IF(AND('Riesgos de Gestión'!$I$46="Muy Baja",'Riesgos de Gestión'!$M$46="Moderado"),CONCATENATE("R",'Riesgos de Gestión'!$B$46),"")</f>
        <v/>
      </c>
      <c r="W42" s="515"/>
      <c r="X42" s="515" t="str">
        <f ca="1">IF(AND('Riesgos de Gestión'!$I$52="Muy Baja",'Riesgos de Gestión'!$M$52="Moderado"),CONCATENATE("R",'Riesgos de Gestión'!$B$52),"")</f>
        <v/>
      </c>
      <c r="Y42" s="515"/>
      <c r="Z42" s="515" t="str">
        <f ca="1">IF(AND('Riesgos de Gestión'!$I$58="Muy Baja",'Riesgos de Gestión'!$M$58="Moderado"),CONCATENATE("R",'Riesgos de Gestión'!$B$58),"")</f>
        <v/>
      </c>
      <c r="AA42" s="516"/>
      <c r="AB42" s="498" t="str">
        <f ca="1">IF(AND('Riesgos de Gestión'!$I$46="Muy Baja",'Riesgos de Gestión'!$M$46="Mayor"),CONCATENATE("R",'Riesgos de Gestión'!$B$46),"")</f>
        <v/>
      </c>
      <c r="AC42" s="494"/>
      <c r="AD42" s="494" t="str">
        <f ca="1">IF(AND('Riesgos de Gestión'!$I$52="Muy Baja",'Riesgos de Gestión'!$M$52="Mayor"),CONCATENATE("R",'Riesgos de Gestión'!$B$52),"")</f>
        <v/>
      </c>
      <c r="AE42" s="494"/>
      <c r="AF42" s="494" t="str">
        <f ca="1">IF(AND('Riesgos de Gestión'!$I$58="Muy Baja",'Riesgos de Gestión'!$M$58="Mayor"),CONCATENATE("R",'Riesgos de Gestión'!$B$58),"")</f>
        <v/>
      </c>
      <c r="AG42" s="495"/>
      <c r="AH42" s="505" t="str">
        <f ca="1">IF(AND('Riesgos de Gestión'!$I$46="Muy Baja",'Riesgos de Gestión'!$M$46="Catastrófico"),CONCATENATE("R",'Riesgos de Gestión'!$B$46),"")</f>
        <v/>
      </c>
      <c r="AI42" s="506"/>
      <c r="AJ42" s="506" t="str">
        <f ca="1">IF(AND('Riesgos de Gestión'!$I$52="Muy Baja",'Riesgos de Gestión'!$M$52="Catastrófico"),CONCATENATE("R",'Riesgos de Gestión'!$B$52),"")</f>
        <v/>
      </c>
      <c r="AK42" s="506"/>
      <c r="AL42" s="506" t="str">
        <f ca="1">IF(AND('Riesgos de Gestión'!$I$58="Muy Baja",'Riesgos de Gestión'!$M$58="Catastrófico"),CONCATENATE("R",'Riesgos de Gestión'!$B$58),"")</f>
        <v/>
      </c>
      <c r="AM42" s="507"/>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row>
    <row r="43" spans="1:80" x14ac:dyDescent="0.25">
      <c r="A43" s="69"/>
      <c r="B43" s="447"/>
      <c r="C43" s="447"/>
      <c r="D43" s="448"/>
      <c r="E43" s="488"/>
      <c r="F43" s="489"/>
      <c r="G43" s="489"/>
      <c r="H43" s="489"/>
      <c r="I43" s="490"/>
      <c r="J43" s="525"/>
      <c r="K43" s="523"/>
      <c r="L43" s="523"/>
      <c r="M43" s="523"/>
      <c r="N43" s="523"/>
      <c r="O43" s="524"/>
      <c r="P43" s="525"/>
      <c r="Q43" s="523"/>
      <c r="R43" s="523"/>
      <c r="S43" s="523"/>
      <c r="T43" s="523"/>
      <c r="U43" s="524"/>
      <c r="V43" s="514"/>
      <c r="W43" s="515"/>
      <c r="X43" s="515"/>
      <c r="Y43" s="515"/>
      <c r="Z43" s="515"/>
      <c r="AA43" s="516"/>
      <c r="AB43" s="498"/>
      <c r="AC43" s="494"/>
      <c r="AD43" s="494"/>
      <c r="AE43" s="494"/>
      <c r="AF43" s="494"/>
      <c r="AG43" s="495"/>
      <c r="AH43" s="505"/>
      <c r="AI43" s="506"/>
      <c r="AJ43" s="506"/>
      <c r="AK43" s="506"/>
      <c r="AL43" s="506"/>
      <c r="AM43" s="507"/>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row>
    <row r="44" spans="1:80" x14ac:dyDescent="0.25">
      <c r="A44" s="69"/>
      <c r="B44" s="447"/>
      <c r="C44" s="447"/>
      <c r="D44" s="448"/>
      <c r="E44" s="488"/>
      <c r="F44" s="489"/>
      <c r="G44" s="489"/>
      <c r="H44" s="489"/>
      <c r="I44" s="490"/>
      <c r="J44" s="525" t="str">
        <f ca="1">IF(AND('Riesgos de Gestión'!$I$64="Muy Baja",'Riesgos de Gestión'!$M$64="Leve"),CONCATENATE("R",'Riesgos de Gestión'!$B$64),"")</f>
        <v/>
      </c>
      <c r="K44" s="523"/>
      <c r="L44" s="523" t="str">
        <f>IF(AND('Riesgos de Gestión'!$I$70="Muy Baja",'Riesgos de Gestión'!$M$70="Leve"),CONCATENATE("R",'Riesgos de Gestión'!$B$70),"")</f>
        <v/>
      </c>
      <c r="M44" s="523"/>
      <c r="N44" s="523" t="str">
        <f>IF(AND('Riesgos de Gestión'!$I$76="Muy Baja",'Riesgos de Gestión'!$M$76="Leve"),CONCATENATE("R",'Riesgos de Gestión'!$B$76),"")</f>
        <v/>
      </c>
      <c r="O44" s="524"/>
      <c r="P44" s="525" t="str">
        <f ca="1">IF(AND('Riesgos de Gestión'!$I$64="Muy Baja",'Riesgos de Gestión'!$M$64="Menor"),CONCATENATE("R",'Riesgos de Gestión'!$B$64),"")</f>
        <v/>
      </c>
      <c r="Q44" s="523"/>
      <c r="R44" s="523" t="str">
        <f>IF(AND('Riesgos de Gestión'!$I$70="Muy Baja",'Riesgos de Gestión'!$M$70="Menor"),CONCATENATE("R",'Riesgos de Gestión'!$B$70),"")</f>
        <v/>
      </c>
      <c r="S44" s="523"/>
      <c r="T44" s="523" t="str">
        <f>IF(AND('Riesgos de Gestión'!$I$76="Muy Baja",'Riesgos de Gestión'!$M$76="Menor"),CONCATENATE("R",'Riesgos de Gestión'!$B$76),"")</f>
        <v/>
      </c>
      <c r="U44" s="524"/>
      <c r="V44" s="514" t="str">
        <f ca="1">IF(AND('Riesgos de Gestión'!$I$64="Muy Baja",'Riesgos de Gestión'!$M$64="Moderado"),CONCATENATE("R",'Riesgos de Gestión'!$B$64),"")</f>
        <v/>
      </c>
      <c r="W44" s="515"/>
      <c r="X44" s="515" t="str">
        <f>IF(AND('Riesgos de Gestión'!$I$70="Muy Baja",'Riesgos de Gestión'!$M$70="Moderado"),CONCATENATE("R",'Riesgos de Gestión'!$B$70),"")</f>
        <v/>
      </c>
      <c r="Y44" s="515"/>
      <c r="Z44" s="515" t="str">
        <f>IF(AND('Riesgos de Gestión'!$I$76="Muy Baja",'Riesgos de Gestión'!$M$76="Moderado"),CONCATENATE("R",'Riesgos de Gestión'!$B$76),"")</f>
        <v/>
      </c>
      <c r="AA44" s="516"/>
      <c r="AB44" s="498" t="str">
        <f ca="1">IF(AND('Riesgos de Gestión'!$I$64="Muy Baja",'Riesgos de Gestión'!$M$64="Mayor"),CONCATENATE("R",'Riesgos de Gestión'!$B$64),"")</f>
        <v/>
      </c>
      <c r="AC44" s="494"/>
      <c r="AD44" s="494" t="str">
        <f>IF(AND('Riesgos de Gestión'!$I$70="Muy Baja",'Riesgos de Gestión'!$M$70="Mayor"),CONCATENATE("R",'Riesgos de Gestión'!$B$70),"")</f>
        <v/>
      </c>
      <c r="AE44" s="494"/>
      <c r="AF44" s="494" t="str">
        <f>IF(AND('Riesgos de Gestión'!$I$76="Muy Baja",'Riesgos de Gestión'!$M$76="Mayor"),CONCATENATE("R",'Riesgos de Gestión'!$B$76),"")</f>
        <v/>
      </c>
      <c r="AG44" s="495"/>
      <c r="AH44" s="505" t="str">
        <f ca="1">IF(AND('Riesgos de Gestión'!$I$64="Muy Baja",'Riesgos de Gestión'!$M$64="Catastrófico"),CONCATENATE("R",'Riesgos de Gestión'!$B$64),"")</f>
        <v/>
      </c>
      <c r="AI44" s="506"/>
      <c r="AJ44" s="506" t="str">
        <f>IF(AND('Riesgos de Gestión'!$I$70="Muy Baja",'Riesgos de Gestión'!$M$70="Catastrófico"),CONCATENATE("R",'Riesgos de Gestión'!$B$70),"")</f>
        <v/>
      </c>
      <c r="AK44" s="506"/>
      <c r="AL44" s="506" t="str">
        <f>IF(AND('Riesgos de Gestión'!$I$76="Muy Baja",'Riesgos de Gestión'!$M$76="Catastrófico"),CONCATENATE("R",'Riesgos de Gestión'!$B$76),"")</f>
        <v/>
      </c>
      <c r="AM44" s="507"/>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row>
    <row r="45" spans="1:80" ht="15.75" thickBot="1" x14ac:dyDescent="0.3">
      <c r="A45" s="69"/>
      <c r="B45" s="447"/>
      <c r="C45" s="447"/>
      <c r="D45" s="448"/>
      <c r="E45" s="491"/>
      <c r="F45" s="492"/>
      <c r="G45" s="492"/>
      <c r="H45" s="492"/>
      <c r="I45" s="493"/>
      <c r="J45" s="526"/>
      <c r="K45" s="527"/>
      <c r="L45" s="527"/>
      <c r="M45" s="527"/>
      <c r="N45" s="527"/>
      <c r="O45" s="528"/>
      <c r="P45" s="526"/>
      <c r="Q45" s="527"/>
      <c r="R45" s="527"/>
      <c r="S45" s="527"/>
      <c r="T45" s="527"/>
      <c r="U45" s="528"/>
      <c r="V45" s="517"/>
      <c r="W45" s="518"/>
      <c r="X45" s="518"/>
      <c r="Y45" s="518"/>
      <c r="Z45" s="518"/>
      <c r="AA45" s="519"/>
      <c r="AB45" s="502"/>
      <c r="AC45" s="503"/>
      <c r="AD45" s="503"/>
      <c r="AE45" s="503"/>
      <c r="AF45" s="503"/>
      <c r="AG45" s="504"/>
      <c r="AH45" s="508"/>
      <c r="AI45" s="509"/>
      <c r="AJ45" s="509"/>
      <c r="AK45" s="509"/>
      <c r="AL45" s="509"/>
      <c r="AM45" s="510"/>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row>
    <row r="46" spans="1:80" x14ac:dyDescent="0.25">
      <c r="A46" s="69"/>
      <c r="B46" s="69"/>
      <c r="C46" s="69"/>
      <c r="D46" s="69"/>
      <c r="E46" s="69"/>
      <c r="F46" s="69"/>
      <c r="G46" s="69"/>
      <c r="H46" s="69"/>
      <c r="I46" s="69"/>
      <c r="J46" s="485" t="s">
        <v>111</v>
      </c>
      <c r="K46" s="486"/>
      <c r="L46" s="486"/>
      <c r="M46" s="486"/>
      <c r="N46" s="486"/>
      <c r="O46" s="487"/>
      <c r="P46" s="485" t="s">
        <v>110</v>
      </c>
      <c r="Q46" s="486"/>
      <c r="R46" s="486"/>
      <c r="S46" s="486"/>
      <c r="T46" s="486"/>
      <c r="U46" s="487"/>
      <c r="V46" s="485" t="s">
        <v>109</v>
      </c>
      <c r="W46" s="486"/>
      <c r="X46" s="486"/>
      <c r="Y46" s="486"/>
      <c r="Z46" s="486"/>
      <c r="AA46" s="487"/>
      <c r="AB46" s="485" t="s">
        <v>108</v>
      </c>
      <c r="AC46" s="501"/>
      <c r="AD46" s="486"/>
      <c r="AE46" s="486"/>
      <c r="AF46" s="486"/>
      <c r="AG46" s="487"/>
      <c r="AH46" s="485" t="s">
        <v>107</v>
      </c>
      <c r="AI46" s="486"/>
      <c r="AJ46" s="486"/>
      <c r="AK46" s="486"/>
      <c r="AL46" s="486"/>
      <c r="AM46" s="487"/>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row>
    <row r="47" spans="1:80" x14ac:dyDescent="0.25">
      <c r="A47" s="69"/>
      <c r="B47" s="69"/>
      <c r="C47" s="69"/>
      <c r="D47" s="69"/>
      <c r="E47" s="69"/>
      <c r="F47" s="69"/>
      <c r="G47" s="69"/>
      <c r="H47" s="69"/>
      <c r="I47" s="69"/>
      <c r="J47" s="488"/>
      <c r="K47" s="489"/>
      <c r="L47" s="489"/>
      <c r="M47" s="489"/>
      <c r="N47" s="489"/>
      <c r="O47" s="490"/>
      <c r="P47" s="488"/>
      <c r="Q47" s="489"/>
      <c r="R47" s="489"/>
      <c r="S47" s="489"/>
      <c r="T47" s="489"/>
      <c r="U47" s="490"/>
      <c r="V47" s="488"/>
      <c r="W47" s="489"/>
      <c r="X47" s="489"/>
      <c r="Y47" s="489"/>
      <c r="Z47" s="489"/>
      <c r="AA47" s="490"/>
      <c r="AB47" s="488"/>
      <c r="AC47" s="489"/>
      <c r="AD47" s="489"/>
      <c r="AE47" s="489"/>
      <c r="AF47" s="489"/>
      <c r="AG47" s="490"/>
      <c r="AH47" s="488"/>
      <c r="AI47" s="489"/>
      <c r="AJ47" s="489"/>
      <c r="AK47" s="489"/>
      <c r="AL47" s="489"/>
      <c r="AM47" s="490"/>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row>
    <row r="48" spans="1:80" x14ac:dyDescent="0.25">
      <c r="A48" s="69"/>
      <c r="B48" s="69"/>
      <c r="C48" s="69"/>
      <c r="D48" s="69"/>
      <c r="E48" s="69"/>
      <c r="F48" s="69"/>
      <c r="G48" s="69"/>
      <c r="H48" s="69"/>
      <c r="I48" s="69"/>
      <c r="J48" s="488"/>
      <c r="K48" s="489"/>
      <c r="L48" s="489"/>
      <c r="M48" s="489"/>
      <c r="N48" s="489"/>
      <c r="O48" s="490"/>
      <c r="P48" s="488"/>
      <c r="Q48" s="489"/>
      <c r="R48" s="489"/>
      <c r="S48" s="489"/>
      <c r="T48" s="489"/>
      <c r="U48" s="490"/>
      <c r="V48" s="488"/>
      <c r="W48" s="489"/>
      <c r="X48" s="489"/>
      <c r="Y48" s="489"/>
      <c r="Z48" s="489"/>
      <c r="AA48" s="490"/>
      <c r="AB48" s="488"/>
      <c r="AC48" s="489"/>
      <c r="AD48" s="489"/>
      <c r="AE48" s="489"/>
      <c r="AF48" s="489"/>
      <c r="AG48" s="490"/>
      <c r="AH48" s="488"/>
      <c r="AI48" s="489"/>
      <c r="AJ48" s="489"/>
      <c r="AK48" s="489"/>
      <c r="AL48" s="489"/>
      <c r="AM48" s="490"/>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row>
    <row r="49" spans="1:80" x14ac:dyDescent="0.25">
      <c r="A49" s="69"/>
      <c r="B49" s="69"/>
      <c r="C49" s="69"/>
      <c r="D49" s="69"/>
      <c r="E49" s="69"/>
      <c r="F49" s="69"/>
      <c r="G49" s="69"/>
      <c r="H49" s="69"/>
      <c r="I49" s="69"/>
      <c r="J49" s="488"/>
      <c r="K49" s="489"/>
      <c r="L49" s="489"/>
      <c r="M49" s="489"/>
      <c r="N49" s="489"/>
      <c r="O49" s="490"/>
      <c r="P49" s="488"/>
      <c r="Q49" s="489"/>
      <c r="R49" s="489"/>
      <c r="S49" s="489"/>
      <c r="T49" s="489"/>
      <c r="U49" s="490"/>
      <c r="V49" s="488"/>
      <c r="W49" s="489"/>
      <c r="X49" s="489"/>
      <c r="Y49" s="489"/>
      <c r="Z49" s="489"/>
      <c r="AA49" s="490"/>
      <c r="AB49" s="488"/>
      <c r="AC49" s="489"/>
      <c r="AD49" s="489"/>
      <c r="AE49" s="489"/>
      <c r="AF49" s="489"/>
      <c r="AG49" s="490"/>
      <c r="AH49" s="488"/>
      <c r="AI49" s="489"/>
      <c r="AJ49" s="489"/>
      <c r="AK49" s="489"/>
      <c r="AL49" s="489"/>
      <c r="AM49" s="490"/>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row>
    <row r="50" spans="1:80" x14ac:dyDescent="0.25">
      <c r="A50" s="69"/>
      <c r="B50" s="69"/>
      <c r="C50" s="69"/>
      <c r="D50" s="69"/>
      <c r="E50" s="69"/>
      <c r="F50" s="69"/>
      <c r="G50" s="69"/>
      <c r="H50" s="69"/>
      <c r="I50" s="69"/>
      <c r="J50" s="488"/>
      <c r="K50" s="489"/>
      <c r="L50" s="489"/>
      <c r="M50" s="489"/>
      <c r="N50" s="489"/>
      <c r="O50" s="490"/>
      <c r="P50" s="488"/>
      <c r="Q50" s="489"/>
      <c r="R50" s="489"/>
      <c r="S50" s="489"/>
      <c r="T50" s="489"/>
      <c r="U50" s="490"/>
      <c r="V50" s="488"/>
      <c r="W50" s="489"/>
      <c r="X50" s="489"/>
      <c r="Y50" s="489"/>
      <c r="Z50" s="489"/>
      <c r="AA50" s="490"/>
      <c r="AB50" s="488"/>
      <c r="AC50" s="489"/>
      <c r="AD50" s="489"/>
      <c r="AE50" s="489"/>
      <c r="AF50" s="489"/>
      <c r="AG50" s="490"/>
      <c r="AH50" s="488"/>
      <c r="AI50" s="489"/>
      <c r="AJ50" s="489"/>
      <c r="AK50" s="489"/>
      <c r="AL50" s="489"/>
      <c r="AM50" s="490"/>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row>
    <row r="51" spans="1:80" ht="15.75" thickBot="1" x14ac:dyDescent="0.3">
      <c r="A51" s="69"/>
      <c r="B51" s="69"/>
      <c r="C51" s="69"/>
      <c r="D51" s="69"/>
      <c r="E51" s="69"/>
      <c r="F51" s="69"/>
      <c r="G51" s="69"/>
      <c r="H51" s="69"/>
      <c r="I51" s="69"/>
      <c r="J51" s="491"/>
      <c r="K51" s="492"/>
      <c r="L51" s="492"/>
      <c r="M51" s="492"/>
      <c r="N51" s="492"/>
      <c r="O51" s="493"/>
      <c r="P51" s="491"/>
      <c r="Q51" s="492"/>
      <c r="R51" s="492"/>
      <c r="S51" s="492"/>
      <c r="T51" s="492"/>
      <c r="U51" s="493"/>
      <c r="V51" s="491"/>
      <c r="W51" s="492"/>
      <c r="X51" s="492"/>
      <c r="Y51" s="492"/>
      <c r="Z51" s="492"/>
      <c r="AA51" s="493"/>
      <c r="AB51" s="491"/>
      <c r="AC51" s="492"/>
      <c r="AD51" s="492"/>
      <c r="AE51" s="492"/>
      <c r="AF51" s="492"/>
      <c r="AG51" s="493"/>
      <c r="AH51" s="491"/>
      <c r="AI51" s="492"/>
      <c r="AJ51" s="492"/>
      <c r="AK51" s="492"/>
      <c r="AL51" s="492"/>
      <c r="AM51" s="493"/>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row>
    <row r="52" spans="1:80" x14ac:dyDescent="0.25">
      <c r="A52" s="69"/>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row>
    <row r="53" spans="1:80" ht="15" customHeight="1" x14ac:dyDescent="0.25">
      <c r="A53" s="69"/>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row>
    <row r="54" spans="1:80" ht="15" customHeight="1" x14ac:dyDescent="0.25">
      <c r="A54" s="69"/>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row>
    <row r="55" spans="1:80" x14ac:dyDescent="0.25">
      <c r="A55" s="69"/>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row>
    <row r="56" spans="1:80" x14ac:dyDescent="0.25">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row>
    <row r="57" spans="1:80" x14ac:dyDescent="0.25">
      <c r="A57" s="69"/>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row>
    <row r="58" spans="1:80" x14ac:dyDescent="0.25">
      <c r="A58" s="69"/>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row>
    <row r="59" spans="1:80" x14ac:dyDescent="0.25">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row>
    <row r="60" spans="1:80" x14ac:dyDescent="0.25">
      <c r="A60" s="69"/>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row>
    <row r="61" spans="1:80" x14ac:dyDescent="0.25">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row>
    <row r="62" spans="1:80" x14ac:dyDescent="0.25">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row>
    <row r="63" spans="1:80" x14ac:dyDescent="0.25">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row>
    <row r="64" spans="1:80" x14ac:dyDescent="0.25">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row>
    <row r="65" spans="1:80" x14ac:dyDescent="0.25">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row>
    <row r="66" spans="1:80" x14ac:dyDescent="0.25">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row>
    <row r="67" spans="1:80" x14ac:dyDescent="0.25">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row>
    <row r="68" spans="1:80" x14ac:dyDescent="0.25">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69"/>
      <c r="BV68" s="69"/>
      <c r="BW68" s="69"/>
      <c r="BX68" s="69"/>
      <c r="BY68" s="69"/>
      <c r="BZ68" s="69"/>
      <c r="CA68" s="69"/>
      <c r="CB68" s="69"/>
    </row>
    <row r="69" spans="1:80" x14ac:dyDescent="0.25">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69"/>
      <c r="BV69" s="69"/>
      <c r="BW69" s="69"/>
      <c r="BX69" s="69"/>
      <c r="BY69" s="69"/>
      <c r="BZ69" s="69"/>
      <c r="CA69" s="69"/>
      <c r="CB69" s="69"/>
    </row>
    <row r="70" spans="1:80" x14ac:dyDescent="0.25">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69"/>
      <c r="BV70" s="69"/>
      <c r="BW70" s="69"/>
      <c r="BX70" s="69"/>
      <c r="BY70" s="69"/>
      <c r="BZ70" s="69"/>
      <c r="CA70" s="69"/>
      <c r="CB70" s="69"/>
    </row>
    <row r="71" spans="1:80" x14ac:dyDescent="0.25">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69"/>
      <c r="BV71" s="69"/>
      <c r="BW71" s="69"/>
      <c r="BX71" s="69"/>
      <c r="BY71" s="69"/>
      <c r="BZ71" s="69"/>
      <c r="CA71" s="69"/>
      <c r="CB71" s="69"/>
    </row>
    <row r="72" spans="1:80" x14ac:dyDescent="0.25">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69"/>
      <c r="BV72" s="69"/>
      <c r="BW72" s="69"/>
      <c r="BX72" s="69"/>
      <c r="BY72" s="69"/>
      <c r="BZ72" s="69"/>
      <c r="CA72" s="69"/>
      <c r="CB72" s="69"/>
    </row>
    <row r="73" spans="1:80" x14ac:dyDescent="0.25">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c r="BL73" s="69"/>
      <c r="BM73" s="69"/>
      <c r="BN73" s="69"/>
      <c r="BO73" s="69"/>
      <c r="BP73" s="69"/>
      <c r="BQ73" s="69"/>
      <c r="BR73" s="69"/>
      <c r="BS73" s="69"/>
      <c r="BT73" s="69"/>
      <c r="BU73" s="69"/>
      <c r="BV73" s="69"/>
      <c r="BW73" s="69"/>
      <c r="BX73" s="69"/>
      <c r="BY73" s="69"/>
      <c r="BZ73" s="69"/>
      <c r="CA73" s="69"/>
      <c r="CB73" s="69"/>
    </row>
    <row r="74" spans="1:80" x14ac:dyDescent="0.25">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69"/>
      <c r="BK74" s="69"/>
      <c r="BL74" s="69"/>
      <c r="BM74" s="69"/>
      <c r="BN74" s="69"/>
      <c r="BO74" s="69"/>
      <c r="BP74" s="69"/>
      <c r="BQ74" s="69"/>
      <c r="BR74" s="69"/>
      <c r="BS74" s="69"/>
      <c r="BT74" s="69"/>
      <c r="BU74" s="69"/>
      <c r="BV74" s="69"/>
      <c r="BW74" s="69"/>
      <c r="BX74" s="69"/>
      <c r="BY74" s="69"/>
      <c r="BZ74" s="69"/>
      <c r="CA74" s="69"/>
      <c r="CB74" s="69"/>
    </row>
    <row r="75" spans="1:80" x14ac:dyDescent="0.25">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69"/>
      <c r="BL75" s="69"/>
      <c r="BM75" s="69"/>
      <c r="BN75" s="69"/>
      <c r="BO75" s="69"/>
      <c r="BP75" s="69"/>
      <c r="BQ75" s="69"/>
      <c r="BR75" s="69"/>
      <c r="BS75" s="69"/>
      <c r="BT75" s="69"/>
      <c r="BU75" s="69"/>
      <c r="BV75" s="69"/>
      <c r="BW75" s="69"/>
      <c r="BX75" s="69"/>
      <c r="BY75" s="69"/>
      <c r="BZ75" s="69"/>
      <c r="CA75" s="69"/>
      <c r="CB75" s="69"/>
    </row>
    <row r="76" spans="1:80" x14ac:dyDescent="0.25">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c r="BL76" s="69"/>
      <c r="BM76" s="69"/>
      <c r="BN76" s="69"/>
      <c r="BO76" s="69"/>
      <c r="BP76" s="69"/>
      <c r="BQ76" s="69"/>
      <c r="BR76" s="69"/>
      <c r="BS76" s="69"/>
      <c r="BT76" s="69"/>
      <c r="BU76" s="69"/>
      <c r="BV76" s="69"/>
      <c r="BW76" s="69"/>
      <c r="BX76" s="69"/>
      <c r="BY76" s="69"/>
      <c r="BZ76" s="69"/>
      <c r="CA76" s="69"/>
      <c r="CB76" s="69"/>
    </row>
    <row r="77" spans="1:80" x14ac:dyDescent="0.25">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69"/>
      <c r="BR77" s="69"/>
      <c r="BS77" s="69"/>
      <c r="BT77" s="69"/>
      <c r="BU77" s="69"/>
      <c r="BV77" s="69"/>
      <c r="BW77" s="69"/>
      <c r="BX77" s="69"/>
      <c r="BY77" s="69"/>
      <c r="BZ77" s="69"/>
      <c r="CA77" s="69"/>
      <c r="CB77" s="69"/>
    </row>
    <row r="78" spans="1:80" x14ac:dyDescent="0.25">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69"/>
      <c r="BN78" s="69"/>
      <c r="BO78" s="69"/>
      <c r="BP78" s="69"/>
      <c r="BQ78" s="69"/>
      <c r="BR78" s="69"/>
      <c r="BS78" s="69"/>
      <c r="BT78" s="69"/>
      <c r="BU78" s="69"/>
      <c r="BV78" s="69"/>
      <c r="BW78" s="69"/>
      <c r="BX78" s="69"/>
      <c r="BY78" s="69"/>
      <c r="BZ78" s="69"/>
      <c r="CA78" s="69"/>
      <c r="CB78" s="69"/>
    </row>
    <row r="79" spans="1:80" x14ac:dyDescent="0.25">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row>
    <row r="80" spans="1:80" x14ac:dyDescent="0.25">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row>
    <row r="81" spans="1:63" x14ac:dyDescent="0.25">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row>
    <row r="82" spans="1:63" x14ac:dyDescent="0.25">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row>
    <row r="83" spans="1:63" x14ac:dyDescent="0.25">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row>
    <row r="84" spans="1:63" x14ac:dyDescent="0.25">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row>
    <row r="85" spans="1:63" x14ac:dyDescent="0.25">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row>
    <row r="86" spans="1:63" x14ac:dyDescent="0.25">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c r="BJ86" s="69"/>
      <c r="BK86" s="69"/>
    </row>
    <row r="87" spans="1:63" x14ac:dyDescent="0.25">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row>
    <row r="88" spans="1:63" x14ac:dyDescent="0.25">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row>
    <row r="89" spans="1:63" x14ac:dyDescent="0.25">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row>
    <row r="90" spans="1:63" x14ac:dyDescent="0.25">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c r="BJ90" s="69"/>
      <c r="BK90" s="69"/>
    </row>
    <row r="91" spans="1:63" x14ac:dyDescent="0.25">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row>
    <row r="92" spans="1:63" x14ac:dyDescent="0.25">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c r="BJ92" s="69"/>
      <c r="BK92" s="69"/>
    </row>
    <row r="93" spans="1:63" x14ac:dyDescent="0.25">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row>
    <row r="94" spans="1:63" x14ac:dyDescent="0.25">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c r="BJ94" s="69"/>
      <c r="BK94" s="69"/>
    </row>
    <row r="95" spans="1:63" x14ac:dyDescent="0.25">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row>
    <row r="96" spans="1:63" x14ac:dyDescent="0.25">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row>
    <row r="97" spans="1:63" x14ac:dyDescent="0.25">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row>
    <row r="98" spans="1:63" x14ac:dyDescent="0.25">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row>
    <row r="99" spans="1:63" x14ac:dyDescent="0.25">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row>
    <row r="100" spans="1:63" x14ac:dyDescent="0.25">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row>
    <row r="101" spans="1:63" x14ac:dyDescent="0.25">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row>
    <row r="102" spans="1:63" x14ac:dyDescent="0.25">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c r="BJ102" s="69"/>
      <c r="BK102" s="69"/>
    </row>
    <row r="103" spans="1:63" x14ac:dyDescent="0.25">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row>
    <row r="104" spans="1:63" x14ac:dyDescent="0.25">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c r="BJ104" s="69"/>
      <c r="BK104" s="69"/>
    </row>
    <row r="105" spans="1:63" x14ac:dyDescent="0.25">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c r="BJ105" s="69"/>
      <c r="BK105" s="69"/>
    </row>
    <row r="106" spans="1:63" x14ac:dyDescent="0.25">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c r="BJ106" s="69"/>
      <c r="BK106" s="69"/>
    </row>
    <row r="107" spans="1:63" x14ac:dyDescent="0.25">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c r="BJ107" s="69"/>
      <c r="BK107" s="69"/>
    </row>
    <row r="108" spans="1:63" x14ac:dyDescent="0.25">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c r="BJ108" s="69"/>
      <c r="BK108" s="69"/>
    </row>
    <row r="109" spans="1:63" x14ac:dyDescent="0.25">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c r="BJ109" s="69"/>
      <c r="BK109" s="69"/>
    </row>
    <row r="110" spans="1:63" x14ac:dyDescent="0.25">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c r="BJ110" s="69"/>
      <c r="BK110" s="69"/>
    </row>
    <row r="111" spans="1:63" x14ac:dyDescent="0.25">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c r="BJ111" s="69"/>
      <c r="BK111" s="69"/>
    </row>
    <row r="112" spans="1:63" x14ac:dyDescent="0.25">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c r="BJ112" s="69"/>
      <c r="BK112" s="69"/>
    </row>
    <row r="113" spans="1:63" x14ac:dyDescent="0.25">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c r="BJ113" s="69"/>
      <c r="BK113" s="69"/>
    </row>
    <row r="114" spans="1:63" x14ac:dyDescent="0.25">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c r="BJ114" s="69"/>
      <c r="BK114" s="69"/>
    </row>
    <row r="115" spans="1:63" x14ac:dyDescent="0.25">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c r="BI115" s="69"/>
      <c r="BJ115" s="69"/>
      <c r="BK115" s="69"/>
    </row>
    <row r="116" spans="1:63" x14ac:dyDescent="0.25">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c r="BJ116" s="69"/>
      <c r="BK116" s="69"/>
    </row>
    <row r="117" spans="1:63" x14ac:dyDescent="0.25">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c r="BJ117" s="69"/>
      <c r="BK117" s="69"/>
    </row>
    <row r="118" spans="1:63" x14ac:dyDescent="0.25">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c r="BJ118" s="69"/>
      <c r="BK118" s="69"/>
    </row>
    <row r="119" spans="1:63" x14ac:dyDescent="0.25">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c r="BJ119" s="69"/>
      <c r="BK119" s="69"/>
    </row>
    <row r="120" spans="1:63" x14ac:dyDescent="0.25">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c r="BJ120" s="69"/>
      <c r="BK120" s="69"/>
    </row>
    <row r="121" spans="1:63" x14ac:dyDescent="0.25">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c r="BJ121" s="69"/>
      <c r="BK121" s="69"/>
    </row>
    <row r="122" spans="1:63" x14ac:dyDescent="0.25">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c r="BJ122" s="69"/>
      <c r="BK122" s="69"/>
    </row>
    <row r="123" spans="1:63" x14ac:dyDescent="0.25">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c r="BJ123" s="69"/>
      <c r="BK123" s="69"/>
    </row>
    <row r="124" spans="1:63" x14ac:dyDescent="0.25">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c r="BJ124" s="69"/>
      <c r="BK124" s="69"/>
    </row>
    <row r="125" spans="1:63" x14ac:dyDescent="0.25">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c r="BJ125" s="69"/>
      <c r="BK125" s="69"/>
    </row>
    <row r="126" spans="1:63" x14ac:dyDescent="0.25">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c r="BJ126" s="69"/>
      <c r="BK126" s="69"/>
    </row>
    <row r="127" spans="1:63" x14ac:dyDescent="0.25">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c r="BI127" s="69"/>
      <c r="BJ127" s="69"/>
      <c r="BK127" s="69"/>
    </row>
    <row r="128" spans="1:63" x14ac:dyDescent="0.25">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c r="BJ128" s="69"/>
      <c r="BK128" s="69"/>
    </row>
    <row r="129" spans="2:63" x14ac:dyDescent="0.25">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c r="BJ129" s="69"/>
      <c r="BK129" s="69"/>
    </row>
    <row r="130" spans="2:63" x14ac:dyDescent="0.25">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row>
    <row r="131" spans="2:63" x14ac:dyDescent="0.25">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row>
    <row r="132" spans="2:63" x14ac:dyDescent="0.25">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c r="BJ132" s="69"/>
      <c r="BK132" s="69"/>
    </row>
    <row r="133" spans="2:63" x14ac:dyDescent="0.25">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c r="BJ133" s="69"/>
      <c r="BK133" s="69"/>
    </row>
    <row r="134" spans="2:63" x14ac:dyDescent="0.25">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c r="BJ134" s="69"/>
      <c r="BK134" s="69"/>
    </row>
    <row r="135" spans="2:63" x14ac:dyDescent="0.25">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c r="BJ135" s="69"/>
      <c r="BK135" s="69"/>
    </row>
    <row r="136" spans="2:63" x14ac:dyDescent="0.25">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c r="BJ136" s="69"/>
      <c r="BK136" s="69"/>
    </row>
    <row r="137" spans="2:63" x14ac:dyDescent="0.25">
      <c r="B137" s="69"/>
      <c r="C137" s="69"/>
      <c r="D137" s="69"/>
      <c r="E137" s="69"/>
      <c r="F137" s="69"/>
      <c r="G137" s="69"/>
      <c r="H137" s="69"/>
      <c r="I137" s="69"/>
    </row>
    <row r="138" spans="2:63" x14ac:dyDescent="0.25">
      <c r="B138" s="69"/>
      <c r="C138" s="69"/>
      <c r="D138" s="69"/>
      <c r="E138" s="69"/>
      <c r="F138" s="69"/>
      <c r="G138" s="69"/>
      <c r="H138" s="69"/>
      <c r="I138" s="69"/>
    </row>
    <row r="139" spans="2:63" x14ac:dyDescent="0.25">
      <c r="B139" s="69"/>
      <c r="C139" s="69"/>
      <c r="D139" s="69"/>
      <c r="E139" s="69"/>
      <c r="F139" s="69"/>
      <c r="G139" s="69"/>
      <c r="H139" s="69"/>
      <c r="I139" s="69"/>
    </row>
    <row r="140" spans="2:63" x14ac:dyDescent="0.25">
      <c r="B140" s="69"/>
      <c r="C140" s="69"/>
      <c r="D140" s="69"/>
      <c r="E140" s="69"/>
      <c r="F140" s="69"/>
      <c r="G140" s="69"/>
      <c r="H140" s="69"/>
      <c r="I140" s="69"/>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50" zoomScaleNormal="50" workbookViewId="0">
      <selection activeCell="B4" sqref="B4:H8"/>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row>
    <row r="2" spans="1:91" ht="18" customHeight="1" x14ac:dyDescent="0.25">
      <c r="A2" s="69"/>
      <c r="B2" s="558" t="s">
        <v>158</v>
      </c>
      <c r="C2" s="559"/>
      <c r="D2" s="559"/>
      <c r="E2" s="559"/>
      <c r="F2" s="559"/>
      <c r="G2" s="559"/>
      <c r="H2" s="559"/>
      <c r="I2" s="559"/>
      <c r="J2" s="500" t="s">
        <v>2</v>
      </c>
      <c r="K2" s="500"/>
      <c r="L2" s="500"/>
      <c r="M2" s="500"/>
      <c r="N2" s="500"/>
      <c r="O2" s="500"/>
      <c r="P2" s="500"/>
      <c r="Q2" s="500"/>
      <c r="R2" s="500"/>
      <c r="S2" s="500"/>
      <c r="T2" s="500"/>
      <c r="U2" s="500"/>
      <c r="V2" s="500"/>
      <c r="W2" s="500"/>
      <c r="X2" s="500"/>
      <c r="Y2" s="500"/>
      <c r="Z2" s="500"/>
      <c r="AA2" s="500"/>
      <c r="AB2" s="500"/>
      <c r="AC2" s="500"/>
      <c r="AD2" s="500"/>
      <c r="AE2" s="500"/>
      <c r="AF2" s="500"/>
      <c r="AG2" s="500"/>
      <c r="AH2" s="500"/>
      <c r="AI2" s="500"/>
      <c r="AJ2" s="500"/>
      <c r="AK2" s="500"/>
      <c r="AL2" s="500"/>
      <c r="AM2" s="500"/>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row>
    <row r="3" spans="1:91" ht="18.75" customHeight="1" x14ac:dyDescent="0.25">
      <c r="A3" s="69"/>
      <c r="B3" s="559"/>
      <c r="C3" s="559"/>
      <c r="D3" s="559"/>
      <c r="E3" s="559"/>
      <c r="F3" s="559"/>
      <c r="G3" s="559"/>
      <c r="H3" s="559"/>
      <c r="I3" s="559"/>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c r="AL3" s="500"/>
      <c r="AM3" s="500"/>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row>
    <row r="4" spans="1:91" ht="15" customHeight="1" x14ac:dyDescent="0.25">
      <c r="A4" s="69"/>
      <c r="B4" s="559"/>
      <c r="C4" s="559"/>
      <c r="D4" s="559"/>
      <c r="E4" s="559"/>
      <c r="F4" s="559"/>
      <c r="G4" s="559"/>
      <c r="H4" s="559"/>
      <c r="I4" s="559"/>
      <c r="J4" s="500"/>
      <c r="K4" s="500"/>
      <c r="L4" s="500"/>
      <c r="M4" s="500"/>
      <c r="N4" s="500"/>
      <c r="O4" s="500"/>
      <c r="P4" s="500"/>
      <c r="Q4" s="500"/>
      <c r="R4" s="500"/>
      <c r="S4" s="500"/>
      <c r="T4" s="500"/>
      <c r="U4" s="500"/>
      <c r="V4" s="500"/>
      <c r="W4" s="500"/>
      <c r="X4" s="500"/>
      <c r="Y4" s="500"/>
      <c r="Z4" s="500"/>
      <c r="AA4" s="500"/>
      <c r="AB4" s="500"/>
      <c r="AC4" s="500"/>
      <c r="AD4" s="500"/>
      <c r="AE4" s="500"/>
      <c r="AF4" s="500"/>
      <c r="AG4" s="500"/>
      <c r="AH4" s="500"/>
      <c r="AI4" s="500"/>
      <c r="AJ4" s="500"/>
      <c r="AK4" s="500"/>
      <c r="AL4" s="500"/>
      <c r="AM4" s="500"/>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row>
    <row r="5" spans="1:91" ht="15.75" thickBot="1" x14ac:dyDescent="0.3">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row>
    <row r="6" spans="1:91" ht="15" customHeight="1" x14ac:dyDescent="0.25">
      <c r="A6" s="69"/>
      <c r="B6" s="447" t="s">
        <v>4</v>
      </c>
      <c r="C6" s="447"/>
      <c r="D6" s="448"/>
      <c r="E6" s="542" t="s">
        <v>115</v>
      </c>
      <c r="F6" s="543"/>
      <c r="G6" s="543"/>
      <c r="H6" s="543"/>
      <c r="I6" s="560"/>
      <c r="J6" s="32" t="str">
        <f ca="1">IF(AND('Riesgos de Gestión'!$Z$10="Muy Alta",'Riesgos de Gestión'!$AB$10="Leve"),CONCATENATE("R1C",'Riesgos de Gestión'!$P$10),"")</f>
        <v/>
      </c>
      <c r="K6" s="33" t="str">
        <f ca="1">IF(AND('Riesgos de Gestión'!$Z$11="Muy Alta",'Riesgos de Gestión'!$AB$11="Leve"),CONCATENATE("R1C",'Riesgos de Gestión'!$P$11),"")</f>
        <v/>
      </c>
      <c r="L6" s="33" t="str">
        <f ca="1">IF(AND('Riesgos de Gestión'!$Z$12="Muy Alta",'Riesgos de Gestión'!$AB$12="Leve"),CONCATENATE("R1C",'Riesgos de Gestión'!$P$12),"")</f>
        <v/>
      </c>
      <c r="M6" s="33" t="str">
        <f ca="1">IF(AND('Riesgos de Gestión'!$Z$13="Muy Alta",'Riesgos de Gestión'!$AB$13="Leve"),CONCATENATE("R1C",'Riesgos de Gestión'!$P$13),"")</f>
        <v/>
      </c>
      <c r="N6" s="33" t="str">
        <f ca="1">IF(AND('Riesgos de Gestión'!$Z$14="Muy Alta",'Riesgos de Gestión'!$AB$14="Leve"),CONCATENATE("R1C",'Riesgos de Gestión'!$P$14),"")</f>
        <v/>
      </c>
      <c r="O6" s="34" t="str">
        <f ca="1">IF(AND('Riesgos de Gestión'!$Z$15="Muy Alta",'Riesgos de Gestión'!$AB$15="Leve"),CONCATENATE("R1C",'Riesgos de Gestión'!$P$15),"")</f>
        <v/>
      </c>
      <c r="P6" s="32" t="str">
        <f ca="1">IF(AND('Riesgos de Gestión'!$Z$10="Muy Alta",'Riesgos de Gestión'!$AB$10="Menor"),CONCATENATE("R1C",'Riesgos de Gestión'!$P$10),"")</f>
        <v/>
      </c>
      <c r="Q6" s="33" t="str">
        <f ca="1">IF(AND('Riesgos de Gestión'!$Z$11="Muy Alta",'Riesgos de Gestión'!$AB$11="Menor"),CONCATENATE("R1C",'Riesgos de Gestión'!$P$11),"")</f>
        <v/>
      </c>
      <c r="R6" s="33" t="str">
        <f ca="1">IF(AND('Riesgos de Gestión'!$Z$12="Muy Alta",'Riesgos de Gestión'!$AB$12="Menor"),CONCATENATE("R1C",'Riesgos de Gestión'!$P$12),"")</f>
        <v/>
      </c>
      <c r="S6" s="33" t="str">
        <f ca="1">IF(AND('Riesgos de Gestión'!$Z$13="Muy Alta",'Riesgos de Gestión'!$AB$13="Menor"),CONCATENATE("R1C",'Riesgos de Gestión'!$P$13),"")</f>
        <v/>
      </c>
      <c r="T6" s="33" t="str">
        <f ca="1">IF(AND('Riesgos de Gestión'!$Z$14="Muy Alta",'Riesgos de Gestión'!$AB$14="Menor"),CONCATENATE("R1C",'Riesgos de Gestión'!$P$14),"")</f>
        <v/>
      </c>
      <c r="U6" s="34" t="str">
        <f ca="1">IF(AND('Riesgos de Gestión'!$Z$15="Muy Alta",'Riesgos de Gestión'!$AB$15="Menor"),CONCATENATE("R1C",'Riesgos de Gestión'!$P$15),"")</f>
        <v/>
      </c>
      <c r="V6" s="32" t="str">
        <f ca="1">IF(AND('Riesgos de Gestión'!$Z$10="Muy Alta",'Riesgos de Gestión'!$AB$10="Moderado"),CONCATENATE("R1C",'Riesgos de Gestión'!$P$10),"")</f>
        <v/>
      </c>
      <c r="W6" s="33" t="str">
        <f ca="1">IF(AND('Riesgos de Gestión'!$Z$11="Muy Alta",'Riesgos de Gestión'!$AB$11="Moderado"),CONCATENATE("R1C",'Riesgos de Gestión'!$P$11),"")</f>
        <v/>
      </c>
      <c r="X6" s="33" t="str">
        <f ca="1">IF(AND('Riesgos de Gestión'!$Z$12="Muy Alta",'Riesgos de Gestión'!$AB$12="Moderado"),CONCATENATE("R1C",'Riesgos de Gestión'!$P$12),"")</f>
        <v/>
      </c>
      <c r="Y6" s="33" t="str">
        <f ca="1">IF(AND('Riesgos de Gestión'!$Z$13="Muy Alta",'Riesgos de Gestión'!$AB$13="Moderado"),CONCATENATE("R1C",'Riesgos de Gestión'!$P$13),"")</f>
        <v/>
      </c>
      <c r="Z6" s="33" t="str">
        <f ca="1">IF(AND('Riesgos de Gestión'!$Z$14="Muy Alta",'Riesgos de Gestión'!$AB$14="Moderado"),CONCATENATE("R1C",'Riesgos de Gestión'!$P$14),"")</f>
        <v/>
      </c>
      <c r="AA6" s="34" t="str">
        <f ca="1">IF(AND('Riesgos de Gestión'!$Z$15="Muy Alta",'Riesgos de Gestión'!$AB$15="Moderado"),CONCATENATE("R1C",'Riesgos de Gestión'!$P$15),"")</f>
        <v/>
      </c>
      <c r="AB6" s="32" t="str">
        <f ca="1">IF(AND('Riesgos de Gestión'!$Z$10="Muy Alta",'Riesgos de Gestión'!$AB$10="Mayor"),CONCATENATE("R1C",'Riesgos de Gestión'!$P$10),"")</f>
        <v/>
      </c>
      <c r="AC6" s="33" t="str">
        <f ca="1">IF(AND('Riesgos de Gestión'!$Z$11="Muy Alta",'Riesgos de Gestión'!$AB$11="Mayor"),CONCATENATE("R1C",'Riesgos de Gestión'!$P$11),"")</f>
        <v/>
      </c>
      <c r="AD6" s="33" t="str">
        <f ca="1">IF(AND('Riesgos de Gestión'!$Z$12="Muy Alta",'Riesgos de Gestión'!$AB$12="Mayor"),CONCATENATE("R1C",'Riesgos de Gestión'!$P$12),"")</f>
        <v/>
      </c>
      <c r="AE6" s="33" t="str">
        <f ca="1">IF(AND('Riesgos de Gestión'!$Z$13="Muy Alta",'Riesgos de Gestión'!$AB$13="Mayor"),CONCATENATE("R1C",'Riesgos de Gestión'!$P$13),"")</f>
        <v/>
      </c>
      <c r="AF6" s="33" t="str">
        <f ca="1">IF(AND('Riesgos de Gestión'!$Z$14="Muy Alta",'Riesgos de Gestión'!$AB$14="Mayor"),CONCATENATE("R1C",'Riesgos de Gestión'!$P$14),"")</f>
        <v/>
      </c>
      <c r="AG6" s="34" t="str">
        <f ca="1">IF(AND('Riesgos de Gestión'!$Z$15="Muy Alta",'Riesgos de Gestión'!$AB$15="Mayor"),CONCATENATE("R1C",'Riesgos de Gestión'!$P$15),"")</f>
        <v/>
      </c>
      <c r="AH6" s="35" t="str">
        <f ca="1">IF(AND('Riesgos de Gestión'!$Z$10="Muy Alta",'Riesgos de Gestión'!$AB$10="Catastrófico"),CONCATENATE("R1C",'Riesgos de Gestión'!$P$10),"")</f>
        <v/>
      </c>
      <c r="AI6" s="36" t="str">
        <f ca="1">IF(AND('Riesgos de Gestión'!$Z$11="Muy Alta",'Riesgos de Gestión'!$AB$11="Catastrófico"),CONCATENATE("R1C",'Riesgos de Gestión'!$P$11),"")</f>
        <v/>
      </c>
      <c r="AJ6" s="36" t="str">
        <f ca="1">IF(AND('Riesgos de Gestión'!$Z$12="Muy Alta",'Riesgos de Gestión'!$AB$12="Catastrófico"),CONCATENATE("R1C",'Riesgos de Gestión'!$P$12),"")</f>
        <v/>
      </c>
      <c r="AK6" s="36" t="str">
        <f ca="1">IF(AND('Riesgos de Gestión'!$Z$13="Muy Alta",'Riesgos de Gestión'!$AB$13="Catastrófico"),CONCATENATE("R1C",'Riesgos de Gestión'!$P$13),"")</f>
        <v/>
      </c>
      <c r="AL6" s="36" t="str">
        <f ca="1">IF(AND('Riesgos de Gestión'!$Z$14="Muy Alta",'Riesgos de Gestión'!$AB$14="Catastrófico"),CONCATENATE("R1C",'Riesgos de Gestión'!$P$14),"")</f>
        <v/>
      </c>
      <c r="AM6" s="37" t="str">
        <f ca="1">IF(AND('Riesgos de Gestión'!$Z$15="Muy Alta",'Riesgos de Gestión'!$AB$15="Catastrófico"),CONCATENATE("R1C",'Riesgos de Gestión'!$P$15),"")</f>
        <v/>
      </c>
      <c r="AN6" s="69"/>
      <c r="AO6" s="549" t="s">
        <v>78</v>
      </c>
      <c r="AP6" s="550"/>
      <c r="AQ6" s="550"/>
      <c r="AR6" s="550"/>
      <c r="AS6" s="550"/>
      <c r="AT6" s="551"/>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row>
    <row r="7" spans="1:91" ht="15" customHeight="1" x14ac:dyDescent="0.25">
      <c r="A7" s="69"/>
      <c r="B7" s="447"/>
      <c r="C7" s="447"/>
      <c r="D7" s="448"/>
      <c r="E7" s="546"/>
      <c r="F7" s="545"/>
      <c r="G7" s="545"/>
      <c r="H7" s="545"/>
      <c r="I7" s="561"/>
      <c r="J7" s="38" t="str">
        <f ca="1">IF(AND('Riesgos de Gestión'!$Z$16="Muy Alta",'Riesgos de Gestión'!$AB$16="Leve"),CONCATENATE("R2C",'Riesgos de Gestión'!$P$16),"")</f>
        <v/>
      </c>
      <c r="K7" s="39" t="str">
        <f ca="1">IF(AND('Riesgos de Gestión'!$Z$17="Muy Alta",'Riesgos de Gestión'!$AB$17="Leve"),CONCATENATE("R2C",'Riesgos de Gestión'!$P$17),"")</f>
        <v/>
      </c>
      <c r="L7" s="39" t="str">
        <f ca="1">IF(AND('Riesgos de Gestión'!$Z$18="Muy Alta",'Riesgos de Gestión'!$AB$18="Leve"),CONCATENATE("R2C",'Riesgos de Gestión'!$P$18),"")</f>
        <v/>
      </c>
      <c r="M7" s="39" t="str">
        <f ca="1">IF(AND('Riesgos de Gestión'!$Z$19="Muy Alta",'Riesgos de Gestión'!$AB$19="Leve"),CONCATENATE("R2C",'Riesgos de Gestión'!$P$19),"")</f>
        <v/>
      </c>
      <c r="N7" s="39" t="str">
        <f ca="1">IF(AND('Riesgos de Gestión'!$Z$20="Muy Alta",'Riesgos de Gestión'!$AB$20="Leve"),CONCATENATE("R2C",'Riesgos de Gestión'!$P$20),"")</f>
        <v/>
      </c>
      <c r="O7" s="40" t="str">
        <f ca="1">IF(AND('Riesgos de Gestión'!$Z$21="Muy Alta",'Riesgos de Gestión'!$AB$21="Leve"),CONCATENATE("R2C",'Riesgos de Gestión'!$P$21),"")</f>
        <v/>
      </c>
      <c r="P7" s="38" t="str">
        <f ca="1">IF(AND('Riesgos de Gestión'!$Z$16="Muy Alta",'Riesgos de Gestión'!$AB$16="Menor"),CONCATENATE("R2C",'Riesgos de Gestión'!$P$16),"")</f>
        <v/>
      </c>
      <c r="Q7" s="39" t="str">
        <f ca="1">IF(AND('Riesgos de Gestión'!$Z$17="Muy Alta",'Riesgos de Gestión'!$AB$17="Menor"),CONCATENATE("R2C",'Riesgos de Gestión'!$P$17),"")</f>
        <v/>
      </c>
      <c r="R7" s="39" t="str">
        <f ca="1">IF(AND('Riesgos de Gestión'!$Z$18="Muy Alta",'Riesgos de Gestión'!$AB$18="Menor"),CONCATENATE("R2C",'Riesgos de Gestión'!$P$18),"")</f>
        <v/>
      </c>
      <c r="S7" s="39" t="str">
        <f ca="1">IF(AND('Riesgos de Gestión'!$Z$19="Muy Alta",'Riesgos de Gestión'!$AB$19="Menor"),CONCATENATE("R2C",'Riesgos de Gestión'!$P$19),"")</f>
        <v/>
      </c>
      <c r="T7" s="39" t="str">
        <f ca="1">IF(AND('Riesgos de Gestión'!$Z$20="Muy Alta",'Riesgos de Gestión'!$AB$20="Menor"),CONCATENATE("R2C",'Riesgos de Gestión'!$P$20),"")</f>
        <v/>
      </c>
      <c r="U7" s="40" t="str">
        <f ca="1">IF(AND('Riesgos de Gestión'!$Z$21="Muy Alta",'Riesgos de Gestión'!$AB$21="Menor"),CONCATENATE("R2C",'Riesgos de Gestión'!$P$21),"")</f>
        <v/>
      </c>
      <c r="V7" s="38" t="str">
        <f ca="1">IF(AND('Riesgos de Gestión'!$Z$16="Muy Alta",'Riesgos de Gestión'!$AB$16="Moderado"),CONCATENATE("R2C",'Riesgos de Gestión'!$P$16),"")</f>
        <v/>
      </c>
      <c r="W7" s="39" t="str">
        <f ca="1">IF(AND('Riesgos de Gestión'!$Z$17="Muy Alta",'Riesgos de Gestión'!$AB$17="Moderado"),CONCATENATE("R2C",'Riesgos de Gestión'!$P$17),"")</f>
        <v/>
      </c>
      <c r="X7" s="39" t="str">
        <f ca="1">IF(AND('Riesgos de Gestión'!$Z$18="Muy Alta",'Riesgos de Gestión'!$AB$18="Moderado"),CONCATENATE("R2C",'Riesgos de Gestión'!$P$18),"")</f>
        <v/>
      </c>
      <c r="Y7" s="39" t="str">
        <f ca="1">IF(AND('Riesgos de Gestión'!$Z$19="Muy Alta",'Riesgos de Gestión'!$AB$19="Moderado"),CONCATENATE("R2C",'Riesgos de Gestión'!$P$19),"")</f>
        <v/>
      </c>
      <c r="Z7" s="39" t="str">
        <f ca="1">IF(AND('Riesgos de Gestión'!$Z$20="Muy Alta",'Riesgos de Gestión'!$AB$20="Moderado"),CONCATENATE("R2C",'Riesgos de Gestión'!$P$20),"")</f>
        <v/>
      </c>
      <c r="AA7" s="40" t="str">
        <f ca="1">IF(AND('Riesgos de Gestión'!$Z$21="Muy Alta",'Riesgos de Gestión'!$AB$21="Moderado"),CONCATENATE("R2C",'Riesgos de Gestión'!$P$21),"")</f>
        <v/>
      </c>
      <c r="AB7" s="38" t="str">
        <f ca="1">IF(AND('Riesgos de Gestión'!$Z$16="Muy Alta",'Riesgos de Gestión'!$AB$16="Mayor"),CONCATENATE("R2C",'Riesgos de Gestión'!$P$16),"")</f>
        <v/>
      </c>
      <c r="AC7" s="39" t="str">
        <f ca="1">IF(AND('Riesgos de Gestión'!$Z$17="Muy Alta",'Riesgos de Gestión'!$AB$17="Mayor"),CONCATENATE("R2C",'Riesgos de Gestión'!$P$17),"")</f>
        <v/>
      </c>
      <c r="AD7" s="39" t="str">
        <f ca="1">IF(AND('Riesgos de Gestión'!$Z$18="Muy Alta",'Riesgos de Gestión'!$AB$18="Mayor"),CONCATENATE("R2C",'Riesgos de Gestión'!$P$18),"")</f>
        <v/>
      </c>
      <c r="AE7" s="39" t="str">
        <f ca="1">IF(AND('Riesgos de Gestión'!$Z$19="Muy Alta",'Riesgos de Gestión'!$AB$19="Mayor"),CONCATENATE("R2C",'Riesgos de Gestión'!$P$19),"")</f>
        <v/>
      </c>
      <c r="AF7" s="39" t="str">
        <f ca="1">IF(AND('Riesgos de Gestión'!$Z$20="Muy Alta",'Riesgos de Gestión'!$AB$20="Mayor"),CONCATENATE("R2C",'Riesgos de Gestión'!$P$20),"")</f>
        <v/>
      </c>
      <c r="AG7" s="40" t="str">
        <f ca="1">IF(AND('Riesgos de Gestión'!$Z$21="Muy Alta",'Riesgos de Gestión'!$AB$21="Mayor"),CONCATENATE("R2C",'Riesgos de Gestión'!$P$21),"")</f>
        <v/>
      </c>
      <c r="AH7" s="41" t="str">
        <f ca="1">IF(AND('Riesgos de Gestión'!$Z$16="Muy Alta",'Riesgos de Gestión'!$AB$16="Catastrófico"),CONCATENATE("R2C",'Riesgos de Gestión'!$P$16),"")</f>
        <v/>
      </c>
      <c r="AI7" s="42" t="str">
        <f ca="1">IF(AND('Riesgos de Gestión'!$Z$17="Muy Alta",'Riesgos de Gestión'!$AB$17="Catastrófico"),CONCATENATE("R2C",'Riesgos de Gestión'!$P$17),"")</f>
        <v/>
      </c>
      <c r="AJ7" s="42" t="str">
        <f ca="1">IF(AND('Riesgos de Gestión'!$Z$18="Muy Alta",'Riesgos de Gestión'!$AB$18="Catastrófico"),CONCATENATE("R2C",'Riesgos de Gestión'!$P$18),"")</f>
        <v/>
      </c>
      <c r="AK7" s="42" t="str">
        <f ca="1">IF(AND('Riesgos de Gestión'!$Z$19="Muy Alta",'Riesgos de Gestión'!$AB$19="Catastrófico"),CONCATENATE("R2C",'Riesgos de Gestión'!$P$19),"")</f>
        <v/>
      </c>
      <c r="AL7" s="42" t="str">
        <f ca="1">IF(AND('Riesgos de Gestión'!$Z$20="Muy Alta",'Riesgos de Gestión'!$AB$20="Catastrófico"),CONCATENATE("R2C",'Riesgos de Gestión'!$P$20),"")</f>
        <v/>
      </c>
      <c r="AM7" s="43" t="str">
        <f ca="1">IF(AND('Riesgos de Gestión'!$Z$21="Muy Alta",'Riesgos de Gestión'!$AB$21="Catastrófico"),CONCATENATE("R2C",'Riesgos de Gestión'!$P$21),"")</f>
        <v/>
      </c>
      <c r="AN7" s="69"/>
      <c r="AO7" s="552"/>
      <c r="AP7" s="553"/>
      <c r="AQ7" s="553"/>
      <c r="AR7" s="553"/>
      <c r="AS7" s="553"/>
      <c r="AT7" s="554"/>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row>
    <row r="8" spans="1:91" ht="15" customHeight="1" x14ac:dyDescent="0.25">
      <c r="A8" s="69"/>
      <c r="B8" s="447"/>
      <c r="C8" s="447"/>
      <c r="D8" s="448"/>
      <c r="E8" s="546"/>
      <c r="F8" s="545"/>
      <c r="G8" s="545"/>
      <c r="H8" s="545"/>
      <c r="I8" s="561"/>
      <c r="J8" s="38" t="str">
        <f ca="1">IF(AND('Riesgos de Gestión'!$Z$22="Muy Alta",'Riesgos de Gestión'!$AB$22="Leve"),CONCATENATE("R3C",'Riesgos de Gestión'!$P$22),"")</f>
        <v/>
      </c>
      <c r="K8" s="39" t="str">
        <f ca="1">IF(AND('Riesgos de Gestión'!$Z$23="Muy Alta",'Riesgos de Gestión'!$AB$23="Leve"),CONCATENATE("R3C",'Riesgos de Gestión'!$P$23),"")</f>
        <v/>
      </c>
      <c r="L8" s="39" t="str">
        <f ca="1">IF(AND('Riesgos de Gestión'!$Z$24="Muy Alta",'Riesgos de Gestión'!$AB$24="Leve"),CONCATENATE("R3C",'Riesgos de Gestión'!$P$24),"")</f>
        <v/>
      </c>
      <c r="M8" s="39" t="str">
        <f ca="1">IF(AND('Riesgos de Gestión'!$Z$25="Muy Alta",'Riesgos de Gestión'!$AB$25="Leve"),CONCATENATE("R3C",'Riesgos de Gestión'!$P$25),"")</f>
        <v/>
      </c>
      <c r="N8" s="39" t="str">
        <f ca="1">IF(AND('Riesgos de Gestión'!$Z$26="Muy Alta",'Riesgos de Gestión'!$AB$26="Leve"),CONCATENATE("R3C",'Riesgos de Gestión'!$P$26),"")</f>
        <v/>
      </c>
      <c r="O8" s="40" t="str">
        <f ca="1">IF(AND('Riesgos de Gestión'!$Z$27="Muy Alta",'Riesgos de Gestión'!$AB$27="Leve"),CONCATENATE("R3C",'Riesgos de Gestión'!$P$27),"")</f>
        <v/>
      </c>
      <c r="P8" s="38" t="str">
        <f ca="1">IF(AND('Riesgos de Gestión'!$Z$22="Muy Alta",'Riesgos de Gestión'!$AB$22="Menor"),CONCATENATE("R3C",'Riesgos de Gestión'!$P$22),"")</f>
        <v/>
      </c>
      <c r="Q8" s="39" t="str">
        <f ca="1">IF(AND('Riesgos de Gestión'!$Z$23="Muy Alta",'Riesgos de Gestión'!$AB$23="Menor"),CONCATENATE("R3C",'Riesgos de Gestión'!$P$23),"")</f>
        <v/>
      </c>
      <c r="R8" s="39" t="str">
        <f ca="1">IF(AND('Riesgos de Gestión'!$Z$24="Muy Alta",'Riesgos de Gestión'!$AB$24="Menor"),CONCATENATE("R3C",'Riesgos de Gestión'!$P$24),"")</f>
        <v/>
      </c>
      <c r="S8" s="39" t="str">
        <f ca="1">IF(AND('Riesgos de Gestión'!$Z$25="Muy Alta",'Riesgos de Gestión'!$AB$25="Menor"),CONCATENATE("R3C",'Riesgos de Gestión'!$P$25),"")</f>
        <v/>
      </c>
      <c r="T8" s="39" t="str">
        <f ca="1">IF(AND('Riesgos de Gestión'!$Z$26="Muy Alta",'Riesgos de Gestión'!$AB$26="Menor"),CONCATENATE("R3C",'Riesgos de Gestión'!$P$26),"")</f>
        <v/>
      </c>
      <c r="U8" s="40" t="str">
        <f ca="1">IF(AND('Riesgos de Gestión'!$Z$27="Muy Alta",'Riesgos de Gestión'!$AB$27="Menor"),CONCATENATE("R3C",'Riesgos de Gestión'!$P$27),"")</f>
        <v/>
      </c>
      <c r="V8" s="38" t="str">
        <f ca="1">IF(AND('Riesgos de Gestión'!$Z$22="Muy Alta",'Riesgos de Gestión'!$AB$22="Moderado"),CONCATENATE("R3C",'Riesgos de Gestión'!$P$22),"")</f>
        <v/>
      </c>
      <c r="W8" s="39" t="str">
        <f ca="1">IF(AND('Riesgos de Gestión'!$Z$23="Muy Alta",'Riesgos de Gestión'!$AB$23="Moderado"),CONCATENATE("R3C",'Riesgos de Gestión'!$P$23),"")</f>
        <v/>
      </c>
      <c r="X8" s="39" t="str">
        <f ca="1">IF(AND('Riesgos de Gestión'!$Z$24="Muy Alta",'Riesgos de Gestión'!$AB$24="Moderado"),CONCATENATE("R3C",'Riesgos de Gestión'!$P$24),"")</f>
        <v/>
      </c>
      <c r="Y8" s="39" t="str">
        <f ca="1">IF(AND('Riesgos de Gestión'!$Z$25="Muy Alta",'Riesgos de Gestión'!$AB$25="Moderado"),CONCATENATE("R3C",'Riesgos de Gestión'!$P$25),"")</f>
        <v/>
      </c>
      <c r="Z8" s="39" t="str">
        <f ca="1">IF(AND('Riesgos de Gestión'!$Z$26="Muy Alta",'Riesgos de Gestión'!$AB$26="Moderado"),CONCATENATE("R3C",'Riesgos de Gestión'!$P$26),"")</f>
        <v/>
      </c>
      <c r="AA8" s="40" t="str">
        <f ca="1">IF(AND('Riesgos de Gestión'!$Z$27="Muy Alta",'Riesgos de Gestión'!$AB$27="Moderado"),CONCATENATE("R3C",'Riesgos de Gestión'!$P$27),"")</f>
        <v/>
      </c>
      <c r="AB8" s="38" t="str">
        <f ca="1">IF(AND('Riesgos de Gestión'!$Z$22="Muy Alta",'Riesgos de Gestión'!$AB$22="Mayor"),CONCATENATE("R3C",'Riesgos de Gestión'!$P$22),"")</f>
        <v/>
      </c>
      <c r="AC8" s="39" t="str">
        <f ca="1">IF(AND('Riesgos de Gestión'!$Z$23="Muy Alta",'Riesgos de Gestión'!$AB$23="Mayor"),CONCATENATE("R3C",'Riesgos de Gestión'!$P$23),"")</f>
        <v/>
      </c>
      <c r="AD8" s="39" t="str">
        <f ca="1">IF(AND('Riesgos de Gestión'!$Z$24="Muy Alta",'Riesgos de Gestión'!$AB$24="Mayor"),CONCATENATE("R3C",'Riesgos de Gestión'!$P$24),"")</f>
        <v/>
      </c>
      <c r="AE8" s="39" t="str">
        <f ca="1">IF(AND('Riesgos de Gestión'!$Z$25="Muy Alta",'Riesgos de Gestión'!$AB$25="Mayor"),CONCATENATE("R3C",'Riesgos de Gestión'!$P$25),"")</f>
        <v/>
      </c>
      <c r="AF8" s="39" t="str">
        <f ca="1">IF(AND('Riesgos de Gestión'!$Z$26="Muy Alta",'Riesgos de Gestión'!$AB$26="Mayor"),CONCATENATE("R3C",'Riesgos de Gestión'!$P$26),"")</f>
        <v/>
      </c>
      <c r="AG8" s="40" t="str">
        <f ca="1">IF(AND('Riesgos de Gestión'!$Z$27="Muy Alta",'Riesgos de Gestión'!$AB$27="Mayor"),CONCATENATE("R3C",'Riesgos de Gestión'!$P$27),"")</f>
        <v/>
      </c>
      <c r="AH8" s="41" t="str">
        <f ca="1">IF(AND('Riesgos de Gestión'!$Z$22="Muy Alta",'Riesgos de Gestión'!$AB$22="Catastrófico"),CONCATENATE("R3C",'Riesgos de Gestión'!$P$22),"")</f>
        <v/>
      </c>
      <c r="AI8" s="42" t="str">
        <f ca="1">IF(AND('Riesgos de Gestión'!$Z$23="Muy Alta",'Riesgos de Gestión'!$AB$23="Catastrófico"),CONCATENATE("R3C",'Riesgos de Gestión'!$P$23),"")</f>
        <v/>
      </c>
      <c r="AJ8" s="42" t="str">
        <f ca="1">IF(AND('Riesgos de Gestión'!$Z$24="Muy Alta",'Riesgos de Gestión'!$AB$24="Catastrófico"),CONCATENATE("R3C",'Riesgos de Gestión'!$P$24),"")</f>
        <v/>
      </c>
      <c r="AK8" s="42" t="str">
        <f ca="1">IF(AND('Riesgos de Gestión'!$Z$25="Muy Alta",'Riesgos de Gestión'!$AB$25="Catastrófico"),CONCATENATE("R3C",'Riesgos de Gestión'!$P$25),"")</f>
        <v/>
      </c>
      <c r="AL8" s="42" t="str">
        <f ca="1">IF(AND('Riesgos de Gestión'!$Z$26="Muy Alta",'Riesgos de Gestión'!$AB$26="Catastrófico"),CONCATENATE("R3C",'Riesgos de Gestión'!$P$26),"")</f>
        <v/>
      </c>
      <c r="AM8" s="43" t="str">
        <f ca="1">IF(AND('Riesgos de Gestión'!$Z$27="Muy Alta",'Riesgos de Gestión'!$AB$27="Catastrófico"),CONCATENATE("R3C",'Riesgos de Gestión'!$P$27),"")</f>
        <v/>
      </c>
      <c r="AN8" s="69"/>
      <c r="AO8" s="552"/>
      <c r="AP8" s="553"/>
      <c r="AQ8" s="553"/>
      <c r="AR8" s="553"/>
      <c r="AS8" s="553"/>
      <c r="AT8" s="554"/>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row>
    <row r="9" spans="1:91" ht="15" customHeight="1" x14ac:dyDescent="0.25">
      <c r="A9" s="69"/>
      <c r="B9" s="447"/>
      <c r="C9" s="447"/>
      <c r="D9" s="448"/>
      <c r="E9" s="546"/>
      <c r="F9" s="545"/>
      <c r="G9" s="545"/>
      <c r="H9" s="545"/>
      <c r="I9" s="561"/>
      <c r="J9" s="38" t="str">
        <f ca="1">IF(AND('Riesgos de Gestión'!$Z$28="Muy Alta",'Riesgos de Gestión'!$AB$28="Leve"),CONCATENATE("R4C",'Riesgos de Gestión'!$P$28),"")</f>
        <v/>
      </c>
      <c r="K9" s="39" t="str">
        <f ca="1">IF(AND('Riesgos de Gestión'!$Z$29="Muy Alta",'Riesgos de Gestión'!$AB$29="Leve"),CONCATENATE("R4C",'Riesgos de Gestión'!$P$29),"")</f>
        <v/>
      </c>
      <c r="L9" s="39" t="str">
        <f ca="1">IF(AND('Riesgos de Gestión'!$Z$30="Muy Alta",'Riesgos de Gestión'!$AB$30="Leve"),CONCATENATE("R4C",'Riesgos de Gestión'!$P$30),"")</f>
        <v/>
      </c>
      <c r="M9" s="39" t="str">
        <f ca="1">IF(AND('Riesgos de Gestión'!$Z$31="Muy Alta",'Riesgos de Gestión'!$AB$31="Leve"),CONCATENATE("R4C",'Riesgos de Gestión'!$P$31),"")</f>
        <v/>
      </c>
      <c r="N9" s="39" t="str">
        <f ca="1">IF(AND('Riesgos de Gestión'!$Z$32="Muy Alta",'Riesgos de Gestión'!$AB$32="Leve"),CONCATENATE("R4C",'Riesgos de Gestión'!$P$32),"")</f>
        <v/>
      </c>
      <c r="O9" s="40" t="str">
        <f ca="1">IF(AND('Riesgos de Gestión'!$Z$33="Muy Alta",'Riesgos de Gestión'!$AB$33="Leve"),CONCATENATE("R4C",'Riesgos de Gestión'!$P$33),"")</f>
        <v/>
      </c>
      <c r="P9" s="38" t="str">
        <f ca="1">IF(AND('Riesgos de Gestión'!$Z$28="Muy Alta",'Riesgos de Gestión'!$AB$28="Menor"),CONCATENATE("R4C",'Riesgos de Gestión'!$P$28),"")</f>
        <v/>
      </c>
      <c r="Q9" s="39" t="str">
        <f ca="1">IF(AND('Riesgos de Gestión'!$Z$29="Muy Alta",'Riesgos de Gestión'!$AB$29="Menor"),CONCATENATE("R4C",'Riesgos de Gestión'!$P$29),"")</f>
        <v/>
      </c>
      <c r="R9" s="39" t="str">
        <f ca="1">IF(AND('Riesgos de Gestión'!$Z$30="Muy Alta",'Riesgos de Gestión'!$AB$30="Menor"),CONCATENATE("R4C",'Riesgos de Gestión'!$P$30),"")</f>
        <v/>
      </c>
      <c r="S9" s="39" t="str">
        <f ca="1">IF(AND('Riesgos de Gestión'!$Z$31="Muy Alta",'Riesgos de Gestión'!$AB$31="Menor"),CONCATENATE("R4C",'Riesgos de Gestión'!$P$31),"")</f>
        <v/>
      </c>
      <c r="T9" s="39" t="str">
        <f ca="1">IF(AND('Riesgos de Gestión'!$Z$32="Muy Alta",'Riesgos de Gestión'!$AB$32="Menor"),CONCATENATE("R4C",'Riesgos de Gestión'!$P$32),"")</f>
        <v/>
      </c>
      <c r="U9" s="40" t="str">
        <f ca="1">IF(AND('Riesgos de Gestión'!$Z$33="Muy Alta",'Riesgos de Gestión'!$AB$33="Menor"),CONCATENATE("R4C",'Riesgos de Gestión'!$P$33),"")</f>
        <v/>
      </c>
      <c r="V9" s="38" t="str">
        <f ca="1">IF(AND('Riesgos de Gestión'!$Z$28="Muy Alta",'Riesgos de Gestión'!$AB$28="Moderado"),CONCATENATE("R4C",'Riesgos de Gestión'!$P$28),"")</f>
        <v/>
      </c>
      <c r="W9" s="39" t="str">
        <f ca="1">IF(AND('Riesgos de Gestión'!$Z$29="Muy Alta",'Riesgos de Gestión'!$AB$29="Moderado"),CONCATENATE("R4C",'Riesgos de Gestión'!$P$29),"")</f>
        <v/>
      </c>
      <c r="X9" s="39" t="str">
        <f ca="1">IF(AND('Riesgos de Gestión'!$Z$30="Muy Alta",'Riesgos de Gestión'!$AB$30="Moderado"),CONCATENATE("R4C",'Riesgos de Gestión'!$P$30),"")</f>
        <v/>
      </c>
      <c r="Y9" s="39" t="str">
        <f ca="1">IF(AND('Riesgos de Gestión'!$Z$31="Muy Alta",'Riesgos de Gestión'!$AB$31="Moderado"),CONCATENATE("R4C",'Riesgos de Gestión'!$P$31),"")</f>
        <v/>
      </c>
      <c r="Z9" s="39" t="str">
        <f ca="1">IF(AND('Riesgos de Gestión'!$Z$32="Muy Alta",'Riesgos de Gestión'!$AB$32="Moderado"),CONCATENATE("R4C",'Riesgos de Gestión'!$P$32),"")</f>
        <v/>
      </c>
      <c r="AA9" s="40" t="str">
        <f ca="1">IF(AND('Riesgos de Gestión'!$Z$33="Muy Alta",'Riesgos de Gestión'!$AB$33="Moderado"),CONCATENATE("R4C",'Riesgos de Gestión'!$P$33),"")</f>
        <v/>
      </c>
      <c r="AB9" s="38" t="str">
        <f ca="1">IF(AND('Riesgos de Gestión'!$Z$28="Muy Alta",'Riesgos de Gestión'!$AB$28="Mayor"),CONCATENATE("R4C",'Riesgos de Gestión'!$P$28),"")</f>
        <v/>
      </c>
      <c r="AC9" s="39" t="str">
        <f ca="1">IF(AND('Riesgos de Gestión'!$Z$29="Muy Alta",'Riesgos de Gestión'!$AB$29="Mayor"),CONCATENATE("R4C",'Riesgos de Gestión'!$P$29),"")</f>
        <v/>
      </c>
      <c r="AD9" s="39" t="str">
        <f ca="1">IF(AND('Riesgos de Gestión'!$Z$30="Muy Alta",'Riesgos de Gestión'!$AB$30="Mayor"),CONCATENATE("R4C",'Riesgos de Gestión'!$P$30),"")</f>
        <v/>
      </c>
      <c r="AE9" s="39" t="str">
        <f ca="1">IF(AND('Riesgos de Gestión'!$Z$31="Muy Alta",'Riesgos de Gestión'!$AB$31="Mayor"),CONCATENATE("R4C",'Riesgos de Gestión'!$P$31),"")</f>
        <v/>
      </c>
      <c r="AF9" s="39" t="str">
        <f ca="1">IF(AND('Riesgos de Gestión'!$Z$32="Muy Alta",'Riesgos de Gestión'!$AB$32="Mayor"),CONCATENATE("R4C",'Riesgos de Gestión'!$P$32),"")</f>
        <v/>
      </c>
      <c r="AG9" s="40" t="str">
        <f ca="1">IF(AND('Riesgos de Gestión'!$Z$33="Muy Alta",'Riesgos de Gestión'!$AB$33="Mayor"),CONCATENATE("R4C",'Riesgos de Gestión'!$P$33),"")</f>
        <v/>
      </c>
      <c r="AH9" s="41" t="str">
        <f ca="1">IF(AND('Riesgos de Gestión'!$Z$28="Muy Alta",'Riesgos de Gestión'!$AB$28="Catastrófico"),CONCATENATE("R4C",'Riesgos de Gestión'!$P$28),"")</f>
        <v/>
      </c>
      <c r="AI9" s="42" t="str">
        <f ca="1">IF(AND('Riesgos de Gestión'!$Z$29="Muy Alta",'Riesgos de Gestión'!$AB$29="Catastrófico"),CONCATENATE("R4C",'Riesgos de Gestión'!$P$29),"")</f>
        <v/>
      </c>
      <c r="AJ9" s="42" t="str">
        <f ca="1">IF(AND('Riesgos de Gestión'!$Z$30="Muy Alta",'Riesgos de Gestión'!$AB$30="Catastrófico"),CONCATENATE("R4C",'Riesgos de Gestión'!$P$30),"")</f>
        <v/>
      </c>
      <c r="AK9" s="42" t="str">
        <f ca="1">IF(AND('Riesgos de Gestión'!$Z$31="Muy Alta",'Riesgos de Gestión'!$AB$31="Catastrófico"),CONCATENATE("R4C",'Riesgos de Gestión'!$P$31),"")</f>
        <v/>
      </c>
      <c r="AL9" s="42" t="str">
        <f ca="1">IF(AND('Riesgos de Gestión'!$Z$32="Muy Alta",'Riesgos de Gestión'!$AB$32="Catastrófico"),CONCATENATE("R4C",'Riesgos de Gestión'!$P$32),"")</f>
        <v/>
      </c>
      <c r="AM9" s="43" t="str">
        <f ca="1">IF(AND('Riesgos de Gestión'!$Z$33="Muy Alta",'Riesgos de Gestión'!$AB$33="Catastrófico"),CONCATENATE("R4C",'Riesgos de Gestión'!$P$33),"")</f>
        <v/>
      </c>
      <c r="AN9" s="69"/>
      <c r="AO9" s="552"/>
      <c r="AP9" s="553"/>
      <c r="AQ9" s="553"/>
      <c r="AR9" s="553"/>
      <c r="AS9" s="553"/>
      <c r="AT9" s="554"/>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row>
    <row r="10" spans="1:91" ht="15" customHeight="1" x14ac:dyDescent="0.25">
      <c r="A10" s="69"/>
      <c r="B10" s="447"/>
      <c r="C10" s="447"/>
      <c r="D10" s="448"/>
      <c r="E10" s="546"/>
      <c r="F10" s="545"/>
      <c r="G10" s="545"/>
      <c r="H10" s="545"/>
      <c r="I10" s="561"/>
      <c r="J10" s="38" t="str">
        <f ca="1">IF(AND('Riesgos de Gestión'!$Z$34="Muy Alta",'Riesgos de Gestión'!$AB$34="Leve"),CONCATENATE("R5C",'Riesgos de Gestión'!$P$34),"")</f>
        <v/>
      </c>
      <c r="K10" s="39" t="str">
        <f ca="1">IF(AND('Riesgos de Gestión'!$Z$35="Muy Alta",'Riesgos de Gestión'!$AB$35="Leve"),CONCATENATE("R5C",'Riesgos de Gestión'!$P$35),"")</f>
        <v/>
      </c>
      <c r="L10" s="39" t="str">
        <f ca="1">IF(AND('Riesgos de Gestión'!$Z$36="Muy Alta",'Riesgos de Gestión'!$AB$36="Leve"),CONCATENATE("R5C",'Riesgos de Gestión'!$P$36),"")</f>
        <v/>
      </c>
      <c r="M10" s="39" t="str">
        <f ca="1">IF(AND('Riesgos de Gestión'!$Z$37="Muy Alta",'Riesgos de Gestión'!$AB$37="Leve"),CONCATENATE("R5C",'Riesgos de Gestión'!$P$37),"")</f>
        <v/>
      </c>
      <c r="N10" s="39" t="str">
        <f ca="1">IF(AND('Riesgos de Gestión'!$Z$38="Muy Alta",'Riesgos de Gestión'!$AB$38="Leve"),CONCATENATE("R5C",'Riesgos de Gestión'!$P$38),"")</f>
        <v/>
      </c>
      <c r="O10" s="40" t="str">
        <f ca="1">IF(AND('Riesgos de Gestión'!$Z$39="Muy Alta",'Riesgos de Gestión'!$AB$39="Leve"),CONCATENATE("R5C",'Riesgos de Gestión'!$P$39),"")</f>
        <v/>
      </c>
      <c r="P10" s="38" t="str">
        <f ca="1">IF(AND('Riesgos de Gestión'!$Z$34="Muy Alta",'Riesgos de Gestión'!$AB$34="Menor"),CONCATENATE("R5C",'Riesgos de Gestión'!$P$34),"")</f>
        <v/>
      </c>
      <c r="Q10" s="39" t="str">
        <f ca="1">IF(AND('Riesgos de Gestión'!$Z$35="Muy Alta",'Riesgos de Gestión'!$AB$35="Menor"),CONCATENATE("R5C",'Riesgos de Gestión'!$P$35),"")</f>
        <v/>
      </c>
      <c r="R10" s="39" t="str">
        <f ca="1">IF(AND('Riesgos de Gestión'!$Z$36="Muy Alta",'Riesgos de Gestión'!$AB$36="Menor"),CONCATENATE("R5C",'Riesgos de Gestión'!$P$36),"")</f>
        <v/>
      </c>
      <c r="S10" s="39" t="str">
        <f ca="1">IF(AND('Riesgos de Gestión'!$Z$37="Muy Alta",'Riesgos de Gestión'!$AB$37="Menor"),CONCATENATE("R5C",'Riesgos de Gestión'!$P$37),"")</f>
        <v/>
      </c>
      <c r="T10" s="39" t="str">
        <f ca="1">IF(AND('Riesgos de Gestión'!$Z$38="Muy Alta",'Riesgos de Gestión'!$AB$38="Menor"),CONCATENATE("R5C",'Riesgos de Gestión'!$P$38),"")</f>
        <v/>
      </c>
      <c r="U10" s="40" t="str">
        <f ca="1">IF(AND('Riesgos de Gestión'!$Z$39="Muy Alta",'Riesgos de Gestión'!$AB$39="Menor"),CONCATENATE("R5C",'Riesgos de Gestión'!$P$39),"")</f>
        <v/>
      </c>
      <c r="V10" s="38" t="str">
        <f ca="1">IF(AND('Riesgos de Gestión'!$Z$34="Muy Alta",'Riesgos de Gestión'!$AB$34="Moderado"),CONCATENATE("R5C",'Riesgos de Gestión'!$P$34),"")</f>
        <v/>
      </c>
      <c r="W10" s="39" t="str">
        <f ca="1">IF(AND('Riesgos de Gestión'!$Z$35="Muy Alta",'Riesgos de Gestión'!$AB$35="Moderado"),CONCATENATE("R5C",'Riesgos de Gestión'!$P$35),"")</f>
        <v/>
      </c>
      <c r="X10" s="39" t="str">
        <f ca="1">IF(AND('Riesgos de Gestión'!$Z$36="Muy Alta",'Riesgos de Gestión'!$AB$36="Moderado"),CONCATENATE("R5C",'Riesgos de Gestión'!$P$36),"")</f>
        <v/>
      </c>
      <c r="Y10" s="39" t="str">
        <f ca="1">IF(AND('Riesgos de Gestión'!$Z$37="Muy Alta",'Riesgos de Gestión'!$AB$37="Moderado"),CONCATENATE("R5C",'Riesgos de Gestión'!$P$37),"")</f>
        <v/>
      </c>
      <c r="Z10" s="39" t="str">
        <f ca="1">IF(AND('Riesgos de Gestión'!$Z$38="Muy Alta",'Riesgos de Gestión'!$AB$38="Moderado"),CONCATENATE("R5C",'Riesgos de Gestión'!$P$38),"")</f>
        <v/>
      </c>
      <c r="AA10" s="40" t="str">
        <f ca="1">IF(AND('Riesgos de Gestión'!$Z$39="Muy Alta",'Riesgos de Gestión'!$AB$39="Moderado"),CONCATENATE("R5C",'Riesgos de Gestión'!$P$39),"")</f>
        <v/>
      </c>
      <c r="AB10" s="38" t="str">
        <f ca="1">IF(AND('Riesgos de Gestión'!$Z$34="Muy Alta",'Riesgos de Gestión'!$AB$34="Mayor"),CONCATENATE("R5C",'Riesgos de Gestión'!$P$34),"")</f>
        <v/>
      </c>
      <c r="AC10" s="39" t="str">
        <f ca="1">IF(AND('Riesgos de Gestión'!$Z$35="Muy Alta",'Riesgos de Gestión'!$AB$35="Mayor"),CONCATENATE("R5C",'Riesgos de Gestión'!$P$35),"")</f>
        <v/>
      </c>
      <c r="AD10" s="39" t="str">
        <f ca="1">IF(AND('Riesgos de Gestión'!$Z$36="Muy Alta",'Riesgos de Gestión'!$AB$36="Mayor"),CONCATENATE("R5C",'Riesgos de Gestión'!$P$36),"")</f>
        <v/>
      </c>
      <c r="AE10" s="39" t="str">
        <f ca="1">IF(AND('Riesgos de Gestión'!$Z$37="Muy Alta",'Riesgos de Gestión'!$AB$37="Mayor"),CONCATENATE("R5C",'Riesgos de Gestión'!$P$37),"")</f>
        <v/>
      </c>
      <c r="AF10" s="39" t="str">
        <f ca="1">IF(AND('Riesgos de Gestión'!$Z$38="Muy Alta",'Riesgos de Gestión'!$AB$38="Mayor"),CONCATENATE("R5C",'Riesgos de Gestión'!$P$38),"")</f>
        <v/>
      </c>
      <c r="AG10" s="40" t="str">
        <f ca="1">IF(AND('Riesgos de Gestión'!$Z$39="Muy Alta",'Riesgos de Gestión'!$AB$39="Mayor"),CONCATENATE("R5C",'Riesgos de Gestión'!$P$39),"")</f>
        <v/>
      </c>
      <c r="AH10" s="41" t="str">
        <f ca="1">IF(AND('Riesgos de Gestión'!$Z$34="Muy Alta",'Riesgos de Gestión'!$AB$34="Catastrófico"),CONCATENATE("R5C",'Riesgos de Gestión'!$P$34),"")</f>
        <v/>
      </c>
      <c r="AI10" s="42" t="str">
        <f ca="1">IF(AND('Riesgos de Gestión'!$Z$35="Muy Alta",'Riesgos de Gestión'!$AB$35="Catastrófico"),CONCATENATE("R5C",'Riesgos de Gestión'!$P$35),"")</f>
        <v/>
      </c>
      <c r="AJ10" s="42" t="str">
        <f ca="1">IF(AND('Riesgos de Gestión'!$Z$36="Muy Alta",'Riesgos de Gestión'!$AB$36="Catastrófico"),CONCATENATE("R5C",'Riesgos de Gestión'!$P$36),"")</f>
        <v/>
      </c>
      <c r="AK10" s="42" t="str">
        <f ca="1">IF(AND('Riesgos de Gestión'!$Z$37="Muy Alta",'Riesgos de Gestión'!$AB$37="Catastrófico"),CONCATENATE("R5C",'Riesgos de Gestión'!$P$37),"")</f>
        <v/>
      </c>
      <c r="AL10" s="42" t="str">
        <f ca="1">IF(AND('Riesgos de Gestión'!$Z$38="Muy Alta",'Riesgos de Gestión'!$AB$38="Catastrófico"),CONCATENATE("R5C",'Riesgos de Gestión'!$P$38),"")</f>
        <v/>
      </c>
      <c r="AM10" s="43" t="str">
        <f ca="1">IF(AND('Riesgos de Gestión'!$Z$39="Muy Alta",'Riesgos de Gestión'!$AB$39="Catastrófico"),CONCATENATE("R5C",'Riesgos de Gestión'!$P$39),"")</f>
        <v/>
      </c>
      <c r="AN10" s="69"/>
      <c r="AO10" s="552"/>
      <c r="AP10" s="553"/>
      <c r="AQ10" s="553"/>
      <c r="AR10" s="553"/>
      <c r="AS10" s="553"/>
      <c r="AT10" s="554"/>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row>
    <row r="11" spans="1:91" ht="15" customHeight="1" x14ac:dyDescent="0.25">
      <c r="A11" s="69"/>
      <c r="B11" s="447"/>
      <c r="C11" s="447"/>
      <c r="D11" s="448"/>
      <c r="E11" s="546"/>
      <c r="F11" s="545"/>
      <c r="G11" s="545"/>
      <c r="H11" s="545"/>
      <c r="I11" s="561"/>
      <c r="J11" s="38" t="str">
        <f ca="1">IF(AND('Riesgos de Gestión'!$Z$40="Muy Alta",'Riesgos de Gestión'!$AB$40="Leve"),CONCATENATE("R6C",'Riesgos de Gestión'!$P$40),"")</f>
        <v/>
      </c>
      <c r="K11" s="39" t="str">
        <f ca="1">IF(AND('Riesgos de Gestión'!$Z$41="Muy Alta",'Riesgos de Gestión'!$AB$41="Leve"),CONCATENATE("R6C",'Riesgos de Gestión'!$P$41),"")</f>
        <v/>
      </c>
      <c r="L11" s="39" t="str">
        <f ca="1">IF(AND('Riesgos de Gestión'!$Z$42="Muy Alta",'Riesgos de Gestión'!$AB$42="Leve"),CONCATENATE("R6C",'Riesgos de Gestión'!$P$42),"")</f>
        <v/>
      </c>
      <c r="M11" s="39" t="str">
        <f ca="1">IF(AND('Riesgos de Gestión'!$Z$43="Muy Alta",'Riesgos de Gestión'!$AB$43="Leve"),CONCATENATE("R6C",'Riesgos de Gestión'!$P$43),"")</f>
        <v/>
      </c>
      <c r="N11" s="39" t="str">
        <f ca="1">IF(AND('Riesgos de Gestión'!$Z$44="Muy Alta",'Riesgos de Gestión'!$AB$44="Leve"),CONCATENATE("R6C",'Riesgos de Gestión'!$P$44),"")</f>
        <v/>
      </c>
      <c r="O11" s="40" t="str">
        <f ca="1">IF(AND('Riesgos de Gestión'!$Z$45="Muy Alta",'Riesgos de Gestión'!$AB$45="Leve"),CONCATENATE("R6C",'Riesgos de Gestión'!$P$45),"")</f>
        <v/>
      </c>
      <c r="P11" s="38" t="str">
        <f ca="1">IF(AND('Riesgos de Gestión'!$Z$40="Muy Alta",'Riesgos de Gestión'!$AB$40="Menor"),CONCATENATE("R6C",'Riesgos de Gestión'!$P$40),"")</f>
        <v/>
      </c>
      <c r="Q11" s="39" t="str">
        <f ca="1">IF(AND('Riesgos de Gestión'!$Z$41="Muy Alta",'Riesgos de Gestión'!$AB$41="Menor"),CONCATENATE("R6C",'Riesgos de Gestión'!$P$41),"")</f>
        <v/>
      </c>
      <c r="R11" s="39" t="str">
        <f ca="1">IF(AND('Riesgos de Gestión'!$Z$42="Muy Alta",'Riesgos de Gestión'!$AB$42="Menor"),CONCATENATE("R6C",'Riesgos de Gestión'!$P$42),"")</f>
        <v/>
      </c>
      <c r="S11" s="39" t="str">
        <f ca="1">IF(AND('Riesgos de Gestión'!$Z$43="Muy Alta",'Riesgos de Gestión'!$AB$43="Menor"),CONCATENATE("R6C",'Riesgos de Gestión'!$P$43),"")</f>
        <v/>
      </c>
      <c r="T11" s="39" t="str">
        <f ca="1">IF(AND('Riesgos de Gestión'!$Z$44="Muy Alta",'Riesgos de Gestión'!$AB$44="Menor"),CONCATENATE("R6C",'Riesgos de Gestión'!$P$44),"")</f>
        <v/>
      </c>
      <c r="U11" s="40" t="str">
        <f ca="1">IF(AND('Riesgos de Gestión'!$Z$45="Muy Alta",'Riesgos de Gestión'!$AB$45="Menor"),CONCATENATE("R6C",'Riesgos de Gestión'!$P$45),"")</f>
        <v/>
      </c>
      <c r="V11" s="38" t="str">
        <f ca="1">IF(AND('Riesgos de Gestión'!$Z$40="Muy Alta",'Riesgos de Gestión'!$AB$40="Moderado"),CONCATENATE("R6C",'Riesgos de Gestión'!$P$40),"")</f>
        <v/>
      </c>
      <c r="W11" s="39" t="str">
        <f ca="1">IF(AND('Riesgos de Gestión'!$Z$41="Muy Alta",'Riesgos de Gestión'!$AB$41="Moderado"),CONCATENATE("R6C",'Riesgos de Gestión'!$P$41),"")</f>
        <v/>
      </c>
      <c r="X11" s="39" t="str">
        <f ca="1">IF(AND('Riesgos de Gestión'!$Z$42="Muy Alta",'Riesgos de Gestión'!$AB$42="Moderado"),CONCATENATE("R6C",'Riesgos de Gestión'!$P$42),"")</f>
        <v/>
      </c>
      <c r="Y11" s="39" t="str">
        <f ca="1">IF(AND('Riesgos de Gestión'!$Z$43="Muy Alta",'Riesgos de Gestión'!$AB$43="Moderado"),CONCATENATE("R6C",'Riesgos de Gestión'!$P$43),"")</f>
        <v/>
      </c>
      <c r="Z11" s="39" t="str">
        <f ca="1">IF(AND('Riesgos de Gestión'!$Z$44="Muy Alta",'Riesgos de Gestión'!$AB$44="Moderado"),CONCATENATE("R6C",'Riesgos de Gestión'!$P$44),"")</f>
        <v/>
      </c>
      <c r="AA11" s="40" t="str">
        <f ca="1">IF(AND('Riesgos de Gestión'!$Z$45="Muy Alta",'Riesgos de Gestión'!$AB$45="Moderado"),CONCATENATE("R6C",'Riesgos de Gestión'!$P$45),"")</f>
        <v/>
      </c>
      <c r="AB11" s="38" t="str">
        <f ca="1">IF(AND('Riesgos de Gestión'!$Z$40="Muy Alta",'Riesgos de Gestión'!$AB$40="Mayor"),CONCATENATE("R6C",'Riesgos de Gestión'!$P$40),"")</f>
        <v/>
      </c>
      <c r="AC11" s="39" t="str">
        <f ca="1">IF(AND('Riesgos de Gestión'!$Z$41="Muy Alta",'Riesgos de Gestión'!$AB$41="Mayor"),CONCATENATE("R6C",'Riesgos de Gestión'!$P$41),"")</f>
        <v/>
      </c>
      <c r="AD11" s="39" t="str">
        <f ca="1">IF(AND('Riesgos de Gestión'!$Z$42="Muy Alta",'Riesgos de Gestión'!$AB$42="Mayor"),CONCATENATE("R6C",'Riesgos de Gestión'!$P$42),"")</f>
        <v/>
      </c>
      <c r="AE11" s="39" t="str">
        <f ca="1">IF(AND('Riesgos de Gestión'!$Z$43="Muy Alta",'Riesgos de Gestión'!$AB$43="Mayor"),CONCATENATE("R6C",'Riesgos de Gestión'!$P$43),"")</f>
        <v/>
      </c>
      <c r="AF11" s="39" t="str">
        <f ca="1">IF(AND('Riesgos de Gestión'!$Z$44="Muy Alta",'Riesgos de Gestión'!$AB$44="Mayor"),CONCATENATE("R6C",'Riesgos de Gestión'!$P$44),"")</f>
        <v/>
      </c>
      <c r="AG11" s="40" t="str">
        <f ca="1">IF(AND('Riesgos de Gestión'!$Z$45="Muy Alta",'Riesgos de Gestión'!$AB$45="Mayor"),CONCATENATE("R6C",'Riesgos de Gestión'!$P$45),"")</f>
        <v/>
      </c>
      <c r="AH11" s="41" t="str">
        <f ca="1">IF(AND('Riesgos de Gestión'!$Z$40="Muy Alta",'Riesgos de Gestión'!$AB$40="Catastrófico"),CONCATENATE("R6C",'Riesgos de Gestión'!$P$40),"")</f>
        <v/>
      </c>
      <c r="AI11" s="42" t="str">
        <f ca="1">IF(AND('Riesgos de Gestión'!$Z$41="Muy Alta",'Riesgos de Gestión'!$AB$41="Catastrófico"),CONCATENATE("R6C",'Riesgos de Gestión'!$P$41),"")</f>
        <v/>
      </c>
      <c r="AJ11" s="42" t="str">
        <f ca="1">IF(AND('Riesgos de Gestión'!$Z$42="Muy Alta",'Riesgos de Gestión'!$AB$42="Catastrófico"),CONCATENATE("R6C",'Riesgos de Gestión'!$P$42),"")</f>
        <v/>
      </c>
      <c r="AK11" s="42" t="str">
        <f ca="1">IF(AND('Riesgos de Gestión'!$Z$43="Muy Alta",'Riesgos de Gestión'!$AB$43="Catastrófico"),CONCATENATE("R6C",'Riesgos de Gestión'!$P$43),"")</f>
        <v/>
      </c>
      <c r="AL11" s="42" t="str">
        <f ca="1">IF(AND('Riesgos de Gestión'!$Z$44="Muy Alta",'Riesgos de Gestión'!$AB$44="Catastrófico"),CONCATENATE("R6C",'Riesgos de Gestión'!$P$44),"")</f>
        <v/>
      </c>
      <c r="AM11" s="43" t="str">
        <f ca="1">IF(AND('Riesgos de Gestión'!$Z$45="Muy Alta",'Riesgos de Gestión'!$AB$45="Catastrófico"),CONCATENATE("R6C",'Riesgos de Gestión'!$P$45),"")</f>
        <v/>
      </c>
      <c r="AN11" s="69"/>
      <c r="AO11" s="552"/>
      <c r="AP11" s="553"/>
      <c r="AQ11" s="553"/>
      <c r="AR11" s="553"/>
      <c r="AS11" s="553"/>
      <c r="AT11" s="554"/>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row>
    <row r="12" spans="1:91" ht="15" customHeight="1" x14ac:dyDescent="0.25">
      <c r="A12" s="69"/>
      <c r="B12" s="447"/>
      <c r="C12" s="447"/>
      <c r="D12" s="448"/>
      <c r="E12" s="546"/>
      <c r="F12" s="545"/>
      <c r="G12" s="545"/>
      <c r="H12" s="545"/>
      <c r="I12" s="561"/>
      <c r="J12" s="38" t="str">
        <f ca="1">IF(AND('Riesgos de Gestión'!$Z$46="Muy Alta",'Riesgos de Gestión'!$AB$46="Leve"),CONCATENATE("R7C",'Riesgos de Gestión'!$P$46),"")</f>
        <v/>
      </c>
      <c r="K12" s="39" t="str">
        <f ca="1">IF(AND('Riesgos de Gestión'!$Z$47="Muy Alta",'Riesgos de Gestión'!$AB$47="Leve"),CONCATENATE("R7C",'Riesgos de Gestión'!$P$47),"")</f>
        <v/>
      </c>
      <c r="L12" s="39" t="str">
        <f ca="1">IF(AND('Riesgos de Gestión'!$Z$48="Muy Alta",'Riesgos de Gestión'!$AB$48="Leve"),CONCATENATE("R7C",'Riesgos de Gestión'!$P$48),"")</f>
        <v/>
      </c>
      <c r="M12" s="39" t="str">
        <f ca="1">IF(AND('Riesgos de Gestión'!$Z$49="Muy Alta",'Riesgos de Gestión'!$AB$49="Leve"),CONCATENATE("R7C",'Riesgos de Gestión'!$P$49),"")</f>
        <v/>
      </c>
      <c r="N12" s="39" t="str">
        <f ca="1">IF(AND('Riesgos de Gestión'!$Z$50="Muy Alta",'Riesgos de Gestión'!$AB$50="Leve"),CONCATENATE("R7C",'Riesgos de Gestión'!$P$50),"")</f>
        <v/>
      </c>
      <c r="O12" s="40" t="str">
        <f ca="1">IF(AND('Riesgos de Gestión'!$Z$51="Muy Alta",'Riesgos de Gestión'!$AB$51="Leve"),CONCATENATE("R7C",'Riesgos de Gestión'!$P$51),"")</f>
        <v/>
      </c>
      <c r="P12" s="38" t="str">
        <f ca="1">IF(AND('Riesgos de Gestión'!$Z$46="Muy Alta",'Riesgos de Gestión'!$AB$46="Menor"),CONCATENATE("R7C",'Riesgos de Gestión'!$P$46),"")</f>
        <v/>
      </c>
      <c r="Q12" s="39" t="str">
        <f ca="1">IF(AND('Riesgos de Gestión'!$Z$47="Muy Alta",'Riesgos de Gestión'!$AB$47="Menor"),CONCATENATE("R7C",'Riesgos de Gestión'!$P$47),"")</f>
        <v/>
      </c>
      <c r="R12" s="39" t="str">
        <f ca="1">IF(AND('Riesgos de Gestión'!$Z$48="Muy Alta",'Riesgos de Gestión'!$AB$48="Menor"),CONCATENATE("R7C",'Riesgos de Gestión'!$P$48),"")</f>
        <v/>
      </c>
      <c r="S12" s="39" t="str">
        <f ca="1">IF(AND('Riesgos de Gestión'!$Z$49="Muy Alta",'Riesgos de Gestión'!$AB$49="Menor"),CONCATENATE("R7C",'Riesgos de Gestión'!$P$49),"")</f>
        <v/>
      </c>
      <c r="T12" s="39" t="str">
        <f ca="1">IF(AND('Riesgos de Gestión'!$Z$50="Muy Alta",'Riesgos de Gestión'!$AB$50="Menor"),CONCATENATE("R7C",'Riesgos de Gestión'!$P$50),"")</f>
        <v/>
      </c>
      <c r="U12" s="40" t="str">
        <f ca="1">IF(AND('Riesgos de Gestión'!$Z$51="Muy Alta",'Riesgos de Gestión'!$AB$51="Menor"),CONCATENATE("R7C",'Riesgos de Gestión'!$P$51),"")</f>
        <v/>
      </c>
      <c r="V12" s="38" t="str">
        <f ca="1">IF(AND('Riesgos de Gestión'!$Z$46="Muy Alta",'Riesgos de Gestión'!$AB$46="Moderado"),CONCATENATE("R7C",'Riesgos de Gestión'!$P$46),"")</f>
        <v/>
      </c>
      <c r="W12" s="39" t="str">
        <f ca="1">IF(AND('Riesgos de Gestión'!$Z$47="Muy Alta",'Riesgos de Gestión'!$AB$47="Moderado"),CONCATENATE("R7C",'Riesgos de Gestión'!$P$47),"")</f>
        <v/>
      </c>
      <c r="X12" s="39" t="str">
        <f ca="1">IF(AND('Riesgos de Gestión'!$Z$48="Muy Alta",'Riesgos de Gestión'!$AB$48="Moderado"),CONCATENATE("R7C",'Riesgos de Gestión'!$P$48),"")</f>
        <v/>
      </c>
      <c r="Y12" s="39" t="str">
        <f ca="1">IF(AND('Riesgos de Gestión'!$Z$49="Muy Alta",'Riesgos de Gestión'!$AB$49="Moderado"),CONCATENATE("R7C",'Riesgos de Gestión'!$P$49),"")</f>
        <v/>
      </c>
      <c r="Z12" s="39" t="str">
        <f ca="1">IF(AND('Riesgos de Gestión'!$Z$50="Muy Alta",'Riesgos de Gestión'!$AB$50="Moderado"),CONCATENATE("R7C",'Riesgos de Gestión'!$P$50),"")</f>
        <v/>
      </c>
      <c r="AA12" s="40" t="str">
        <f ca="1">IF(AND('Riesgos de Gestión'!$Z$51="Muy Alta",'Riesgos de Gestión'!$AB$51="Moderado"),CONCATENATE("R7C",'Riesgos de Gestión'!$P$51),"")</f>
        <v/>
      </c>
      <c r="AB12" s="38" t="str">
        <f ca="1">IF(AND('Riesgos de Gestión'!$Z$46="Muy Alta",'Riesgos de Gestión'!$AB$46="Mayor"),CONCATENATE("R7C",'Riesgos de Gestión'!$P$46),"")</f>
        <v/>
      </c>
      <c r="AC12" s="39" t="str">
        <f ca="1">IF(AND('Riesgos de Gestión'!$Z$47="Muy Alta",'Riesgos de Gestión'!$AB$47="Mayor"),CONCATENATE("R7C",'Riesgos de Gestión'!$P$47),"")</f>
        <v/>
      </c>
      <c r="AD12" s="39" t="str">
        <f ca="1">IF(AND('Riesgos de Gestión'!$Z$48="Muy Alta",'Riesgos de Gestión'!$AB$48="Mayor"),CONCATENATE("R7C",'Riesgos de Gestión'!$P$48),"")</f>
        <v/>
      </c>
      <c r="AE12" s="39" t="str">
        <f ca="1">IF(AND('Riesgos de Gestión'!$Z$49="Muy Alta",'Riesgos de Gestión'!$AB$49="Mayor"),CONCATENATE("R7C",'Riesgos de Gestión'!$P$49),"")</f>
        <v/>
      </c>
      <c r="AF12" s="39" t="str">
        <f ca="1">IF(AND('Riesgos de Gestión'!$Z$50="Muy Alta",'Riesgos de Gestión'!$AB$50="Mayor"),CONCATENATE("R7C",'Riesgos de Gestión'!$P$50),"")</f>
        <v/>
      </c>
      <c r="AG12" s="40" t="str">
        <f ca="1">IF(AND('Riesgos de Gestión'!$Z$51="Muy Alta",'Riesgos de Gestión'!$AB$51="Mayor"),CONCATENATE("R7C",'Riesgos de Gestión'!$P$51),"")</f>
        <v/>
      </c>
      <c r="AH12" s="41" t="str">
        <f ca="1">IF(AND('Riesgos de Gestión'!$Z$46="Muy Alta",'Riesgos de Gestión'!$AB$46="Catastrófico"),CONCATENATE("R7C",'Riesgos de Gestión'!$P$46),"")</f>
        <v/>
      </c>
      <c r="AI12" s="42" t="str">
        <f ca="1">IF(AND('Riesgos de Gestión'!$Z$47="Muy Alta",'Riesgos de Gestión'!$AB$47="Catastrófico"),CONCATENATE("R7C",'Riesgos de Gestión'!$P$47),"")</f>
        <v/>
      </c>
      <c r="AJ12" s="42" t="str">
        <f ca="1">IF(AND('Riesgos de Gestión'!$Z$48="Muy Alta",'Riesgos de Gestión'!$AB$48="Catastrófico"),CONCATENATE("R7C",'Riesgos de Gestión'!$P$48),"")</f>
        <v/>
      </c>
      <c r="AK12" s="42" t="str">
        <f ca="1">IF(AND('Riesgos de Gestión'!$Z$49="Muy Alta",'Riesgos de Gestión'!$AB$49="Catastrófico"),CONCATENATE("R7C",'Riesgos de Gestión'!$P$49),"")</f>
        <v/>
      </c>
      <c r="AL12" s="42" t="str">
        <f ca="1">IF(AND('Riesgos de Gestión'!$Z$50="Muy Alta",'Riesgos de Gestión'!$AB$50="Catastrófico"),CONCATENATE("R7C",'Riesgos de Gestión'!$P$50),"")</f>
        <v/>
      </c>
      <c r="AM12" s="43" t="str">
        <f ca="1">IF(AND('Riesgos de Gestión'!$Z$51="Muy Alta",'Riesgos de Gestión'!$AB$51="Catastrófico"),CONCATENATE("R7C",'Riesgos de Gestión'!$P$51),"")</f>
        <v/>
      </c>
      <c r="AN12" s="69"/>
      <c r="AO12" s="552"/>
      <c r="AP12" s="553"/>
      <c r="AQ12" s="553"/>
      <c r="AR12" s="553"/>
      <c r="AS12" s="553"/>
      <c r="AT12" s="554"/>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row>
    <row r="13" spans="1:91" ht="15" customHeight="1" x14ac:dyDescent="0.25">
      <c r="A13" s="69"/>
      <c r="B13" s="447"/>
      <c r="C13" s="447"/>
      <c r="D13" s="448"/>
      <c r="E13" s="546"/>
      <c r="F13" s="545"/>
      <c r="G13" s="545"/>
      <c r="H13" s="545"/>
      <c r="I13" s="561"/>
      <c r="J13" s="38" t="str">
        <f ca="1">IF(AND('Riesgos de Gestión'!$Z$52="Muy Alta",'Riesgos de Gestión'!$AB$52="Leve"),CONCATENATE("R8C",'Riesgos de Gestión'!$P$52),"")</f>
        <v/>
      </c>
      <c r="K13" s="39" t="str">
        <f>IF(AND('Riesgos de Gestión'!$Z$53="Muy Alta",'Riesgos de Gestión'!$AB$53="Leve"),CONCATENATE("R8C",'Riesgos de Gestión'!$P$53),"")</f>
        <v/>
      </c>
      <c r="L13" s="39" t="str">
        <f>IF(AND('Riesgos de Gestión'!$Z$54="Muy Alta",'Riesgos de Gestión'!$AB$54="Leve"),CONCATENATE("R8C",'Riesgos de Gestión'!$P$54),"")</f>
        <v/>
      </c>
      <c r="M13" s="39" t="str">
        <f>IF(AND('Riesgos de Gestión'!$Z$55="Muy Alta",'Riesgos de Gestión'!$AB$55="Leve"),CONCATENATE("R8C",'Riesgos de Gestión'!$P$55),"")</f>
        <v/>
      </c>
      <c r="N13" s="39" t="str">
        <f>IF(AND('Riesgos de Gestión'!$Z$56="Muy Alta",'Riesgos de Gestión'!$AB$56="Leve"),CONCATENATE("R8C",'Riesgos de Gestión'!$P$56),"")</f>
        <v/>
      </c>
      <c r="O13" s="40" t="str">
        <f>IF(AND('Riesgos de Gestión'!$Z$57="Muy Alta",'Riesgos de Gestión'!$AB$57="Leve"),CONCATENATE("R8C",'Riesgos de Gestión'!$P$57),"")</f>
        <v/>
      </c>
      <c r="P13" s="38" t="str">
        <f ca="1">IF(AND('Riesgos de Gestión'!$Z$52="Muy Alta",'Riesgos de Gestión'!$AB$52="Menor"),CONCATENATE("R8C",'Riesgos de Gestión'!$P$52),"")</f>
        <v/>
      </c>
      <c r="Q13" s="39" t="str">
        <f>IF(AND('Riesgos de Gestión'!$Z$53="Muy Alta",'Riesgos de Gestión'!$AB$53="Menor"),CONCATENATE("R8C",'Riesgos de Gestión'!$P$53),"")</f>
        <v/>
      </c>
      <c r="R13" s="39" t="str">
        <f>IF(AND('Riesgos de Gestión'!$Z$54="Muy Alta",'Riesgos de Gestión'!$AB$54="Menor"),CONCATENATE("R8C",'Riesgos de Gestión'!$P$54),"")</f>
        <v/>
      </c>
      <c r="S13" s="39" t="str">
        <f>IF(AND('Riesgos de Gestión'!$Z$55="Muy Alta",'Riesgos de Gestión'!$AB$55="Menor"),CONCATENATE("R8C",'Riesgos de Gestión'!$P$55),"")</f>
        <v/>
      </c>
      <c r="T13" s="39" t="str">
        <f>IF(AND('Riesgos de Gestión'!$Z$56="Muy Alta",'Riesgos de Gestión'!$AB$56="Menor"),CONCATENATE("R8C",'Riesgos de Gestión'!$P$56),"")</f>
        <v/>
      </c>
      <c r="U13" s="40" t="str">
        <f>IF(AND('Riesgos de Gestión'!$Z$57="Muy Alta",'Riesgos de Gestión'!$AB$57="Menor"),CONCATENATE("R8C",'Riesgos de Gestión'!$P$57),"")</f>
        <v/>
      </c>
      <c r="V13" s="38" t="str">
        <f ca="1">IF(AND('Riesgos de Gestión'!$Z$52="Muy Alta",'Riesgos de Gestión'!$AB$52="Moderado"),CONCATENATE("R8C",'Riesgos de Gestión'!$P$52),"")</f>
        <v/>
      </c>
      <c r="W13" s="39" t="str">
        <f>IF(AND('Riesgos de Gestión'!$Z$53="Muy Alta",'Riesgos de Gestión'!$AB$53="Moderado"),CONCATENATE("R8C",'Riesgos de Gestión'!$P$53),"")</f>
        <v/>
      </c>
      <c r="X13" s="39" t="str">
        <f>IF(AND('Riesgos de Gestión'!$Z$54="Muy Alta",'Riesgos de Gestión'!$AB$54="Moderado"),CONCATENATE("R8C",'Riesgos de Gestión'!$P$54),"")</f>
        <v/>
      </c>
      <c r="Y13" s="39" t="str">
        <f>IF(AND('Riesgos de Gestión'!$Z$55="Muy Alta",'Riesgos de Gestión'!$AB$55="Moderado"),CONCATENATE("R8C",'Riesgos de Gestión'!$P$55),"")</f>
        <v/>
      </c>
      <c r="Z13" s="39" t="str">
        <f>IF(AND('Riesgos de Gestión'!$Z$56="Muy Alta",'Riesgos de Gestión'!$AB$56="Moderado"),CONCATENATE("R8C",'Riesgos de Gestión'!$P$56),"")</f>
        <v/>
      </c>
      <c r="AA13" s="40" t="str">
        <f>IF(AND('Riesgos de Gestión'!$Z$57="Muy Alta",'Riesgos de Gestión'!$AB$57="Moderado"),CONCATENATE("R8C",'Riesgos de Gestión'!$P$57),"")</f>
        <v/>
      </c>
      <c r="AB13" s="38" t="str">
        <f ca="1">IF(AND('Riesgos de Gestión'!$Z$52="Muy Alta",'Riesgos de Gestión'!$AB$52="Mayor"),CONCATENATE("R8C",'Riesgos de Gestión'!$P$52),"")</f>
        <v/>
      </c>
      <c r="AC13" s="39" t="str">
        <f>IF(AND('Riesgos de Gestión'!$Z$53="Muy Alta",'Riesgos de Gestión'!$AB$53="Mayor"),CONCATENATE("R8C",'Riesgos de Gestión'!$P$53),"")</f>
        <v/>
      </c>
      <c r="AD13" s="39" t="str">
        <f>IF(AND('Riesgos de Gestión'!$Z$54="Muy Alta",'Riesgos de Gestión'!$AB$54="Mayor"),CONCATENATE("R8C",'Riesgos de Gestión'!$P$54),"")</f>
        <v/>
      </c>
      <c r="AE13" s="39" t="str">
        <f>IF(AND('Riesgos de Gestión'!$Z$55="Muy Alta",'Riesgos de Gestión'!$AB$55="Mayor"),CONCATENATE("R8C",'Riesgos de Gestión'!$P$55),"")</f>
        <v/>
      </c>
      <c r="AF13" s="39" t="str">
        <f>IF(AND('Riesgos de Gestión'!$Z$56="Muy Alta",'Riesgos de Gestión'!$AB$56="Mayor"),CONCATENATE("R8C",'Riesgos de Gestión'!$P$56),"")</f>
        <v/>
      </c>
      <c r="AG13" s="40" t="str">
        <f>IF(AND('Riesgos de Gestión'!$Z$57="Muy Alta",'Riesgos de Gestión'!$AB$57="Mayor"),CONCATENATE("R8C",'Riesgos de Gestión'!$P$57),"")</f>
        <v/>
      </c>
      <c r="AH13" s="41" t="str">
        <f ca="1">IF(AND('Riesgos de Gestión'!$Z$52="Muy Alta",'Riesgos de Gestión'!$AB$52="Catastrófico"),CONCATENATE("R8C",'Riesgos de Gestión'!$P$52),"")</f>
        <v/>
      </c>
      <c r="AI13" s="42" t="str">
        <f>IF(AND('Riesgos de Gestión'!$Z$53="Muy Alta",'Riesgos de Gestión'!$AB$53="Catastrófico"),CONCATENATE("R8C",'Riesgos de Gestión'!$P$53),"")</f>
        <v/>
      </c>
      <c r="AJ13" s="42" t="str">
        <f>IF(AND('Riesgos de Gestión'!$Z$54="Muy Alta",'Riesgos de Gestión'!$AB$54="Catastrófico"),CONCATENATE("R8C",'Riesgos de Gestión'!$P$54),"")</f>
        <v/>
      </c>
      <c r="AK13" s="42" t="str">
        <f>IF(AND('Riesgos de Gestión'!$Z$55="Muy Alta",'Riesgos de Gestión'!$AB$55="Catastrófico"),CONCATENATE("R8C",'Riesgos de Gestión'!$P$55),"")</f>
        <v/>
      </c>
      <c r="AL13" s="42" t="str">
        <f>IF(AND('Riesgos de Gestión'!$Z$56="Muy Alta",'Riesgos de Gestión'!$AB$56="Catastrófico"),CONCATENATE("R8C",'Riesgos de Gestión'!$P$56),"")</f>
        <v/>
      </c>
      <c r="AM13" s="43" t="str">
        <f>IF(AND('Riesgos de Gestión'!$Z$57="Muy Alta",'Riesgos de Gestión'!$AB$57="Catastrófico"),CONCATENATE("R8C",'Riesgos de Gestión'!$P$57),"")</f>
        <v/>
      </c>
      <c r="AN13" s="69"/>
      <c r="AO13" s="552"/>
      <c r="AP13" s="553"/>
      <c r="AQ13" s="553"/>
      <c r="AR13" s="553"/>
      <c r="AS13" s="553"/>
      <c r="AT13" s="554"/>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row>
    <row r="14" spans="1:91" ht="15" customHeight="1" x14ac:dyDescent="0.25">
      <c r="A14" s="69"/>
      <c r="B14" s="447"/>
      <c r="C14" s="447"/>
      <c r="D14" s="448"/>
      <c r="E14" s="546"/>
      <c r="F14" s="545"/>
      <c r="G14" s="545"/>
      <c r="H14" s="545"/>
      <c r="I14" s="561"/>
      <c r="J14" s="38" t="str">
        <f>IF(AND('Riesgos de Gestión'!$Z$58="Muy Alta",'Riesgos de Gestión'!$AB$58="Leve"),CONCATENATE("R9C",'Riesgos de Gestión'!$P$58),"")</f>
        <v/>
      </c>
      <c r="K14" s="39" t="str">
        <f>IF(AND('Riesgos de Gestión'!$Z$59="Muy Alta",'Riesgos de Gestión'!$AB$59="Leve"),CONCATENATE("R9C",'Riesgos de Gestión'!$P$59),"")</f>
        <v/>
      </c>
      <c r="L14" s="39" t="str">
        <f>IF(AND('Riesgos de Gestión'!$Z$60="Muy Alta",'Riesgos de Gestión'!$AB$60="Leve"),CONCATENATE("R9C",'Riesgos de Gestión'!$P$60),"")</f>
        <v/>
      </c>
      <c r="M14" s="39" t="str">
        <f>IF(AND('Riesgos de Gestión'!$Z$61="Muy Alta",'Riesgos de Gestión'!$AB$61="Leve"),CONCATENATE("R9C",'Riesgos de Gestión'!$P$61),"")</f>
        <v/>
      </c>
      <c r="N14" s="39" t="str">
        <f>IF(AND('Riesgos de Gestión'!$Z$62="Muy Alta",'Riesgos de Gestión'!$AB$62="Leve"),CONCATENATE("R9C",'Riesgos de Gestión'!$P$62),"")</f>
        <v/>
      </c>
      <c r="O14" s="40" t="str">
        <f>IF(AND('Riesgos de Gestión'!$Z$63="Muy Alta",'Riesgos de Gestión'!$AB$63="Leve"),CONCATENATE("R9C",'Riesgos de Gestión'!$P$63),"")</f>
        <v/>
      </c>
      <c r="P14" s="38" t="str">
        <f>IF(AND('Riesgos de Gestión'!$Z$58="Muy Alta",'Riesgos de Gestión'!$AB$58="Menor"),CONCATENATE("R9C",'Riesgos de Gestión'!$P$58),"")</f>
        <v/>
      </c>
      <c r="Q14" s="39" t="str">
        <f>IF(AND('Riesgos de Gestión'!$Z$59="Muy Alta",'Riesgos de Gestión'!$AB$59="Menor"),CONCATENATE("R9C",'Riesgos de Gestión'!$P$59),"")</f>
        <v/>
      </c>
      <c r="R14" s="39" t="str">
        <f>IF(AND('Riesgos de Gestión'!$Z$60="Muy Alta",'Riesgos de Gestión'!$AB$60="Menor"),CONCATENATE("R9C",'Riesgos de Gestión'!$P$60),"")</f>
        <v/>
      </c>
      <c r="S14" s="39" t="str">
        <f>IF(AND('Riesgos de Gestión'!$Z$61="Muy Alta",'Riesgos de Gestión'!$AB$61="Menor"),CONCATENATE("R9C",'Riesgos de Gestión'!$P$61),"")</f>
        <v/>
      </c>
      <c r="T14" s="39" t="str">
        <f>IF(AND('Riesgos de Gestión'!$Z$62="Muy Alta",'Riesgos de Gestión'!$AB$62="Menor"),CONCATENATE("R9C",'Riesgos de Gestión'!$P$62),"")</f>
        <v/>
      </c>
      <c r="U14" s="40" t="str">
        <f>IF(AND('Riesgos de Gestión'!$Z$63="Muy Alta",'Riesgos de Gestión'!$AB$63="Menor"),CONCATENATE("R9C",'Riesgos de Gestión'!$P$63),"")</f>
        <v/>
      </c>
      <c r="V14" s="38" t="str">
        <f>IF(AND('Riesgos de Gestión'!$Z$58="Muy Alta",'Riesgos de Gestión'!$AB$58="Moderado"),CONCATENATE("R9C",'Riesgos de Gestión'!$P$58),"")</f>
        <v/>
      </c>
      <c r="W14" s="39" t="str">
        <f>IF(AND('Riesgos de Gestión'!$Z$59="Muy Alta",'Riesgos de Gestión'!$AB$59="Moderado"),CONCATENATE("R9C",'Riesgos de Gestión'!$P$59),"")</f>
        <v/>
      </c>
      <c r="X14" s="39" t="str">
        <f>IF(AND('Riesgos de Gestión'!$Z$60="Muy Alta",'Riesgos de Gestión'!$AB$60="Moderado"),CONCATENATE("R9C",'Riesgos de Gestión'!$P$60),"")</f>
        <v/>
      </c>
      <c r="Y14" s="39" t="str">
        <f>IF(AND('Riesgos de Gestión'!$Z$61="Muy Alta",'Riesgos de Gestión'!$AB$61="Moderado"),CONCATENATE("R9C",'Riesgos de Gestión'!$P$61),"")</f>
        <v/>
      </c>
      <c r="Z14" s="39" t="str">
        <f>IF(AND('Riesgos de Gestión'!$Z$62="Muy Alta",'Riesgos de Gestión'!$AB$62="Moderado"),CONCATENATE("R9C",'Riesgos de Gestión'!$P$62),"")</f>
        <v/>
      </c>
      <c r="AA14" s="40" t="str">
        <f>IF(AND('Riesgos de Gestión'!$Z$63="Muy Alta",'Riesgos de Gestión'!$AB$63="Moderado"),CONCATENATE("R9C",'Riesgos de Gestión'!$P$63),"")</f>
        <v/>
      </c>
      <c r="AB14" s="38" t="str">
        <f>IF(AND('Riesgos de Gestión'!$Z$58="Muy Alta",'Riesgos de Gestión'!$AB$58="Mayor"),CONCATENATE("R9C",'Riesgos de Gestión'!$P$58),"")</f>
        <v/>
      </c>
      <c r="AC14" s="39" t="str">
        <f>IF(AND('Riesgos de Gestión'!$Z$59="Muy Alta",'Riesgos de Gestión'!$AB$59="Mayor"),CONCATENATE("R9C",'Riesgos de Gestión'!$P$59),"")</f>
        <v/>
      </c>
      <c r="AD14" s="39" t="str">
        <f>IF(AND('Riesgos de Gestión'!$Z$60="Muy Alta",'Riesgos de Gestión'!$AB$60="Mayor"),CONCATENATE("R9C",'Riesgos de Gestión'!$P$60),"")</f>
        <v/>
      </c>
      <c r="AE14" s="39" t="str">
        <f>IF(AND('Riesgos de Gestión'!$Z$61="Muy Alta",'Riesgos de Gestión'!$AB$61="Mayor"),CONCATENATE("R9C",'Riesgos de Gestión'!$P$61),"")</f>
        <v/>
      </c>
      <c r="AF14" s="39" t="str">
        <f>IF(AND('Riesgos de Gestión'!$Z$62="Muy Alta",'Riesgos de Gestión'!$AB$62="Mayor"),CONCATENATE("R9C",'Riesgos de Gestión'!$P$62),"")</f>
        <v/>
      </c>
      <c r="AG14" s="40" t="str">
        <f>IF(AND('Riesgos de Gestión'!$Z$63="Muy Alta",'Riesgos de Gestión'!$AB$63="Mayor"),CONCATENATE("R9C",'Riesgos de Gestión'!$P$63),"")</f>
        <v/>
      </c>
      <c r="AH14" s="41" t="str">
        <f>IF(AND('Riesgos de Gestión'!$Z$58="Muy Alta",'Riesgos de Gestión'!$AB$58="Catastrófico"),CONCATENATE("R9C",'Riesgos de Gestión'!$P$58),"")</f>
        <v/>
      </c>
      <c r="AI14" s="42" t="str">
        <f>IF(AND('Riesgos de Gestión'!$Z$59="Muy Alta",'Riesgos de Gestión'!$AB$59="Catastrófico"),CONCATENATE("R9C",'Riesgos de Gestión'!$P$59),"")</f>
        <v/>
      </c>
      <c r="AJ14" s="42" t="str">
        <f>IF(AND('Riesgos de Gestión'!$Z$60="Muy Alta",'Riesgos de Gestión'!$AB$60="Catastrófico"),CONCATENATE("R9C",'Riesgos de Gestión'!$P$60),"")</f>
        <v/>
      </c>
      <c r="AK14" s="42" t="str">
        <f>IF(AND('Riesgos de Gestión'!$Z$61="Muy Alta",'Riesgos de Gestión'!$AB$61="Catastrófico"),CONCATENATE("R9C",'Riesgos de Gestión'!$P$61),"")</f>
        <v/>
      </c>
      <c r="AL14" s="42" t="str">
        <f>IF(AND('Riesgos de Gestión'!$Z$62="Muy Alta",'Riesgos de Gestión'!$AB$62="Catastrófico"),CONCATENATE("R9C",'Riesgos de Gestión'!$P$62),"")</f>
        <v/>
      </c>
      <c r="AM14" s="43" t="str">
        <f>IF(AND('Riesgos de Gestión'!$Z$63="Muy Alta",'Riesgos de Gestión'!$AB$63="Catastrófico"),CONCATENATE("R9C",'Riesgos de Gestión'!$P$63),"")</f>
        <v/>
      </c>
      <c r="AN14" s="69"/>
      <c r="AO14" s="552"/>
      <c r="AP14" s="553"/>
      <c r="AQ14" s="553"/>
      <c r="AR14" s="553"/>
      <c r="AS14" s="553"/>
      <c r="AT14" s="554"/>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row>
    <row r="15" spans="1:91" ht="15.75" customHeight="1" thickBot="1" x14ac:dyDescent="0.3">
      <c r="A15" s="69"/>
      <c r="B15" s="447"/>
      <c r="C15" s="447"/>
      <c r="D15" s="448"/>
      <c r="E15" s="547"/>
      <c r="F15" s="548"/>
      <c r="G15" s="548"/>
      <c r="H15" s="548"/>
      <c r="I15" s="562"/>
      <c r="J15" s="44" t="str">
        <f>IF(AND('Riesgos de Gestión'!$Z$64="Muy Alta",'Riesgos de Gestión'!$AB$64="Leve"),CONCATENATE("R10C",'Riesgos de Gestión'!$P$64),"")</f>
        <v/>
      </c>
      <c r="K15" s="45" t="str">
        <f>IF(AND('Riesgos de Gestión'!$Z$65="Muy Alta",'Riesgos de Gestión'!$AB$65="Leve"),CONCATENATE("R10C",'Riesgos de Gestión'!$P$65),"")</f>
        <v/>
      </c>
      <c r="L15" s="45" t="str">
        <f>IF(AND('Riesgos de Gestión'!$Z$66="Muy Alta",'Riesgos de Gestión'!$AB$66="Leve"),CONCATENATE("R10C",'Riesgos de Gestión'!$P$66),"")</f>
        <v/>
      </c>
      <c r="M15" s="45" t="str">
        <f>IF(AND('Riesgos de Gestión'!$Z$67="Muy Alta",'Riesgos de Gestión'!$AB$67="Leve"),CONCATENATE("R10C",'Riesgos de Gestión'!$P$67),"")</f>
        <v/>
      </c>
      <c r="N15" s="45" t="str">
        <f>IF(AND('Riesgos de Gestión'!$Z$68="Muy Alta",'Riesgos de Gestión'!$AB$68="Leve"),CONCATENATE("R10C",'Riesgos de Gestión'!$P$68),"")</f>
        <v/>
      </c>
      <c r="O15" s="46" t="str">
        <f>IF(AND('Riesgos de Gestión'!$Z$69="Muy Alta",'Riesgos de Gestión'!$AB$69="Leve"),CONCATENATE("R10C",'Riesgos de Gestión'!$P$69),"")</f>
        <v/>
      </c>
      <c r="P15" s="38" t="str">
        <f>IF(AND('Riesgos de Gestión'!$Z$64="Muy Alta",'Riesgos de Gestión'!$AB$64="Menor"),CONCATENATE("R10C",'Riesgos de Gestión'!$P$64),"")</f>
        <v/>
      </c>
      <c r="Q15" s="39" t="str">
        <f>IF(AND('Riesgos de Gestión'!$Z$65="Muy Alta",'Riesgos de Gestión'!$AB$65="Menor"),CONCATENATE("R10C",'Riesgos de Gestión'!$P$65),"")</f>
        <v/>
      </c>
      <c r="R15" s="39" t="str">
        <f>IF(AND('Riesgos de Gestión'!$Z$66="Muy Alta",'Riesgos de Gestión'!$AB$66="Menor"),CONCATENATE("R10C",'Riesgos de Gestión'!$P$66),"")</f>
        <v/>
      </c>
      <c r="S15" s="39" t="str">
        <f>IF(AND('Riesgos de Gestión'!$Z$67="Muy Alta",'Riesgos de Gestión'!$AB$67="Menor"),CONCATENATE("R10C",'Riesgos de Gestión'!$P$67),"")</f>
        <v/>
      </c>
      <c r="T15" s="39" t="str">
        <f>IF(AND('Riesgos de Gestión'!$Z$68="Muy Alta",'Riesgos de Gestión'!$AB$68="Menor"),CONCATENATE("R10C",'Riesgos de Gestión'!$P$68),"")</f>
        <v/>
      </c>
      <c r="U15" s="40" t="str">
        <f>IF(AND('Riesgos de Gestión'!$Z$69="Muy Alta",'Riesgos de Gestión'!$AB$69="Menor"),CONCATENATE("R10C",'Riesgos de Gestión'!$P$69),"")</f>
        <v/>
      </c>
      <c r="V15" s="44" t="str">
        <f>IF(AND('Riesgos de Gestión'!$Z$64="Muy Alta",'Riesgos de Gestión'!$AB$64="Moderado"),CONCATENATE("R10C",'Riesgos de Gestión'!$P$64),"")</f>
        <v/>
      </c>
      <c r="W15" s="45" t="str">
        <f>IF(AND('Riesgos de Gestión'!$Z$65="Muy Alta",'Riesgos de Gestión'!$AB$65="Moderado"),CONCATENATE("R10C",'Riesgos de Gestión'!$P$65),"")</f>
        <v/>
      </c>
      <c r="X15" s="45" t="str">
        <f>IF(AND('Riesgos de Gestión'!$Z$66="Muy Alta",'Riesgos de Gestión'!$AB$66="Moderado"),CONCATENATE("R10C",'Riesgos de Gestión'!$P$66),"")</f>
        <v/>
      </c>
      <c r="Y15" s="45" t="str">
        <f>IF(AND('Riesgos de Gestión'!$Z$67="Muy Alta",'Riesgos de Gestión'!$AB$67="Moderado"),CONCATENATE("R10C",'Riesgos de Gestión'!$P$67),"")</f>
        <v/>
      </c>
      <c r="Z15" s="45" t="str">
        <f>IF(AND('Riesgos de Gestión'!$Z$68="Muy Alta",'Riesgos de Gestión'!$AB$68="Moderado"),CONCATENATE("R10C",'Riesgos de Gestión'!$P$68),"")</f>
        <v/>
      </c>
      <c r="AA15" s="46" t="str">
        <f>IF(AND('Riesgos de Gestión'!$Z$69="Muy Alta",'Riesgos de Gestión'!$AB$69="Moderado"),CONCATENATE("R10C",'Riesgos de Gestión'!$P$69),"")</f>
        <v/>
      </c>
      <c r="AB15" s="38" t="str">
        <f>IF(AND('Riesgos de Gestión'!$Z$64="Muy Alta",'Riesgos de Gestión'!$AB$64="Mayor"),CONCATENATE("R10C",'Riesgos de Gestión'!$P$64),"")</f>
        <v/>
      </c>
      <c r="AC15" s="39" t="str">
        <f>IF(AND('Riesgos de Gestión'!$Z$65="Muy Alta",'Riesgos de Gestión'!$AB$65="Mayor"),CONCATENATE("R10C",'Riesgos de Gestión'!$P$65),"")</f>
        <v/>
      </c>
      <c r="AD15" s="39" t="str">
        <f>IF(AND('Riesgos de Gestión'!$Z$66="Muy Alta",'Riesgos de Gestión'!$AB$66="Mayor"),CONCATENATE("R10C",'Riesgos de Gestión'!$P$66),"")</f>
        <v/>
      </c>
      <c r="AE15" s="39" t="str">
        <f>IF(AND('Riesgos de Gestión'!$Z$67="Muy Alta",'Riesgos de Gestión'!$AB$67="Mayor"),CONCATENATE("R10C",'Riesgos de Gestión'!$P$67),"")</f>
        <v/>
      </c>
      <c r="AF15" s="39" t="str">
        <f>IF(AND('Riesgos de Gestión'!$Z$68="Muy Alta",'Riesgos de Gestión'!$AB$68="Mayor"),CONCATENATE("R10C",'Riesgos de Gestión'!$P$68),"")</f>
        <v/>
      </c>
      <c r="AG15" s="40" t="str">
        <f>IF(AND('Riesgos de Gestión'!$Z$69="Muy Alta",'Riesgos de Gestión'!$AB$69="Mayor"),CONCATENATE("R10C",'Riesgos de Gestión'!$P$69),"")</f>
        <v/>
      </c>
      <c r="AH15" s="47" t="str">
        <f>IF(AND('Riesgos de Gestión'!$Z$64="Muy Alta",'Riesgos de Gestión'!$AB$64="Catastrófico"),CONCATENATE("R10C",'Riesgos de Gestión'!$P$64),"")</f>
        <v/>
      </c>
      <c r="AI15" s="48" t="str">
        <f>IF(AND('Riesgos de Gestión'!$Z$65="Muy Alta",'Riesgos de Gestión'!$AB$65="Catastrófico"),CONCATENATE("R10C",'Riesgos de Gestión'!$P$65),"")</f>
        <v/>
      </c>
      <c r="AJ15" s="48" t="str">
        <f>IF(AND('Riesgos de Gestión'!$Z$66="Muy Alta",'Riesgos de Gestión'!$AB$66="Catastrófico"),CONCATENATE("R10C",'Riesgos de Gestión'!$P$66),"")</f>
        <v/>
      </c>
      <c r="AK15" s="48" t="str">
        <f>IF(AND('Riesgos de Gestión'!$Z$67="Muy Alta",'Riesgos de Gestión'!$AB$67="Catastrófico"),CONCATENATE("R10C",'Riesgos de Gestión'!$P$67),"")</f>
        <v/>
      </c>
      <c r="AL15" s="48" t="str">
        <f>IF(AND('Riesgos de Gestión'!$Z$68="Muy Alta",'Riesgos de Gestión'!$AB$68="Catastrófico"),CONCATENATE("R10C",'Riesgos de Gestión'!$P$68),"")</f>
        <v/>
      </c>
      <c r="AM15" s="49" t="str">
        <f>IF(AND('Riesgos de Gestión'!$Z$69="Muy Alta",'Riesgos de Gestión'!$AB$69="Catastrófico"),CONCATENATE("R10C",'Riesgos de Gestión'!$P$69),"")</f>
        <v/>
      </c>
      <c r="AN15" s="69"/>
      <c r="AO15" s="555"/>
      <c r="AP15" s="556"/>
      <c r="AQ15" s="556"/>
      <c r="AR15" s="556"/>
      <c r="AS15" s="556"/>
      <c r="AT15" s="557"/>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row>
    <row r="16" spans="1:91" ht="15" customHeight="1" x14ac:dyDescent="0.25">
      <c r="A16" s="69"/>
      <c r="B16" s="447"/>
      <c r="C16" s="447"/>
      <c r="D16" s="448"/>
      <c r="E16" s="542" t="s">
        <v>114</v>
      </c>
      <c r="F16" s="543"/>
      <c r="G16" s="543"/>
      <c r="H16" s="543"/>
      <c r="I16" s="543"/>
      <c r="J16" s="50" t="str">
        <f ca="1">IF(AND('Riesgos de Gestión'!$Z$10="Alta",'Riesgos de Gestión'!$AB$10="Leve"),CONCATENATE("R1C",'Riesgos de Gestión'!$P$10),"")</f>
        <v/>
      </c>
      <c r="K16" s="51" t="str">
        <f ca="1">IF(AND('Riesgos de Gestión'!$Z$11="Alta",'Riesgos de Gestión'!$AB$11="Leve"),CONCATENATE("R1C",'Riesgos de Gestión'!$P$11),"")</f>
        <v/>
      </c>
      <c r="L16" s="51" t="str">
        <f ca="1">IF(AND('Riesgos de Gestión'!$Z$12="Alta",'Riesgos de Gestión'!$AB$12="Leve"),CONCATENATE("R1C",'Riesgos de Gestión'!$P$12),"")</f>
        <v/>
      </c>
      <c r="M16" s="51" t="str">
        <f ca="1">IF(AND('Riesgos de Gestión'!$Z$13="Alta",'Riesgos de Gestión'!$AB$13="Leve"),CONCATENATE("R1C",'Riesgos de Gestión'!$P$13),"")</f>
        <v/>
      </c>
      <c r="N16" s="51" t="str">
        <f ca="1">IF(AND('Riesgos de Gestión'!$Z$14="Alta",'Riesgos de Gestión'!$AB$14="Leve"),CONCATENATE("R1C",'Riesgos de Gestión'!$P$14),"")</f>
        <v/>
      </c>
      <c r="O16" s="52" t="str">
        <f ca="1">IF(AND('Riesgos de Gestión'!$Z$15="Alta",'Riesgos de Gestión'!$AB$15="Leve"),CONCATENATE("R1C",'Riesgos de Gestión'!$P$15),"")</f>
        <v/>
      </c>
      <c r="P16" s="50" t="str">
        <f ca="1">IF(AND('Riesgos de Gestión'!$Z$10="Alta",'Riesgos de Gestión'!$AB$10="Menor"),CONCATENATE("R1C",'Riesgos de Gestión'!$P$10),"")</f>
        <v/>
      </c>
      <c r="Q16" s="51" t="str">
        <f ca="1">IF(AND('Riesgos de Gestión'!$Z$11="Alta",'Riesgos de Gestión'!$AB$11="Menor"),CONCATENATE("R1C",'Riesgos de Gestión'!$P$11),"")</f>
        <v/>
      </c>
      <c r="R16" s="51" t="str">
        <f ca="1">IF(AND('Riesgos de Gestión'!$Z$12="Alta",'Riesgos de Gestión'!$AB$12="Menor"),CONCATENATE("R1C",'Riesgos de Gestión'!$P$12),"")</f>
        <v/>
      </c>
      <c r="S16" s="51" t="str">
        <f ca="1">IF(AND('Riesgos de Gestión'!$Z$13="Alta",'Riesgos de Gestión'!$AB$13="Menor"),CONCATENATE("R1C",'Riesgos de Gestión'!$P$13),"")</f>
        <v/>
      </c>
      <c r="T16" s="51" t="str">
        <f ca="1">IF(AND('Riesgos de Gestión'!$Z$14="Alta",'Riesgos de Gestión'!$AB$14="Menor"),CONCATENATE("R1C",'Riesgos de Gestión'!$P$14),"")</f>
        <v/>
      </c>
      <c r="U16" s="52" t="str">
        <f ca="1">IF(AND('Riesgos de Gestión'!$Z$15="Alta",'Riesgos de Gestión'!$AB$15="Menor"),CONCATENATE("R1C",'Riesgos de Gestión'!$P$15),"")</f>
        <v/>
      </c>
      <c r="V16" s="32" t="str">
        <f ca="1">IF(AND('Riesgos de Gestión'!$Z$10="Alta",'Riesgos de Gestión'!$AB$10="Moderado"),CONCATENATE("R1C",'Riesgos de Gestión'!$P$10),"")</f>
        <v/>
      </c>
      <c r="W16" s="33" t="str">
        <f ca="1">IF(AND('Riesgos de Gestión'!$Z$11="Alta",'Riesgos de Gestión'!$AB$11="Moderado"),CONCATENATE("R1C",'Riesgos de Gestión'!$P$11),"")</f>
        <v/>
      </c>
      <c r="X16" s="33" t="str">
        <f ca="1">IF(AND('Riesgos de Gestión'!$Z$12="Alta",'Riesgos de Gestión'!$AB$12="Moderado"),CONCATENATE("R1C",'Riesgos de Gestión'!$P$12),"")</f>
        <v/>
      </c>
      <c r="Y16" s="33" t="str">
        <f ca="1">IF(AND('Riesgos de Gestión'!$Z$13="Alta",'Riesgos de Gestión'!$AB$13="Moderado"),CONCATENATE("R1C",'Riesgos de Gestión'!$P$13),"")</f>
        <v/>
      </c>
      <c r="Z16" s="33" t="str">
        <f ca="1">IF(AND('Riesgos de Gestión'!$Z$14="Alta",'Riesgos de Gestión'!$AB$14="Moderado"),CONCATENATE("R1C",'Riesgos de Gestión'!$P$14),"")</f>
        <v/>
      </c>
      <c r="AA16" s="34" t="str">
        <f ca="1">IF(AND('Riesgos de Gestión'!$Z$15="Alta",'Riesgos de Gestión'!$AB$15="Moderado"),CONCATENATE("R1C",'Riesgos de Gestión'!$P$15),"")</f>
        <v/>
      </c>
      <c r="AB16" s="32" t="str">
        <f ca="1">IF(AND('Riesgos de Gestión'!$Z$10="Alta",'Riesgos de Gestión'!$AB$10="Mayor"),CONCATENATE("R1C",'Riesgos de Gestión'!$P$10),"")</f>
        <v/>
      </c>
      <c r="AC16" s="33" t="str">
        <f ca="1">IF(AND('Riesgos de Gestión'!$Z$11="Alta",'Riesgos de Gestión'!$AB$11="Mayor"),CONCATENATE("R1C",'Riesgos de Gestión'!$P$11),"")</f>
        <v/>
      </c>
      <c r="AD16" s="33" t="str">
        <f ca="1">IF(AND('Riesgos de Gestión'!$Z$12="Alta",'Riesgos de Gestión'!$AB$12="Mayor"),CONCATENATE("R1C",'Riesgos de Gestión'!$P$12),"")</f>
        <v/>
      </c>
      <c r="AE16" s="33" t="str">
        <f ca="1">IF(AND('Riesgos de Gestión'!$Z$13="Alta",'Riesgos de Gestión'!$AB$13="Mayor"),CONCATENATE("R1C",'Riesgos de Gestión'!$P$13),"")</f>
        <v/>
      </c>
      <c r="AF16" s="33" t="str">
        <f ca="1">IF(AND('Riesgos de Gestión'!$Z$14="Alta",'Riesgos de Gestión'!$AB$14="Mayor"),CONCATENATE("R1C",'Riesgos de Gestión'!$P$14),"")</f>
        <v/>
      </c>
      <c r="AG16" s="34" t="str">
        <f ca="1">IF(AND('Riesgos de Gestión'!$Z$15="Alta",'Riesgos de Gestión'!$AB$15="Mayor"),CONCATENATE("R1C",'Riesgos de Gestión'!$P$15),"")</f>
        <v/>
      </c>
      <c r="AH16" s="35" t="str">
        <f ca="1">IF(AND('Riesgos de Gestión'!$Z$10="Alta",'Riesgos de Gestión'!$AB$10="Catastrófico"),CONCATENATE("R1C",'Riesgos de Gestión'!$P$10),"")</f>
        <v/>
      </c>
      <c r="AI16" s="36" t="str">
        <f ca="1">IF(AND('Riesgos de Gestión'!$Z$11="Alta",'Riesgos de Gestión'!$AB$11="Catastrófico"),CONCATENATE("R1C",'Riesgos de Gestión'!$P$11),"")</f>
        <v/>
      </c>
      <c r="AJ16" s="36" t="str">
        <f ca="1">IF(AND('Riesgos de Gestión'!$Z$12="Alta",'Riesgos de Gestión'!$AB$12="Catastrófico"),CONCATENATE("R1C",'Riesgos de Gestión'!$P$12),"")</f>
        <v/>
      </c>
      <c r="AK16" s="36" t="str">
        <f ca="1">IF(AND('Riesgos de Gestión'!$Z$13="Alta",'Riesgos de Gestión'!$AB$13="Catastrófico"),CONCATENATE("R1C",'Riesgos de Gestión'!$P$13),"")</f>
        <v/>
      </c>
      <c r="AL16" s="36" t="str">
        <f ca="1">IF(AND('Riesgos de Gestión'!$Z$14="Alta",'Riesgos de Gestión'!$AB$14="Catastrófico"),CONCATENATE("R1C",'Riesgos de Gestión'!$P$14),"")</f>
        <v/>
      </c>
      <c r="AM16" s="37" t="str">
        <f ca="1">IF(AND('Riesgos de Gestión'!$Z$15="Alta",'Riesgos de Gestión'!$AB$15="Catastrófico"),CONCATENATE("R1C",'Riesgos de Gestión'!$P$15),"")</f>
        <v/>
      </c>
      <c r="AN16" s="69"/>
      <c r="AO16" s="533" t="s">
        <v>79</v>
      </c>
      <c r="AP16" s="534"/>
      <c r="AQ16" s="534"/>
      <c r="AR16" s="534"/>
      <c r="AS16" s="534"/>
      <c r="AT16" s="535"/>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row>
    <row r="17" spans="1:76" ht="15" customHeight="1" x14ac:dyDescent="0.25">
      <c r="A17" s="69"/>
      <c r="B17" s="447"/>
      <c r="C17" s="447"/>
      <c r="D17" s="448"/>
      <c r="E17" s="544"/>
      <c r="F17" s="545"/>
      <c r="G17" s="545"/>
      <c r="H17" s="545"/>
      <c r="I17" s="545"/>
      <c r="J17" s="53" t="str">
        <f ca="1">IF(AND('Riesgos de Gestión'!$Z$16="Alta",'Riesgos de Gestión'!$AB$16="Leve"),CONCATENATE("R2C",'Riesgos de Gestión'!$P$16),"")</f>
        <v/>
      </c>
      <c r="K17" s="54" t="str">
        <f ca="1">IF(AND('Riesgos de Gestión'!$Z$17="Alta",'Riesgos de Gestión'!$AB$17="Leve"),CONCATENATE("R2C",'Riesgos de Gestión'!$P$17),"")</f>
        <v/>
      </c>
      <c r="L17" s="54" t="str">
        <f ca="1">IF(AND('Riesgos de Gestión'!$Z$18="Alta",'Riesgos de Gestión'!$AB$18="Leve"),CONCATENATE("R2C",'Riesgos de Gestión'!$P$18),"")</f>
        <v/>
      </c>
      <c r="M17" s="54" t="str">
        <f ca="1">IF(AND('Riesgos de Gestión'!$Z$19="Alta",'Riesgos de Gestión'!$AB$19="Leve"),CONCATENATE("R2C",'Riesgos de Gestión'!$P$19),"")</f>
        <v/>
      </c>
      <c r="N17" s="54" t="str">
        <f ca="1">IF(AND('Riesgos de Gestión'!$Z$20="Alta",'Riesgos de Gestión'!$AB$20="Leve"),CONCATENATE("R2C",'Riesgos de Gestión'!$P$20),"")</f>
        <v/>
      </c>
      <c r="O17" s="55" t="str">
        <f ca="1">IF(AND('Riesgos de Gestión'!$Z$21="Alta",'Riesgos de Gestión'!$AB$21="Leve"),CONCATENATE("R2C",'Riesgos de Gestión'!$P$21),"")</f>
        <v/>
      </c>
      <c r="P17" s="53" t="str">
        <f ca="1">IF(AND('Riesgos de Gestión'!$Z$16="Alta",'Riesgos de Gestión'!$AB$16="Menor"),CONCATENATE("R2C",'Riesgos de Gestión'!$P$16),"")</f>
        <v/>
      </c>
      <c r="Q17" s="54" t="str">
        <f ca="1">IF(AND('Riesgos de Gestión'!$Z$17="Alta",'Riesgos de Gestión'!$AB$17="Menor"),CONCATENATE("R2C",'Riesgos de Gestión'!$P$17),"")</f>
        <v/>
      </c>
      <c r="R17" s="54" t="str">
        <f ca="1">IF(AND('Riesgos de Gestión'!$Z$18="Alta",'Riesgos de Gestión'!$AB$18="Menor"),CONCATENATE("R2C",'Riesgos de Gestión'!$P$18),"")</f>
        <v/>
      </c>
      <c r="S17" s="54" t="str">
        <f ca="1">IF(AND('Riesgos de Gestión'!$Z$19="Alta",'Riesgos de Gestión'!$AB$19="Menor"),CONCATENATE("R2C",'Riesgos de Gestión'!$P$19),"")</f>
        <v/>
      </c>
      <c r="T17" s="54" t="str">
        <f ca="1">IF(AND('Riesgos de Gestión'!$Z$20="Alta",'Riesgos de Gestión'!$AB$20="Menor"),CONCATENATE("R2C",'Riesgos de Gestión'!$P$20),"")</f>
        <v/>
      </c>
      <c r="U17" s="55" t="str">
        <f ca="1">IF(AND('Riesgos de Gestión'!$Z$21="Alta",'Riesgos de Gestión'!$AB$21="Menor"),CONCATENATE("R2C",'Riesgos de Gestión'!$P$21),"")</f>
        <v/>
      </c>
      <c r="V17" s="38" t="str">
        <f ca="1">IF(AND('Riesgos de Gestión'!$Z$16="Alta",'Riesgos de Gestión'!$AB$16="Moderado"),CONCATENATE("R2C",'Riesgos de Gestión'!$P$16),"")</f>
        <v/>
      </c>
      <c r="W17" s="39" t="str">
        <f ca="1">IF(AND('Riesgos de Gestión'!$Z$17="Alta",'Riesgos de Gestión'!$AB$17="Moderado"),CONCATENATE("R2C",'Riesgos de Gestión'!$P$17),"")</f>
        <v/>
      </c>
      <c r="X17" s="39" t="str">
        <f ca="1">IF(AND('Riesgos de Gestión'!$Z$18="Alta",'Riesgos de Gestión'!$AB$18="Moderado"),CONCATENATE("R2C",'Riesgos de Gestión'!$P$18),"")</f>
        <v/>
      </c>
      <c r="Y17" s="39" t="str">
        <f ca="1">IF(AND('Riesgos de Gestión'!$Z$19="Alta",'Riesgos de Gestión'!$AB$19="Moderado"),CONCATENATE("R2C",'Riesgos de Gestión'!$P$19),"")</f>
        <v/>
      </c>
      <c r="Z17" s="39" t="str">
        <f ca="1">IF(AND('Riesgos de Gestión'!$Z$20="Alta",'Riesgos de Gestión'!$AB$20="Moderado"),CONCATENATE("R2C",'Riesgos de Gestión'!$P$20),"")</f>
        <v/>
      </c>
      <c r="AA17" s="40" t="str">
        <f ca="1">IF(AND('Riesgos de Gestión'!$Z$21="Alta",'Riesgos de Gestión'!$AB$21="Moderado"),CONCATENATE("R2C",'Riesgos de Gestión'!$P$21),"")</f>
        <v/>
      </c>
      <c r="AB17" s="38" t="str">
        <f ca="1">IF(AND('Riesgos de Gestión'!$Z$16="Alta",'Riesgos de Gestión'!$AB$16="Mayor"),CONCATENATE("R2C",'Riesgos de Gestión'!$P$16),"")</f>
        <v/>
      </c>
      <c r="AC17" s="39" t="str">
        <f ca="1">IF(AND('Riesgos de Gestión'!$Z$17="Alta",'Riesgos de Gestión'!$AB$17="Mayor"),CONCATENATE("R2C",'Riesgos de Gestión'!$P$17),"")</f>
        <v/>
      </c>
      <c r="AD17" s="39" t="str">
        <f ca="1">IF(AND('Riesgos de Gestión'!$Z$18="Alta",'Riesgos de Gestión'!$AB$18="Mayor"),CONCATENATE("R2C",'Riesgos de Gestión'!$P$18),"")</f>
        <v/>
      </c>
      <c r="AE17" s="39" t="str">
        <f ca="1">IF(AND('Riesgos de Gestión'!$Z$19="Alta",'Riesgos de Gestión'!$AB$19="Mayor"),CONCATENATE("R2C",'Riesgos de Gestión'!$P$19),"")</f>
        <v/>
      </c>
      <c r="AF17" s="39" t="str">
        <f ca="1">IF(AND('Riesgos de Gestión'!$Z$20="Alta",'Riesgos de Gestión'!$AB$20="Mayor"),CONCATENATE("R2C",'Riesgos de Gestión'!$P$20),"")</f>
        <v/>
      </c>
      <c r="AG17" s="40" t="str">
        <f ca="1">IF(AND('Riesgos de Gestión'!$Z$21="Alta",'Riesgos de Gestión'!$AB$21="Mayor"),CONCATENATE("R2C",'Riesgos de Gestión'!$P$21),"")</f>
        <v/>
      </c>
      <c r="AH17" s="41" t="str">
        <f ca="1">IF(AND('Riesgos de Gestión'!$Z$16="Alta",'Riesgos de Gestión'!$AB$16="Catastrófico"),CONCATENATE("R2C",'Riesgos de Gestión'!$P$16),"")</f>
        <v/>
      </c>
      <c r="AI17" s="42" t="str">
        <f ca="1">IF(AND('Riesgos de Gestión'!$Z$17="Alta",'Riesgos de Gestión'!$AB$17="Catastrófico"),CONCATENATE("R2C",'Riesgos de Gestión'!$P$17),"")</f>
        <v/>
      </c>
      <c r="AJ17" s="42" t="str">
        <f ca="1">IF(AND('Riesgos de Gestión'!$Z$18="Alta",'Riesgos de Gestión'!$AB$18="Catastrófico"),CONCATENATE("R2C",'Riesgos de Gestión'!$P$18),"")</f>
        <v/>
      </c>
      <c r="AK17" s="42" t="str">
        <f ca="1">IF(AND('Riesgos de Gestión'!$Z$19="Alta",'Riesgos de Gestión'!$AB$19="Catastrófico"),CONCATENATE("R2C",'Riesgos de Gestión'!$P$19),"")</f>
        <v/>
      </c>
      <c r="AL17" s="42" t="str">
        <f ca="1">IF(AND('Riesgos de Gestión'!$Z$20="Alta",'Riesgos de Gestión'!$AB$20="Catastrófico"),CONCATENATE("R2C",'Riesgos de Gestión'!$P$20),"")</f>
        <v/>
      </c>
      <c r="AM17" s="43" t="str">
        <f ca="1">IF(AND('Riesgos de Gestión'!$Z$21="Alta",'Riesgos de Gestión'!$AB$21="Catastrófico"),CONCATENATE("R2C",'Riesgos de Gestión'!$P$21),"")</f>
        <v/>
      </c>
      <c r="AN17" s="69"/>
      <c r="AO17" s="536"/>
      <c r="AP17" s="537"/>
      <c r="AQ17" s="537"/>
      <c r="AR17" s="537"/>
      <c r="AS17" s="537"/>
      <c r="AT17" s="538"/>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row>
    <row r="18" spans="1:76" ht="15" customHeight="1" x14ac:dyDescent="0.25">
      <c r="A18" s="69"/>
      <c r="B18" s="447"/>
      <c r="C18" s="447"/>
      <c r="D18" s="448"/>
      <c r="E18" s="546"/>
      <c r="F18" s="545"/>
      <c r="G18" s="545"/>
      <c r="H18" s="545"/>
      <c r="I18" s="545"/>
      <c r="J18" s="53" t="str">
        <f ca="1">IF(AND('Riesgos de Gestión'!$Z$22="Alta",'Riesgos de Gestión'!$AB$22="Leve"),CONCATENATE("R3C",'Riesgos de Gestión'!$P$22),"")</f>
        <v/>
      </c>
      <c r="K18" s="54" t="str">
        <f ca="1">IF(AND('Riesgos de Gestión'!$Z$23="Alta",'Riesgos de Gestión'!$AB$23="Leve"),CONCATENATE("R3C",'Riesgos de Gestión'!$P$23),"")</f>
        <v/>
      </c>
      <c r="L18" s="54" t="str">
        <f ca="1">IF(AND('Riesgos de Gestión'!$Z$24="Alta",'Riesgos de Gestión'!$AB$24="Leve"),CONCATENATE("R3C",'Riesgos de Gestión'!$P$24),"")</f>
        <v/>
      </c>
      <c r="M18" s="54" t="str">
        <f ca="1">IF(AND('Riesgos de Gestión'!$Z$25="Alta",'Riesgos de Gestión'!$AB$25="Leve"),CONCATENATE("R3C",'Riesgos de Gestión'!$P$25),"")</f>
        <v/>
      </c>
      <c r="N18" s="54" t="str">
        <f ca="1">IF(AND('Riesgos de Gestión'!$Z$26="Alta",'Riesgos de Gestión'!$AB$26="Leve"),CONCATENATE("R3C",'Riesgos de Gestión'!$P$26),"")</f>
        <v/>
      </c>
      <c r="O18" s="55" t="str">
        <f ca="1">IF(AND('Riesgos de Gestión'!$Z$27="Alta",'Riesgos de Gestión'!$AB$27="Leve"),CONCATENATE("R3C",'Riesgos de Gestión'!$P$27),"")</f>
        <v/>
      </c>
      <c r="P18" s="53" t="str">
        <f ca="1">IF(AND('Riesgos de Gestión'!$Z$22="Alta",'Riesgos de Gestión'!$AB$22="Menor"),CONCATENATE("R3C",'Riesgos de Gestión'!$P$22),"")</f>
        <v/>
      </c>
      <c r="Q18" s="54" t="str">
        <f ca="1">IF(AND('Riesgos de Gestión'!$Z$23="Alta",'Riesgos de Gestión'!$AB$23="Menor"),CONCATENATE("R3C",'Riesgos de Gestión'!$P$23),"")</f>
        <v/>
      </c>
      <c r="R18" s="54" t="str">
        <f ca="1">IF(AND('Riesgos de Gestión'!$Z$24="Alta",'Riesgos de Gestión'!$AB$24="Menor"),CONCATENATE("R3C",'Riesgos de Gestión'!$P$24),"")</f>
        <v/>
      </c>
      <c r="S18" s="54" t="str">
        <f ca="1">IF(AND('Riesgos de Gestión'!$Z$25="Alta",'Riesgos de Gestión'!$AB$25="Menor"),CONCATENATE("R3C",'Riesgos de Gestión'!$P$25),"")</f>
        <v/>
      </c>
      <c r="T18" s="54" t="str">
        <f ca="1">IF(AND('Riesgos de Gestión'!$Z$26="Alta",'Riesgos de Gestión'!$AB$26="Menor"),CONCATENATE("R3C",'Riesgos de Gestión'!$P$26),"")</f>
        <v/>
      </c>
      <c r="U18" s="55" t="str">
        <f ca="1">IF(AND('Riesgos de Gestión'!$Z$27="Alta",'Riesgos de Gestión'!$AB$27="Menor"),CONCATENATE("R3C",'Riesgos de Gestión'!$P$27),"")</f>
        <v/>
      </c>
      <c r="V18" s="38" t="str">
        <f ca="1">IF(AND('Riesgos de Gestión'!$Z$22="Alta",'Riesgos de Gestión'!$AB$22="Moderado"),CONCATENATE("R3C",'Riesgos de Gestión'!$P$22),"")</f>
        <v/>
      </c>
      <c r="W18" s="39" t="str">
        <f ca="1">IF(AND('Riesgos de Gestión'!$Z$23="Alta",'Riesgos de Gestión'!$AB$23="Moderado"),CONCATENATE("R3C",'Riesgos de Gestión'!$P$23),"")</f>
        <v/>
      </c>
      <c r="X18" s="39" t="str">
        <f ca="1">IF(AND('Riesgos de Gestión'!$Z$24="Alta",'Riesgos de Gestión'!$AB$24="Moderado"),CONCATENATE("R3C",'Riesgos de Gestión'!$P$24),"")</f>
        <v/>
      </c>
      <c r="Y18" s="39" t="str">
        <f ca="1">IF(AND('Riesgos de Gestión'!$Z$25="Alta",'Riesgos de Gestión'!$AB$25="Moderado"),CONCATENATE("R3C",'Riesgos de Gestión'!$P$25),"")</f>
        <v/>
      </c>
      <c r="Z18" s="39" t="str">
        <f ca="1">IF(AND('Riesgos de Gestión'!$Z$26="Alta",'Riesgos de Gestión'!$AB$26="Moderado"),CONCATENATE("R3C",'Riesgos de Gestión'!$P$26),"")</f>
        <v/>
      </c>
      <c r="AA18" s="40" t="str">
        <f ca="1">IF(AND('Riesgos de Gestión'!$Z$27="Alta",'Riesgos de Gestión'!$AB$27="Moderado"),CONCATENATE("R3C",'Riesgos de Gestión'!$P$27),"")</f>
        <v/>
      </c>
      <c r="AB18" s="38" t="str">
        <f ca="1">IF(AND('Riesgos de Gestión'!$Z$22="Alta",'Riesgos de Gestión'!$AB$22="Mayor"),CONCATENATE("R3C",'Riesgos de Gestión'!$P$22),"")</f>
        <v/>
      </c>
      <c r="AC18" s="39" t="str">
        <f ca="1">IF(AND('Riesgos de Gestión'!$Z$23="Alta",'Riesgos de Gestión'!$AB$23="Mayor"),CONCATENATE("R3C",'Riesgos de Gestión'!$P$23),"")</f>
        <v/>
      </c>
      <c r="AD18" s="39" t="str">
        <f ca="1">IF(AND('Riesgos de Gestión'!$Z$24="Alta",'Riesgos de Gestión'!$AB$24="Mayor"),CONCATENATE("R3C",'Riesgos de Gestión'!$P$24),"")</f>
        <v/>
      </c>
      <c r="AE18" s="39" t="str">
        <f ca="1">IF(AND('Riesgos de Gestión'!$Z$25="Alta",'Riesgos de Gestión'!$AB$25="Mayor"),CONCATENATE("R3C",'Riesgos de Gestión'!$P$25),"")</f>
        <v/>
      </c>
      <c r="AF18" s="39" t="str">
        <f ca="1">IF(AND('Riesgos de Gestión'!$Z$26="Alta",'Riesgos de Gestión'!$AB$26="Mayor"),CONCATENATE("R3C",'Riesgos de Gestión'!$P$26),"")</f>
        <v/>
      </c>
      <c r="AG18" s="40" t="str">
        <f ca="1">IF(AND('Riesgos de Gestión'!$Z$27="Alta",'Riesgos de Gestión'!$AB$27="Mayor"),CONCATENATE("R3C",'Riesgos de Gestión'!$P$27),"")</f>
        <v/>
      </c>
      <c r="AH18" s="41" t="str">
        <f ca="1">IF(AND('Riesgos de Gestión'!$Z$22="Alta",'Riesgos de Gestión'!$AB$22="Catastrófico"),CONCATENATE("R3C",'Riesgos de Gestión'!$P$22),"")</f>
        <v/>
      </c>
      <c r="AI18" s="42" t="str">
        <f ca="1">IF(AND('Riesgos de Gestión'!$Z$23="Alta",'Riesgos de Gestión'!$AB$23="Catastrófico"),CONCATENATE("R3C",'Riesgos de Gestión'!$P$23),"")</f>
        <v/>
      </c>
      <c r="AJ18" s="42" t="str">
        <f ca="1">IF(AND('Riesgos de Gestión'!$Z$24="Alta",'Riesgos de Gestión'!$AB$24="Catastrófico"),CONCATENATE("R3C",'Riesgos de Gestión'!$P$24),"")</f>
        <v/>
      </c>
      <c r="AK18" s="42" t="str">
        <f ca="1">IF(AND('Riesgos de Gestión'!$Z$25="Alta",'Riesgos de Gestión'!$AB$25="Catastrófico"),CONCATENATE("R3C",'Riesgos de Gestión'!$P$25),"")</f>
        <v/>
      </c>
      <c r="AL18" s="42" t="str">
        <f ca="1">IF(AND('Riesgos de Gestión'!$Z$26="Alta",'Riesgos de Gestión'!$AB$26="Catastrófico"),CONCATENATE("R3C",'Riesgos de Gestión'!$P$26),"")</f>
        <v/>
      </c>
      <c r="AM18" s="43" t="str">
        <f ca="1">IF(AND('Riesgos de Gestión'!$Z$27="Alta",'Riesgos de Gestión'!$AB$27="Catastrófico"),CONCATENATE("R3C",'Riesgos de Gestión'!$P$27),"")</f>
        <v/>
      </c>
      <c r="AN18" s="69"/>
      <c r="AO18" s="536"/>
      <c r="AP18" s="537"/>
      <c r="AQ18" s="537"/>
      <c r="AR18" s="537"/>
      <c r="AS18" s="537"/>
      <c r="AT18" s="538"/>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row>
    <row r="19" spans="1:76" ht="15" customHeight="1" x14ac:dyDescent="0.25">
      <c r="A19" s="69"/>
      <c r="B19" s="447"/>
      <c r="C19" s="447"/>
      <c r="D19" s="448"/>
      <c r="E19" s="546"/>
      <c r="F19" s="545"/>
      <c r="G19" s="545"/>
      <c r="H19" s="545"/>
      <c r="I19" s="545"/>
      <c r="J19" s="53" t="str">
        <f ca="1">IF(AND('Riesgos de Gestión'!$Z$28="Alta",'Riesgos de Gestión'!$AB$28="Leve"),CONCATENATE("R4C",'Riesgos de Gestión'!$P$28),"")</f>
        <v/>
      </c>
      <c r="K19" s="54" t="str">
        <f ca="1">IF(AND('Riesgos de Gestión'!$Z$29="Alta",'Riesgos de Gestión'!$AB$29="Leve"),CONCATENATE("R4C",'Riesgos de Gestión'!$P$29),"")</f>
        <v/>
      </c>
      <c r="L19" s="54" t="str">
        <f ca="1">IF(AND('Riesgos de Gestión'!$Z$30="Alta",'Riesgos de Gestión'!$AB$30="Leve"),CONCATENATE("R4C",'Riesgos de Gestión'!$P$30),"")</f>
        <v/>
      </c>
      <c r="M19" s="54" t="str">
        <f ca="1">IF(AND('Riesgos de Gestión'!$Z$31="Alta",'Riesgos de Gestión'!$AB$31="Leve"),CONCATENATE("R4C",'Riesgos de Gestión'!$P$31),"")</f>
        <v/>
      </c>
      <c r="N19" s="54" t="str">
        <f ca="1">IF(AND('Riesgos de Gestión'!$Z$32="Alta",'Riesgos de Gestión'!$AB$32="Leve"),CONCATENATE("R4C",'Riesgos de Gestión'!$P$32),"")</f>
        <v/>
      </c>
      <c r="O19" s="55" t="str">
        <f ca="1">IF(AND('Riesgos de Gestión'!$Z$33="Alta",'Riesgos de Gestión'!$AB$33="Leve"),CONCATENATE("R4C",'Riesgos de Gestión'!$P$33),"")</f>
        <v/>
      </c>
      <c r="P19" s="53" t="str">
        <f ca="1">IF(AND('Riesgos de Gestión'!$Z$28="Alta",'Riesgos de Gestión'!$AB$28="Menor"),CONCATENATE("R4C",'Riesgos de Gestión'!$P$28),"")</f>
        <v/>
      </c>
      <c r="Q19" s="54" t="str">
        <f ca="1">IF(AND('Riesgos de Gestión'!$Z$29="Alta",'Riesgos de Gestión'!$AB$29="Menor"),CONCATENATE("R4C",'Riesgos de Gestión'!$P$29),"")</f>
        <v/>
      </c>
      <c r="R19" s="54" t="str">
        <f ca="1">IF(AND('Riesgos de Gestión'!$Z$30="Alta",'Riesgos de Gestión'!$AB$30="Menor"),CONCATENATE("R4C",'Riesgos de Gestión'!$P$30),"")</f>
        <v/>
      </c>
      <c r="S19" s="54" t="str">
        <f ca="1">IF(AND('Riesgos de Gestión'!$Z$31="Alta",'Riesgos de Gestión'!$AB$31="Menor"),CONCATENATE("R4C",'Riesgos de Gestión'!$P$31),"")</f>
        <v/>
      </c>
      <c r="T19" s="54" t="str">
        <f ca="1">IF(AND('Riesgos de Gestión'!$Z$32="Alta",'Riesgos de Gestión'!$AB$32="Menor"),CONCATENATE("R4C",'Riesgos de Gestión'!$P$32),"")</f>
        <v/>
      </c>
      <c r="U19" s="55" t="str">
        <f ca="1">IF(AND('Riesgos de Gestión'!$Z$33="Alta",'Riesgos de Gestión'!$AB$33="Menor"),CONCATENATE("R4C",'Riesgos de Gestión'!$P$33),"")</f>
        <v/>
      </c>
      <c r="V19" s="38" t="str">
        <f ca="1">IF(AND('Riesgos de Gestión'!$Z$28="Alta",'Riesgos de Gestión'!$AB$28="Moderado"),CONCATENATE("R4C",'Riesgos de Gestión'!$P$28),"")</f>
        <v/>
      </c>
      <c r="W19" s="39" t="str">
        <f ca="1">IF(AND('Riesgos de Gestión'!$Z$29="Alta",'Riesgos de Gestión'!$AB$29="Moderado"),CONCATENATE("R4C",'Riesgos de Gestión'!$P$29),"")</f>
        <v/>
      </c>
      <c r="X19" s="39" t="str">
        <f ca="1">IF(AND('Riesgos de Gestión'!$Z$30="Alta",'Riesgos de Gestión'!$AB$30="Moderado"),CONCATENATE("R4C",'Riesgos de Gestión'!$P$30),"")</f>
        <v>R4C2</v>
      </c>
      <c r="Y19" s="39" t="str">
        <f ca="1">IF(AND('Riesgos de Gestión'!$Z$31="Alta",'Riesgos de Gestión'!$AB$31="Moderado"),CONCATENATE("R4C",'Riesgos de Gestión'!$P$31),"")</f>
        <v/>
      </c>
      <c r="Z19" s="39" t="str">
        <f ca="1">IF(AND('Riesgos de Gestión'!$Z$32="Alta",'Riesgos de Gestión'!$AB$32="Moderado"),CONCATENATE("R4C",'Riesgos de Gestión'!$P$32),"")</f>
        <v/>
      </c>
      <c r="AA19" s="40" t="str">
        <f ca="1">IF(AND('Riesgos de Gestión'!$Z$33="Alta",'Riesgos de Gestión'!$AB$33="Moderado"),CONCATENATE("R4C",'Riesgos de Gestión'!$P$33),"")</f>
        <v/>
      </c>
      <c r="AB19" s="38" t="str">
        <f ca="1">IF(AND('Riesgos de Gestión'!$Z$28="Alta",'Riesgos de Gestión'!$AB$28="Mayor"),CONCATENATE("R4C",'Riesgos de Gestión'!$P$28),"")</f>
        <v/>
      </c>
      <c r="AC19" s="39" t="str">
        <f ca="1">IF(AND('Riesgos de Gestión'!$Z$29="Alta",'Riesgos de Gestión'!$AB$29="Mayor"),CONCATENATE("R4C",'Riesgos de Gestión'!$P$29),"")</f>
        <v/>
      </c>
      <c r="AD19" s="39" t="str">
        <f ca="1">IF(AND('Riesgos de Gestión'!$Z$30="Alta",'Riesgos de Gestión'!$AB$30="Mayor"),CONCATENATE("R4C",'Riesgos de Gestión'!$P$30),"")</f>
        <v/>
      </c>
      <c r="AE19" s="39" t="str">
        <f ca="1">IF(AND('Riesgos de Gestión'!$Z$31="Alta",'Riesgos de Gestión'!$AB$31="Mayor"),CONCATENATE("R4C",'Riesgos de Gestión'!$P$31),"")</f>
        <v/>
      </c>
      <c r="AF19" s="39" t="str">
        <f ca="1">IF(AND('Riesgos de Gestión'!$Z$32="Alta",'Riesgos de Gestión'!$AB$32="Mayor"),CONCATENATE("R4C",'Riesgos de Gestión'!$P$32),"")</f>
        <v/>
      </c>
      <c r="AG19" s="40" t="str">
        <f ca="1">IF(AND('Riesgos de Gestión'!$Z$33="Alta",'Riesgos de Gestión'!$AB$33="Mayor"),CONCATENATE("R4C",'Riesgos de Gestión'!$P$33),"")</f>
        <v/>
      </c>
      <c r="AH19" s="41" t="str">
        <f ca="1">IF(AND('Riesgos de Gestión'!$Z$28="Alta",'Riesgos de Gestión'!$AB$28="Catastrófico"),CONCATENATE("R4C",'Riesgos de Gestión'!$P$28),"")</f>
        <v/>
      </c>
      <c r="AI19" s="42" t="str">
        <f ca="1">IF(AND('Riesgos de Gestión'!$Z$29="Alta",'Riesgos de Gestión'!$AB$29="Catastrófico"),CONCATENATE("R4C",'Riesgos de Gestión'!$P$29),"")</f>
        <v/>
      </c>
      <c r="AJ19" s="42" t="str">
        <f ca="1">IF(AND('Riesgos de Gestión'!$Z$30="Alta",'Riesgos de Gestión'!$AB$30="Catastrófico"),CONCATENATE("R4C",'Riesgos de Gestión'!$P$30),"")</f>
        <v/>
      </c>
      <c r="AK19" s="42" t="str">
        <f ca="1">IF(AND('Riesgos de Gestión'!$Z$31="Alta",'Riesgos de Gestión'!$AB$31="Catastrófico"),CONCATENATE("R4C",'Riesgos de Gestión'!$P$31),"")</f>
        <v/>
      </c>
      <c r="AL19" s="42" t="str">
        <f ca="1">IF(AND('Riesgos de Gestión'!$Z$32="Alta",'Riesgos de Gestión'!$AB$32="Catastrófico"),CONCATENATE("R4C",'Riesgos de Gestión'!$P$32),"")</f>
        <v/>
      </c>
      <c r="AM19" s="43" t="str">
        <f ca="1">IF(AND('Riesgos de Gestión'!$Z$33="Alta",'Riesgos de Gestión'!$AB$33="Catastrófico"),CONCATENATE("R4C",'Riesgos de Gestión'!$P$33),"")</f>
        <v/>
      </c>
      <c r="AN19" s="69"/>
      <c r="AO19" s="536"/>
      <c r="AP19" s="537"/>
      <c r="AQ19" s="537"/>
      <c r="AR19" s="537"/>
      <c r="AS19" s="537"/>
      <c r="AT19" s="538"/>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row>
    <row r="20" spans="1:76" ht="15" customHeight="1" x14ac:dyDescent="0.25">
      <c r="A20" s="69"/>
      <c r="B20" s="447"/>
      <c r="C20" s="447"/>
      <c r="D20" s="448"/>
      <c r="E20" s="546"/>
      <c r="F20" s="545"/>
      <c r="G20" s="545"/>
      <c r="H20" s="545"/>
      <c r="I20" s="545"/>
      <c r="J20" s="53" t="str">
        <f ca="1">IF(AND('Riesgos de Gestión'!$Z$34="Alta",'Riesgos de Gestión'!$AB$34="Leve"),CONCATENATE("R5C",'Riesgos de Gestión'!$P$34),"")</f>
        <v/>
      </c>
      <c r="K20" s="54" t="str">
        <f ca="1">IF(AND('Riesgos de Gestión'!$Z$35="Alta",'Riesgos de Gestión'!$AB$35="Leve"),CONCATENATE("R5C",'Riesgos de Gestión'!$P$35),"")</f>
        <v/>
      </c>
      <c r="L20" s="54" t="str">
        <f ca="1">IF(AND('Riesgos de Gestión'!$Z$36="Alta",'Riesgos de Gestión'!$AB$36="Leve"),CONCATENATE("R5C",'Riesgos de Gestión'!$P$36),"")</f>
        <v/>
      </c>
      <c r="M20" s="54" t="str">
        <f ca="1">IF(AND('Riesgos de Gestión'!$Z$37="Alta",'Riesgos de Gestión'!$AB$37="Leve"),CONCATENATE("R5C",'Riesgos de Gestión'!$P$37),"")</f>
        <v/>
      </c>
      <c r="N20" s="54" t="str">
        <f ca="1">IF(AND('Riesgos de Gestión'!$Z$38="Alta",'Riesgos de Gestión'!$AB$38="Leve"),CONCATENATE("R5C",'Riesgos de Gestión'!$P$38),"")</f>
        <v/>
      </c>
      <c r="O20" s="55" t="str">
        <f ca="1">IF(AND('Riesgos de Gestión'!$Z$39="Alta",'Riesgos de Gestión'!$AB$39="Leve"),CONCATENATE("R5C",'Riesgos de Gestión'!$P$39),"")</f>
        <v/>
      </c>
      <c r="P20" s="53" t="str">
        <f ca="1">IF(AND('Riesgos de Gestión'!$Z$34="Alta",'Riesgos de Gestión'!$AB$34="Menor"),CONCATENATE("R5C",'Riesgos de Gestión'!$P$34),"")</f>
        <v/>
      </c>
      <c r="Q20" s="54" t="str">
        <f ca="1">IF(AND('Riesgos de Gestión'!$Z$35="Alta",'Riesgos de Gestión'!$AB$35="Menor"),CONCATENATE("R5C",'Riesgos de Gestión'!$P$35),"")</f>
        <v/>
      </c>
      <c r="R20" s="54" t="str">
        <f ca="1">IF(AND('Riesgos de Gestión'!$Z$36="Alta",'Riesgos de Gestión'!$AB$36="Menor"),CONCATENATE("R5C",'Riesgos de Gestión'!$P$36),"")</f>
        <v/>
      </c>
      <c r="S20" s="54" t="str">
        <f ca="1">IF(AND('Riesgos de Gestión'!$Z$37="Alta",'Riesgos de Gestión'!$AB$37="Menor"),CONCATENATE("R5C",'Riesgos de Gestión'!$P$37),"")</f>
        <v/>
      </c>
      <c r="T20" s="54" t="str">
        <f ca="1">IF(AND('Riesgos de Gestión'!$Z$38="Alta",'Riesgos de Gestión'!$AB$38="Menor"),CONCATENATE("R5C",'Riesgos de Gestión'!$P$38),"")</f>
        <v/>
      </c>
      <c r="U20" s="55" t="str">
        <f ca="1">IF(AND('Riesgos de Gestión'!$Z$39="Alta",'Riesgos de Gestión'!$AB$39="Menor"),CONCATENATE("R5C",'Riesgos de Gestión'!$P$39),"")</f>
        <v/>
      </c>
      <c r="V20" s="38" t="str">
        <f ca="1">IF(AND('Riesgos de Gestión'!$Z$34="Alta",'Riesgos de Gestión'!$AB$34="Moderado"),CONCATENATE("R5C",'Riesgos de Gestión'!$P$34),"")</f>
        <v/>
      </c>
      <c r="W20" s="39" t="str">
        <f ca="1">IF(AND('Riesgos de Gestión'!$Z$35="Alta",'Riesgos de Gestión'!$AB$35="Moderado"),CONCATENATE("R5C",'Riesgos de Gestión'!$P$35),"")</f>
        <v/>
      </c>
      <c r="X20" s="39" t="str">
        <f ca="1">IF(AND('Riesgos de Gestión'!$Z$36="Alta",'Riesgos de Gestión'!$AB$36="Moderado"),CONCATENATE("R5C",'Riesgos de Gestión'!$P$36),"")</f>
        <v/>
      </c>
      <c r="Y20" s="39" t="str">
        <f ca="1">IF(AND('Riesgos de Gestión'!$Z$37="Alta",'Riesgos de Gestión'!$AB$37="Moderado"),CONCATENATE("R5C",'Riesgos de Gestión'!$P$37),"")</f>
        <v/>
      </c>
      <c r="Z20" s="39" t="str">
        <f ca="1">IF(AND('Riesgos de Gestión'!$Z$38="Alta",'Riesgos de Gestión'!$AB$38="Moderado"),CONCATENATE("R5C",'Riesgos de Gestión'!$P$38),"")</f>
        <v/>
      </c>
      <c r="AA20" s="40" t="str">
        <f ca="1">IF(AND('Riesgos de Gestión'!$Z$39="Alta",'Riesgos de Gestión'!$AB$39="Moderado"),CONCATENATE("R5C",'Riesgos de Gestión'!$P$39),"")</f>
        <v/>
      </c>
      <c r="AB20" s="38" t="str">
        <f ca="1">IF(AND('Riesgos de Gestión'!$Z$34="Alta",'Riesgos de Gestión'!$AB$34="Mayor"),CONCATENATE("R5C",'Riesgos de Gestión'!$P$34),"")</f>
        <v/>
      </c>
      <c r="AC20" s="39" t="str">
        <f ca="1">IF(AND('Riesgos de Gestión'!$Z$35="Alta",'Riesgos de Gestión'!$AB$35="Mayor"),CONCATENATE("R5C",'Riesgos de Gestión'!$P$35),"")</f>
        <v/>
      </c>
      <c r="AD20" s="39" t="str">
        <f ca="1">IF(AND('Riesgos de Gestión'!$Z$36="Alta",'Riesgos de Gestión'!$AB$36="Mayor"),CONCATENATE("R5C",'Riesgos de Gestión'!$P$36),"")</f>
        <v/>
      </c>
      <c r="AE20" s="39" t="str">
        <f ca="1">IF(AND('Riesgos de Gestión'!$Z$37="Alta",'Riesgos de Gestión'!$AB$37="Mayor"),CONCATENATE("R5C",'Riesgos de Gestión'!$P$37),"")</f>
        <v/>
      </c>
      <c r="AF20" s="39" t="str">
        <f ca="1">IF(AND('Riesgos de Gestión'!$Z$38="Alta",'Riesgos de Gestión'!$AB$38="Mayor"),CONCATENATE("R5C",'Riesgos de Gestión'!$P$38),"")</f>
        <v/>
      </c>
      <c r="AG20" s="40" t="str">
        <f ca="1">IF(AND('Riesgos de Gestión'!$Z$39="Alta",'Riesgos de Gestión'!$AB$39="Mayor"),CONCATENATE("R5C",'Riesgos de Gestión'!$P$39),"")</f>
        <v/>
      </c>
      <c r="AH20" s="41" t="str">
        <f ca="1">IF(AND('Riesgos de Gestión'!$Z$34="Alta",'Riesgos de Gestión'!$AB$34="Catastrófico"),CONCATENATE("R5C",'Riesgos de Gestión'!$P$34),"")</f>
        <v/>
      </c>
      <c r="AI20" s="42" t="str">
        <f ca="1">IF(AND('Riesgos de Gestión'!$Z$35="Alta",'Riesgos de Gestión'!$AB$35="Catastrófico"),CONCATENATE("R5C",'Riesgos de Gestión'!$P$35),"")</f>
        <v/>
      </c>
      <c r="AJ20" s="42" t="str">
        <f ca="1">IF(AND('Riesgos de Gestión'!$Z$36="Alta",'Riesgos de Gestión'!$AB$36="Catastrófico"),CONCATENATE("R5C",'Riesgos de Gestión'!$P$36),"")</f>
        <v/>
      </c>
      <c r="AK20" s="42" t="str">
        <f ca="1">IF(AND('Riesgos de Gestión'!$Z$37="Alta",'Riesgos de Gestión'!$AB$37="Catastrófico"),CONCATENATE("R5C",'Riesgos de Gestión'!$P$37),"")</f>
        <v/>
      </c>
      <c r="AL20" s="42" t="str">
        <f ca="1">IF(AND('Riesgos de Gestión'!$Z$38="Alta",'Riesgos de Gestión'!$AB$38="Catastrófico"),CONCATENATE("R5C",'Riesgos de Gestión'!$P$38),"")</f>
        <v/>
      </c>
      <c r="AM20" s="43" t="str">
        <f ca="1">IF(AND('Riesgos de Gestión'!$Z$39="Alta",'Riesgos de Gestión'!$AB$39="Catastrófico"),CONCATENATE("R5C",'Riesgos de Gestión'!$P$39),"")</f>
        <v/>
      </c>
      <c r="AN20" s="69"/>
      <c r="AO20" s="536"/>
      <c r="AP20" s="537"/>
      <c r="AQ20" s="537"/>
      <c r="AR20" s="537"/>
      <c r="AS20" s="537"/>
      <c r="AT20" s="538"/>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row>
    <row r="21" spans="1:76" ht="15" customHeight="1" x14ac:dyDescent="0.25">
      <c r="A21" s="69"/>
      <c r="B21" s="447"/>
      <c r="C21" s="447"/>
      <c r="D21" s="448"/>
      <c r="E21" s="546"/>
      <c r="F21" s="545"/>
      <c r="G21" s="545"/>
      <c r="H21" s="545"/>
      <c r="I21" s="545"/>
      <c r="J21" s="53" t="str">
        <f ca="1">IF(AND('Riesgos de Gestión'!$Z$40="Alta",'Riesgos de Gestión'!$AB$40="Leve"),CONCATENATE("R6C",'Riesgos de Gestión'!$P$40),"")</f>
        <v/>
      </c>
      <c r="K21" s="54" t="str">
        <f ca="1">IF(AND('Riesgos de Gestión'!$Z$41="Alta",'Riesgos de Gestión'!$AB$41="Leve"),CONCATENATE("R6C",'Riesgos de Gestión'!$P$41),"")</f>
        <v/>
      </c>
      <c r="L21" s="54" t="str">
        <f ca="1">IF(AND('Riesgos de Gestión'!$Z$42="Alta",'Riesgos de Gestión'!$AB$42="Leve"),CONCATENATE("R6C",'Riesgos de Gestión'!$P$42),"")</f>
        <v/>
      </c>
      <c r="M21" s="54" t="str">
        <f ca="1">IF(AND('Riesgos de Gestión'!$Z$43="Alta",'Riesgos de Gestión'!$AB$43="Leve"),CONCATENATE("R6C",'Riesgos de Gestión'!$P$43),"")</f>
        <v/>
      </c>
      <c r="N21" s="54" t="str">
        <f ca="1">IF(AND('Riesgos de Gestión'!$Z$44="Alta",'Riesgos de Gestión'!$AB$44="Leve"),CONCATENATE("R6C",'Riesgos de Gestión'!$P$44),"")</f>
        <v/>
      </c>
      <c r="O21" s="55" t="str">
        <f ca="1">IF(AND('Riesgos de Gestión'!$Z$45="Alta",'Riesgos de Gestión'!$AB$45="Leve"),CONCATENATE("R6C",'Riesgos de Gestión'!$P$45),"")</f>
        <v/>
      </c>
      <c r="P21" s="53" t="str">
        <f ca="1">IF(AND('Riesgos de Gestión'!$Z$40="Alta",'Riesgos de Gestión'!$AB$40="Menor"),CONCATENATE("R6C",'Riesgos de Gestión'!$P$40),"")</f>
        <v/>
      </c>
      <c r="Q21" s="54" t="str">
        <f ca="1">IF(AND('Riesgos de Gestión'!$Z$41="Alta",'Riesgos de Gestión'!$AB$41="Menor"),CONCATENATE("R6C",'Riesgos de Gestión'!$P$41),"")</f>
        <v/>
      </c>
      <c r="R21" s="54" t="str">
        <f ca="1">IF(AND('Riesgos de Gestión'!$Z$42="Alta",'Riesgos de Gestión'!$AB$42="Menor"),CONCATENATE("R6C",'Riesgos de Gestión'!$P$42),"")</f>
        <v/>
      </c>
      <c r="S21" s="54" t="str">
        <f ca="1">IF(AND('Riesgos de Gestión'!$Z$43="Alta",'Riesgos de Gestión'!$AB$43="Menor"),CONCATENATE("R6C",'Riesgos de Gestión'!$P$43),"")</f>
        <v/>
      </c>
      <c r="T21" s="54" t="str">
        <f ca="1">IF(AND('Riesgos de Gestión'!$Z$44="Alta",'Riesgos de Gestión'!$AB$44="Menor"),CONCATENATE("R6C",'Riesgos de Gestión'!$P$44),"")</f>
        <v/>
      </c>
      <c r="U21" s="55" t="str">
        <f ca="1">IF(AND('Riesgos de Gestión'!$Z$45="Alta",'Riesgos de Gestión'!$AB$45="Menor"),CONCATENATE("R6C",'Riesgos de Gestión'!$P$45),"")</f>
        <v/>
      </c>
      <c r="V21" s="38" t="str">
        <f ca="1">IF(AND('Riesgos de Gestión'!$Z$40="Alta",'Riesgos de Gestión'!$AB$40="Moderado"),CONCATENATE("R6C",'Riesgos de Gestión'!$P$40),"")</f>
        <v/>
      </c>
      <c r="W21" s="39" t="str">
        <f ca="1">IF(AND('Riesgos de Gestión'!$Z$41="Alta",'Riesgos de Gestión'!$AB$41="Moderado"),CONCATENATE("R6C",'Riesgos de Gestión'!$P$41),"")</f>
        <v/>
      </c>
      <c r="X21" s="39" t="str">
        <f ca="1">IF(AND('Riesgos de Gestión'!$Z$42="Alta",'Riesgos de Gestión'!$AB$42="Moderado"),CONCATENATE("R6C",'Riesgos de Gestión'!$P$42),"")</f>
        <v/>
      </c>
      <c r="Y21" s="39" t="str">
        <f ca="1">IF(AND('Riesgos de Gestión'!$Z$43="Alta",'Riesgos de Gestión'!$AB$43="Moderado"),CONCATENATE("R6C",'Riesgos de Gestión'!$P$43),"")</f>
        <v/>
      </c>
      <c r="Z21" s="39" t="str">
        <f ca="1">IF(AND('Riesgos de Gestión'!$Z$44="Alta",'Riesgos de Gestión'!$AB$44="Moderado"),CONCATENATE("R6C",'Riesgos de Gestión'!$P$44),"")</f>
        <v/>
      </c>
      <c r="AA21" s="40" t="str">
        <f ca="1">IF(AND('Riesgos de Gestión'!$Z$45="Alta",'Riesgos de Gestión'!$AB$45="Moderado"),CONCATENATE("R6C",'Riesgos de Gestión'!$P$45),"")</f>
        <v/>
      </c>
      <c r="AB21" s="38" t="str">
        <f ca="1">IF(AND('Riesgos de Gestión'!$Z$40="Alta",'Riesgos de Gestión'!$AB$40="Mayor"),CONCATENATE("R6C",'Riesgos de Gestión'!$P$40),"")</f>
        <v/>
      </c>
      <c r="AC21" s="39" t="str">
        <f ca="1">IF(AND('Riesgos de Gestión'!$Z$41="Alta",'Riesgos de Gestión'!$AB$41="Mayor"),CONCATENATE("R6C",'Riesgos de Gestión'!$P$41),"")</f>
        <v/>
      </c>
      <c r="AD21" s="39" t="str">
        <f ca="1">IF(AND('Riesgos de Gestión'!$Z$42="Alta",'Riesgos de Gestión'!$AB$42="Mayor"),CONCATENATE("R6C",'Riesgos de Gestión'!$P$42),"")</f>
        <v/>
      </c>
      <c r="AE21" s="39" t="str">
        <f ca="1">IF(AND('Riesgos de Gestión'!$Z$43="Alta",'Riesgos de Gestión'!$AB$43="Mayor"),CONCATENATE("R6C",'Riesgos de Gestión'!$P$43),"")</f>
        <v/>
      </c>
      <c r="AF21" s="39" t="str">
        <f ca="1">IF(AND('Riesgos de Gestión'!$Z$44="Alta",'Riesgos de Gestión'!$AB$44="Mayor"),CONCATENATE("R6C",'Riesgos de Gestión'!$P$44),"")</f>
        <v/>
      </c>
      <c r="AG21" s="40" t="str">
        <f ca="1">IF(AND('Riesgos de Gestión'!$Z$45="Alta",'Riesgos de Gestión'!$AB$45="Mayor"),CONCATENATE("R6C",'Riesgos de Gestión'!$P$45),"")</f>
        <v/>
      </c>
      <c r="AH21" s="41" t="str">
        <f ca="1">IF(AND('Riesgos de Gestión'!$Z$40="Alta",'Riesgos de Gestión'!$AB$40="Catastrófico"),CONCATENATE("R6C",'Riesgos de Gestión'!$P$40),"")</f>
        <v/>
      </c>
      <c r="AI21" s="42" t="str">
        <f ca="1">IF(AND('Riesgos de Gestión'!$Z$41="Alta",'Riesgos de Gestión'!$AB$41="Catastrófico"),CONCATENATE("R6C",'Riesgos de Gestión'!$P$41),"")</f>
        <v/>
      </c>
      <c r="AJ21" s="42" t="str">
        <f ca="1">IF(AND('Riesgos de Gestión'!$Z$42="Alta",'Riesgos de Gestión'!$AB$42="Catastrófico"),CONCATENATE("R6C",'Riesgos de Gestión'!$P$42),"")</f>
        <v/>
      </c>
      <c r="AK21" s="42" t="str">
        <f ca="1">IF(AND('Riesgos de Gestión'!$Z$43="Alta",'Riesgos de Gestión'!$AB$43="Catastrófico"),CONCATENATE("R6C",'Riesgos de Gestión'!$P$43),"")</f>
        <v/>
      </c>
      <c r="AL21" s="42" t="str">
        <f ca="1">IF(AND('Riesgos de Gestión'!$Z$44="Alta",'Riesgos de Gestión'!$AB$44="Catastrófico"),CONCATENATE("R6C",'Riesgos de Gestión'!$P$44),"")</f>
        <v/>
      </c>
      <c r="AM21" s="43" t="str">
        <f ca="1">IF(AND('Riesgos de Gestión'!$Z$45="Alta",'Riesgos de Gestión'!$AB$45="Catastrófico"),CONCATENATE("R6C",'Riesgos de Gestión'!$P$45),"")</f>
        <v/>
      </c>
      <c r="AN21" s="69"/>
      <c r="AO21" s="536"/>
      <c r="AP21" s="537"/>
      <c r="AQ21" s="537"/>
      <c r="AR21" s="537"/>
      <c r="AS21" s="537"/>
      <c r="AT21" s="538"/>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row>
    <row r="22" spans="1:76" ht="15" customHeight="1" x14ac:dyDescent="0.25">
      <c r="A22" s="69"/>
      <c r="B22" s="447"/>
      <c r="C22" s="447"/>
      <c r="D22" s="448"/>
      <c r="E22" s="546"/>
      <c r="F22" s="545"/>
      <c r="G22" s="545"/>
      <c r="H22" s="545"/>
      <c r="I22" s="545"/>
      <c r="J22" s="53" t="str">
        <f ca="1">IF(AND('Riesgos de Gestión'!$Z$46="Alta",'Riesgos de Gestión'!$AB$46="Leve"),CONCATENATE("R7C",'Riesgos de Gestión'!$P$46),"")</f>
        <v/>
      </c>
      <c r="K22" s="54" t="str">
        <f ca="1">IF(AND('Riesgos de Gestión'!$Z$47="Alta",'Riesgos de Gestión'!$AB$47="Leve"),CONCATENATE("R7C",'Riesgos de Gestión'!$P$47),"")</f>
        <v/>
      </c>
      <c r="L22" s="54" t="str">
        <f ca="1">IF(AND('Riesgos de Gestión'!$Z$48="Alta",'Riesgos de Gestión'!$AB$48="Leve"),CONCATENATE("R7C",'Riesgos de Gestión'!$P$48),"")</f>
        <v/>
      </c>
      <c r="M22" s="54" t="str">
        <f ca="1">IF(AND('Riesgos de Gestión'!$Z$49="Alta",'Riesgos de Gestión'!$AB$49="Leve"),CONCATENATE("R7C",'Riesgos de Gestión'!$P$49),"")</f>
        <v/>
      </c>
      <c r="N22" s="54" t="str">
        <f ca="1">IF(AND('Riesgos de Gestión'!$Z$50="Alta",'Riesgos de Gestión'!$AB$50="Leve"),CONCATENATE("R7C",'Riesgos de Gestión'!$P$50),"")</f>
        <v/>
      </c>
      <c r="O22" s="55" t="str">
        <f ca="1">IF(AND('Riesgos de Gestión'!$Z$51="Alta",'Riesgos de Gestión'!$AB$51="Leve"),CONCATENATE("R7C",'Riesgos de Gestión'!$P$51),"")</f>
        <v/>
      </c>
      <c r="P22" s="53" t="str">
        <f ca="1">IF(AND('Riesgos de Gestión'!$Z$46="Alta",'Riesgos de Gestión'!$AB$46="Menor"),CONCATENATE("R7C",'Riesgos de Gestión'!$P$46),"")</f>
        <v/>
      </c>
      <c r="Q22" s="54" t="str">
        <f ca="1">IF(AND('Riesgos de Gestión'!$Z$47="Alta",'Riesgos de Gestión'!$AB$47="Menor"),CONCATENATE("R7C",'Riesgos de Gestión'!$P$47),"")</f>
        <v/>
      </c>
      <c r="R22" s="54" t="str">
        <f ca="1">IF(AND('Riesgos de Gestión'!$Z$48="Alta",'Riesgos de Gestión'!$AB$48="Menor"),CONCATENATE("R7C",'Riesgos de Gestión'!$P$48),"")</f>
        <v/>
      </c>
      <c r="S22" s="54" t="str">
        <f ca="1">IF(AND('Riesgos de Gestión'!$Z$49="Alta",'Riesgos de Gestión'!$AB$49="Menor"),CONCATENATE("R7C",'Riesgos de Gestión'!$P$49),"")</f>
        <v/>
      </c>
      <c r="T22" s="54" t="str">
        <f ca="1">IF(AND('Riesgos de Gestión'!$Z$50="Alta",'Riesgos de Gestión'!$AB$50="Menor"),CONCATENATE("R7C",'Riesgos de Gestión'!$P$50),"")</f>
        <v/>
      </c>
      <c r="U22" s="55" t="str">
        <f ca="1">IF(AND('Riesgos de Gestión'!$Z$51="Alta",'Riesgos de Gestión'!$AB$51="Menor"),CONCATENATE("R7C",'Riesgos de Gestión'!$P$51),"")</f>
        <v/>
      </c>
      <c r="V22" s="38" t="str">
        <f ca="1">IF(AND('Riesgos de Gestión'!$Z$46="Alta",'Riesgos de Gestión'!$AB$46="Moderado"),CONCATENATE("R7C",'Riesgos de Gestión'!$P$46),"")</f>
        <v/>
      </c>
      <c r="W22" s="39" t="str">
        <f ca="1">IF(AND('Riesgos de Gestión'!$Z$47="Alta",'Riesgos de Gestión'!$AB$47="Moderado"),CONCATENATE("R7C",'Riesgos de Gestión'!$P$47),"")</f>
        <v/>
      </c>
      <c r="X22" s="39" t="str">
        <f ca="1">IF(AND('Riesgos de Gestión'!$Z$48="Alta",'Riesgos de Gestión'!$AB$48="Moderado"),CONCATENATE("R7C",'Riesgos de Gestión'!$P$48),"")</f>
        <v/>
      </c>
      <c r="Y22" s="39" t="str">
        <f ca="1">IF(AND('Riesgos de Gestión'!$Z$49="Alta",'Riesgos de Gestión'!$AB$49="Moderado"),CONCATENATE("R7C",'Riesgos de Gestión'!$P$49),"")</f>
        <v/>
      </c>
      <c r="Z22" s="39" t="str">
        <f ca="1">IF(AND('Riesgos de Gestión'!$Z$50="Alta",'Riesgos de Gestión'!$AB$50="Moderado"),CONCATENATE("R7C",'Riesgos de Gestión'!$P$50),"")</f>
        <v/>
      </c>
      <c r="AA22" s="40" t="str">
        <f ca="1">IF(AND('Riesgos de Gestión'!$Z$51="Alta",'Riesgos de Gestión'!$AB$51="Moderado"),CONCATENATE("R7C",'Riesgos de Gestión'!$P$51),"")</f>
        <v/>
      </c>
      <c r="AB22" s="38" t="str">
        <f ca="1">IF(AND('Riesgos de Gestión'!$Z$46="Alta",'Riesgos de Gestión'!$AB$46="Mayor"),CONCATENATE("R7C",'Riesgos de Gestión'!$P$46),"")</f>
        <v/>
      </c>
      <c r="AC22" s="39" t="str">
        <f ca="1">IF(AND('Riesgos de Gestión'!$Z$47="Alta",'Riesgos de Gestión'!$AB$47="Mayor"),CONCATENATE("R7C",'Riesgos de Gestión'!$P$47),"")</f>
        <v/>
      </c>
      <c r="AD22" s="39" t="str">
        <f ca="1">IF(AND('Riesgos de Gestión'!$Z$48="Alta",'Riesgos de Gestión'!$AB$48="Mayor"),CONCATENATE("R7C",'Riesgos de Gestión'!$P$48),"")</f>
        <v/>
      </c>
      <c r="AE22" s="39" t="str">
        <f ca="1">IF(AND('Riesgos de Gestión'!$Z$49="Alta",'Riesgos de Gestión'!$AB$49="Mayor"),CONCATENATE("R7C",'Riesgos de Gestión'!$P$49),"")</f>
        <v/>
      </c>
      <c r="AF22" s="39" t="str">
        <f ca="1">IF(AND('Riesgos de Gestión'!$Z$50="Alta",'Riesgos de Gestión'!$AB$50="Mayor"),CONCATENATE("R7C",'Riesgos de Gestión'!$P$50),"")</f>
        <v/>
      </c>
      <c r="AG22" s="40" t="str">
        <f ca="1">IF(AND('Riesgos de Gestión'!$Z$51="Alta",'Riesgos de Gestión'!$AB$51="Mayor"),CONCATENATE("R7C",'Riesgos de Gestión'!$P$51),"")</f>
        <v/>
      </c>
      <c r="AH22" s="41" t="str">
        <f ca="1">IF(AND('Riesgos de Gestión'!$Z$46="Alta",'Riesgos de Gestión'!$AB$46="Catastrófico"),CONCATENATE("R7C",'Riesgos de Gestión'!$P$46),"")</f>
        <v/>
      </c>
      <c r="AI22" s="42" t="str">
        <f ca="1">IF(AND('Riesgos de Gestión'!$Z$47="Alta",'Riesgos de Gestión'!$AB$47="Catastrófico"),CONCATENATE("R7C",'Riesgos de Gestión'!$P$47),"")</f>
        <v/>
      </c>
      <c r="AJ22" s="42" t="str">
        <f ca="1">IF(AND('Riesgos de Gestión'!$Z$48="Alta",'Riesgos de Gestión'!$AB$48="Catastrófico"),CONCATENATE("R7C",'Riesgos de Gestión'!$P$48),"")</f>
        <v/>
      </c>
      <c r="AK22" s="42" t="str">
        <f ca="1">IF(AND('Riesgos de Gestión'!$Z$49="Alta",'Riesgos de Gestión'!$AB$49="Catastrófico"),CONCATENATE("R7C",'Riesgos de Gestión'!$P$49),"")</f>
        <v/>
      </c>
      <c r="AL22" s="42" t="str">
        <f ca="1">IF(AND('Riesgos de Gestión'!$Z$50="Alta",'Riesgos de Gestión'!$AB$50="Catastrófico"),CONCATENATE("R7C",'Riesgos de Gestión'!$P$50),"")</f>
        <v/>
      </c>
      <c r="AM22" s="43" t="str">
        <f ca="1">IF(AND('Riesgos de Gestión'!$Z$51="Alta",'Riesgos de Gestión'!$AB$51="Catastrófico"),CONCATENATE("R7C",'Riesgos de Gestión'!$P$51),"")</f>
        <v/>
      </c>
      <c r="AN22" s="69"/>
      <c r="AO22" s="536"/>
      <c r="AP22" s="537"/>
      <c r="AQ22" s="537"/>
      <c r="AR22" s="537"/>
      <c r="AS22" s="537"/>
      <c r="AT22" s="538"/>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row>
    <row r="23" spans="1:76" ht="15" customHeight="1" x14ac:dyDescent="0.25">
      <c r="A23" s="69"/>
      <c r="B23" s="447"/>
      <c r="C23" s="447"/>
      <c r="D23" s="448"/>
      <c r="E23" s="546"/>
      <c r="F23" s="545"/>
      <c r="G23" s="545"/>
      <c r="H23" s="545"/>
      <c r="I23" s="545"/>
      <c r="J23" s="53" t="str">
        <f ca="1">IF(AND('Riesgos de Gestión'!$Z$52="Alta",'Riesgos de Gestión'!$AB$52="Leve"),CONCATENATE("R8C",'Riesgos de Gestión'!$P$52),"")</f>
        <v/>
      </c>
      <c r="K23" s="54" t="str">
        <f>IF(AND('Riesgos de Gestión'!$Z$53="Alta",'Riesgos de Gestión'!$AB$53="Leve"),CONCATENATE("R8C",'Riesgos de Gestión'!$P$53),"")</f>
        <v/>
      </c>
      <c r="L23" s="54" t="str">
        <f>IF(AND('Riesgos de Gestión'!$Z$54="Alta",'Riesgos de Gestión'!$AB$54="Leve"),CONCATENATE("R8C",'Riesgos de Gestión'!$P$54),"")</f>
        <v/>
      </c>
      <c r="M23" s="54" t="str">
        <f>IF(AND('Riesgos de Gestión'!$Z$55="Alta",'Riesgos de Gestión'!$AB$55="Leve"),CONCATENATE("R8C",'Riesgos de Gestión'!$P$55),"")</f>
        <v/>
      </c>
      <c r="N23" s="54" t="str">
        <f>IF(AND('Riesgos de Gestión'!$Z$56="Alta",'Riesgos de Gestión'!$AB$56="Leve"),CONCATENATE("R8C",'Riesgos de Gestión'!$P$56),"")</f>
        <v/>
      </c>
      <c r="O23" s="55" t="str">
        <f>IF(AND('Riesgos de Gestión'!$Z$57="Alta",'Riesgos de Gestión'!$AB$57="Leve"),CONCATENATE("R8C",'Riesgos de Gestión'!$P$57),"")</f>
        <v/>
      </c>
      <c r="P23" s="53" t="str">
        <f ca="1">IF(AND('Riesgos de Gestión'!$Z$52="Alta",'Riesgos de Gestión'!$AB$52="Menor"),CONCATENATE("R8C",'Riesgos de Gestión'!$P$52),"")</f>
        <v/>
      </c>
      <c r="Q23" s="54" t="str">
        <f>IF(AND('Riesgos de Gestión'!$Z$53="Alta",'Riesgos de Gestión'!$AB$53="Menor"),CONCATENATE("R8C",'Riesgos de Gestión'!$P$53),"")</f>
        <v/>
      </c>
      <c r="R23" s="54" t="str">
        <f>IF(AND('Riesgos de Gestión'!$Z$54="Alta",'Riesgos de Gestión'!$AB$54="Menor"),CONCATENATE("R8C",'Riesgos de Gestión'!$P$54),"")</f>
        <v/>
      </c>
      <c r="S23" s="54" t="str">
        <f>IF(AND('Riesgos de Gestión'!$Z$55="Alta",'Riesgos de Gestión'!$AB$55="Menor"),CONCATENATE("R8C",'Riesgos de Gestión'!$P$55),"")</f>
        <v/>
      </c>
      <c r="T23" s="54" t="str">
        <f>IF(AND('Riesgos de Gestión'!$Z$56="Alta",'Riesgos de Gestión'!$AB$56="Menor"),CONCATENATE("R8C",'Riesgos de Gestión'!$P$56),"")</f>
        <v/>
      </c>
      <c r="U23" s="55" t="str">
        <f>IF(AND('Riesgos de Gestión'!$Z$57="Alta",'Riesgos de Gestión'!$AB$57="Menor"),CONCATENATE("R8C",'Riesgos de Gestión'!$P$57),"")</f>
        <v/>
      </c>
      <c r="V23" s="38" t="str">
        <f ca="1">IF(AND('Riesgos de Gestión'!$Z$52="Alta",'Riesgos de Gestión'!$AB$52="Moderado"),CONCATENATE("R8C",'Riesgos de Gestión'!$P$52),"")</f>
        <v/>
      </c>
      <c r="W23" s="39" t="str">
        <f>IF(AND('Riesgos de Gestión'!$Z$53="Alta",'Riesgos de Gestión'!$AB$53="Moderado"),CONCATENATE("R8C",'Riesgos de Gestión'!$P$53),"")</f>
        <v/>
      </c>
      <c r="X23" s="39" t="str">
        <f>IF(AND('Riesgos de Gestión'!$Z$54="Alta",'Riesgos de Gestión'!$AB$54="Moderado"),CONCATENATE("R8C",'Riesgos de Gestión'!$P$54),"")</f>
        <v/>
      </c>
      <c r="Y23" s="39" t="str">
        <f>IF(AND('Riesgos de Gestión'!$Z$55="Alta",'Riesgos de Gestión'!$AB$55="Moderado"),CONCATENATE("R8C",'Riesgos de Gestión'!$P$55),"")</f>
        <v/>
      </c>
      <c r="Z23" s="39" t="str">
        <f>IF(AND('Riesgos de Gestión'!$Z$56="Alta",'Riesgos de Gestión'!$AB$56="Moderado"),CONCATENATE("R8C",'Riesgos de Gestión'!$P$56),"")</f>
        <v/>
      </c>
      <c r="AA23" s="40" t="str">
        <f>IF(AND('Riesgos de Gestión'!$Z$57="Alta",'Riesgos de Gestión'!$AB$57="Moderado"),CONCATENATE("R8C",'Riesgos de Gestión'!$P$57),"")</f>
        <v/>
      </c>
      <c r="AB23" s="38" t="str">
        <f ca="1">IF(AND('Riesgos de Gestión'!$Z$52="Alta",'Riesgos de Gestión'!$AB$52="Mayor"),CONCATENATE("R8C",'Riesgos de Gestión'!$P$52),"")</f>
        <v/>
      </c>
      <c r="AC23" s="39" t="str">
        <f>IF(AND('Riesgos de Gestión'!$Z$53="Alta",'Riesgos de Gestión'!$AB$53="Mayor"),CONCATENATE("R8C",'Riesgos de Gestión'!$P$53),"")</f>
        <v/>
      </c>
      <c r="AD23" s="39" t="str">
        <f>IF(AND('Riesgos de Gestión'!$Z$54="Alta",'Riesgos de Gestión'!$AB$54="Mayor"),CONCATENATE("R8C",'Riesgos de Gestión'!$P$54),"")</f>
        <v/>
      </c>
      <c r="AE23" s="39" t="str">
        <f>IF(AND('Riesgos de Gestión'!$Z$55="Alta",'Riesgos de Gestión'!$AB$55="Mayor"),CONCATENATE("R8C",'Riesgos de Gestión'!$P$55),"")</f>
        <v/>
      </c>
      <c r="AF23" s="39" t="str">
        <f>IF(AND('Riesgos de Gestión'!$Z$56="Alta",'Riesgos de Gestión'!$AB$56="Mayor"),CONCATENATE("R8C",'Riesgos de Gestión'!$P$56),"")</f>
        <v/>
      </c>
      <c r="AG23" s="40" t="str">
        <f>IF(AND('Riesgos de Gestión'!$Z$57="Alta",'Riesgos de Gestión'!$AB$57="Mayor"),CONCATENATE("R8C",'Riesgos de Gestión'!$P$57),"")</f>
        <v/>
      </c>
      <c r="AH23" s="41" t="str">
        <f ca="1">IF(AND('Riesgos de Gestión'!$Z$52="Alta",'Riesgos de Gestión'!$AB$52="Catastrófico"),CONCATENATE("R8C",'Riesgos de Gestión'!$P$52),"")</f>
        <v/>
      </c>
      <c r="AI23" s="42" t="str">
        <f>IF(AND('Riesgos de Gestión'!$Z$53="Alta",'Riesgos de Gestión'!$AB$53="Catastrófico"),CONCATENATE("R8C",'Riesgos de Gestión'!$P$53),"")</f>
        <v/>
      </c>
      <c r="AJ23" s="42" t="str">
        <f>IF(AND('Riesgos de Gestión'!$Z$54="Alta",'Riesgos de Gestión'!$AB$54="Catastrófico"),CONCATENATE("R8C",'Riesgos de Gestión'!$P$54),"")</f>
        <v/>
      </c>
      <c r="AK23" s="42" t="str">
        <f>IF(AND('Riesgos de Gestión'!$Z$55="Alta",'Riesgos de Gestión'!$AB$55="Catastrófico"),CONCATENATE("R8C",'Riesgos de Gestión'!$P$55),"")</f>
        <v/>
      </c>
      <c r="AL23" s="42" t="str">
        <f>IF(AND('Riesgos de Gestión'!$Z$56="Alta",'Riesgos de Gestión'!$AB$56="Catastrófico"),CONCATENATE("R8C",'Riesgos de Gestión'!$P$56),"")</f>
        <v/>
      </c>
      <c r="AM23" s="43" t="str">
        <f>IF(AND('Riesgos de Gestión'!$Z$57="Alta",'Riesgos de Gestión'!$AB$57="Catastrófico"),CONCATENATE("R8C",'Riesgos de Gestión'!$P$57),"")</f>
        <v/>
      </c>
      <c r="AN23" s="69"/>
      <c r="AO23" s="536"/>
      <c r="AP23" s="537"/>
      <c r="AQ23" s="537"/>
      <c r="AR23" s="537"/>
      <c r="AS23" s="537"/>
      <c r="AT23" s="538"/>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row>
    <row r="24" spans="1:76" ht="15" customHeight="1" x14ac:dyDescent="0.25">
      <c r="A24" s="69"/>
      <c r="B24" s="447"/>
      <c r="C24" s="447"/>
      <c r="D24" s="448"/>
      <c r="E24" s="546"/>
      <c r="F24" s="545"/>
      <c r="G24" s="545"/>
      <c r="H24" s="545"/>
      <c r="I24" s="545"/>
      <c r="J24" s="53" t="str">
        <f>IF(AND('Riesgos de Gestión'!$Z$58="Alta",'Riesgos de Gestión'!$AB$58="Leve"),CONCATENATE("R9C",'Riesgos de Gestión'!$P$58),"")</f>
        <v/>
      </c>
      <c r="K24" s="54" t="str">
        <f>IF(AND('Riesgos de Gestión'!$Z$59="Alta",'Riesgos de Gestión'!$AB$59="Leve"),CONCATENATE("R9C",'Riesgos de Gestión'!$P$59),"")</f>
        <v/>
      </c>
      <c r="L24" s="54" t="str">
        <f>IF(AND('Riesgos de Gestión'!$Z$60="Alta",'Riesgos de Gestión'!$AB$60="Leve"),CONCATENATE("R9C",'Riesgos de Gestión'!$P$60),"")</f>
        <v/>
      </c>
      <c r="M24" s="54" t="str">
        <f>IF(AND('Riesgos de Gestión'!$Z$61="Alta",'Riesgos de Gestión'!$AB$61="Leve"),CONCATENATE("R9C",'Riesgos de Gestión'!$P$61),"")</f>
        <v/>
      </c>
      <c r="N24" s="54" t="str">
        <f>IF(AND('Riesgos de Gestión'!$Z$62="Alta",'Riesgos de Gestión'!$AB$62="Leve"),CONCATENATE("R9C",'Riesgos de Gestión'!$P$62),"")</f>
        <v/>
      </c>
      <c r="O24" s="55" t="str">
        <f>IF(AND('Riesgos de Gestión'!$Z$63="Alta",'Riesgos de Gestión'!$AB$63="Leve"),CONCATENATE("R9C",'Riesgos de Gestión'!$P$63),"")</f>
        <v/>
      </c>
      <c r="P24" s="53" t="str">
        <f>IF(AND('Riesgos de Gestión'!$Z$58="Alta",'Riesgos de Gestión'!$AB$58="Menor"),CONCATENATE("R9C",'Riesgos de Gestión'!$P$58),"")</f>
        <v/>
      </c>
      <c r="Q24" s="54" t="str">
        <f>IF(AND('Riesgos de Gestión'!$Z$59="Alta",'Riesgos de Gestión'!$AB$59="Menor"),CONCATENATE("R9C",'Riesgos de Gestión'!$P$59),"")</f>
        <v/>
      </c>
      <c r="R24" s="54" t="str">
        <f>IF(AND('Riesgos de Gestión'!$Z$60="Alta",'Riesgos de Gestión'!$AB$60="Menor"),CONCATENATE("R9C",'Riesgos de Gestión'!$P$60),"")</f>
        <v/>
      </c>
      <c r="S24" s="54" t="str">
        <f>IF(AND('Riesgos de Gestión'!$Z$61="Alta",'Riesgos de Gestión'!$AB$61="Menor"),CONCATENATE("R9C",'Riesgos de Gestión'!$P$61),"")</f>
        <v/>
      </c>
      <c r="T24" s="54" t="str">
        <f>IF(AND('Riesgos de Gestión'!$Z$62="Alta",'Riesgos de Gestión'!$AB$62="Menor"),CONCATENATE("R9C",'Riesgos de Gestión'!$P$62),"")</f>
        <v/>
      </c>
      <c r="U24" s="55" t="str">
        <f>IF(AND('Riesgos de Gestión'!$Z$63="Alta",'Riesgos de Gestión'!$AB$63="Menor"),CONCATENATE("R9C",'Riesgos de Gestión'!$P$63),"")</f>
        <v/>
      </c>
      <c r="V24" s="38" t="str">
        <f>IF(AND('Riesgos de Gestión'!$Z$58="Alta",'Riesgos de Gestión'!$AB$58="Moderado"),CONCATENATE("R9C",'Riesgos de Gestión'!$P$58),"")</f>
        <v/>
      </c>
      <c r="W24" s="39" t="str">
        <f>IF(AND('Riesgos de Gestión'!$Z$59="Alta",'Riesgos de Gestión'!$AB$59="Moderado"),CONCATENATE("R9C",'Riesgos de Gestión'!$P$59),"")</f>
        <v/>
      </c>
      <c r="X24" s="39" t="str">
        <f>IF(AND('Riesgos de Gestión'!$Z$60="Alta",'Riesgos de Gestión'!$AB$60="Moderado"),CONCATENATE("R9C",'Riesgos de Gestión'!$P$60),"")</f>
        <v/>
      </c>
      <c r="Y24" s="39" t="str">
        <f>IF(AND('Riesgos de Gestión'!$Z$61="Alta",'Riesgos de Gestión'!$AB$61="Moderado"),CONCATENATE("R9C",'Riesgos de Gestión'!$P$61),"")</f>
        <v/>
      </c>
      <c r="Z24" s="39" t="str">
        <f>IF(AND('Riesgos de Gestión'!$Z$62="Alta",'Riesgos de Gestión'!$AB$62="Moderado"),CONCATENATE("R9C",'Riesgos de Gestión'!$P$62),"")</f>
        <v/>
      </c>
      <c r="AA24" s="40" t="str">
        <f>IF(AND('Riesgos de Gestión'!$Z$63="Alta",'Riesgos de Gestión'!$AB$63="Moderado"),CONCATENATE("R9C",'Riesgos de Gestión'!$P$63),"")</f>
        <v/>
      </c>
      <c r="AB24" s="38" t="str">
        <f>IF(AND('Riesgos de Gestión'!$Z$58="Alta",'Riesgos de Gestión'!$AB$58="Mayor"),CONCATENATE("R9C",'Riesgos de Gestión'!$P$58),"")</f>
        <v/>
      </c>
      <c r="AC24" s="39" t="str">
        <f>IF(AND('Riesgos de Gestión'!$Z$59="Alta",'Riesgos de Gestión'!$AB$59="Mayor"),CONCATENATE("R9C",'Riesgos de Gestión'!$P$59),"")</f>
        <v/>
      </c>
      <c r="AD24" s="39" t="str">
        <f>IF(AND('Riesgos de Gestión'!$Z$60="Alta",'Riesgos de Gestión'!$AB$60="Mayor"),CONCATENATE("R9C",'Riesgos de Gestión'!$P$60),"")</f>
        <v/>
      </c>
      <c r="AE24" s="39" t="str">
        <f>IF(AND('Riesgos de Gestión'!$Z$61="Alta",'Riesgos de Gestión'!$AB$61="Mayor"),CONCATENATE("R9C",'Riesgos de Gestión'!$P$61),"")</f>
        <v/>
      </c>
      <c r="AF24" s="39" t="str">
        <f>IF(AND('Riesgos de Gestión'!$Z$62="Alta",'Riesgos de Gestión'!$AB$62="Mayor"),CONCATENATE("R9C",'Riesgos de Gestión'!$P$62),"")</f>
        <v/>
      </c>
      <c r="AG24" s="40" t="str">
        <f>IF(AND('Riesgos de Gestión'!$Z$63="Alta",'Riesgos de Gestión'!$AB$63="Mayor"),CONCATENATE("R9C",'Riesgos de Gestión'!$P$63),"")</f>
        <v/>
      </c>
      <c r="AH24" s="41" t="str">
        <f>IF(AND('Riesgos de Gestión'!$Z$58="Alta",'Riesgos de Gestión'!$AB$58="Catastrófico"),CONCATENATE("R9C",'Riesgos de Gestión'!$P$58),"")</f>
        <v/>
      </c>
      <c r="AI24" s="42" t="str">
        <f>IF(AND('Riesgos de Gestión'!$Z$59="Alta",'Riesgos de Gestión'!$AB$59="Catastrófico"),CONCATENATE("R9C",'Riesgos de Gestión'!$P$59),"")</f>
        <v/>
      </c>
      <c r="AJ24" s="42" t="str">
        <f>IF(AND('Riesgos de Gestión'!$Z$60="Alta",'Riesgos de Gestión'!$AB$60="Catastrófico"),CONCATENATE("R9C",'Riesgos de Gestión'!$P$60),"")</f>
        <v/>
      </c>
      <c r="AK24" s="42" t="str">
        <f>IF(AND('Riesgos de Gestión'!$Z$61="Alta",'Riesgos de Gestión'!$AB$61="Catastrófico"),CONCATENATE("R9C",'Riesgos de Gestión'!$P$61),"")</f>
        <v/>
      </c>
      <c r="AL24" s="42" t="str">
        <f>IF(AND('Riesgos de Gestión'!$Z$62="Alta",'Riesgos de Gestión'!$AB$62="Catastrófico"),CONCATENATE("R9C",'Riesgos de Gestión'!$P$62),"")</f>
        <v/>
      </c>
      <c r="AM24" s="43" t="str">
        <f>IF(AND('Riesgos de Gestión'!$Z$63="Alta",'Riesgos de Gestión'!$AB$63="Catastrófico"),CONCATENATE("R9C",'Riesgos de Gestión'!$P$63),"")</f>
        <v/>
      </c>
      <c r="AN24" s="69"/>
      <c r="AO24" s="536"/>
      <c r="AP24" s="537"/>
      <c r="AQ24" s="537"/>
      <c r="AR24" s="537"/>
      <c r="AS24" s="537"/>
      <c r="AT24" s="538"/>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row>
    <row r="25" spans="1:76" ht="15.75" customHeight="1" thickBot="1" x14ac:dyDescent="0.3">
      <c r="A25" s="69"/>
      <c r="B25" s="447"/>
      <c r="C25" s="447"/>
      <c r="D25" s="448"/>
      <c r="E25" s="547"/>
      <c r="F25" s="548"/>
      <c r="G25" s="548"/>
      <c r="H25" s="548"/>
      <c r="I25" s="548"/>
      <c r="J25" s="56" t="str">
        <f>IF(AND('Riesgos de Gestión'!$Z$64="Alta",'Riesgos de Gestión'!$AB$64="Leve"),CONCATENATE("R10C",'Riesgos de Gestión'!$P$64),"")</f>
        <v/>
      </c>
      <c r="K25" s="57" t="str">
        <f>IF(AND('Riesgos de Gestión'!$Z$65="Alta",'Riesgos de Gestión'!$AB$65="Leve"),CONCATENATE("R10C",'Riesgos de Gestión'!$P$65),"")</f>
        <v/>
      </c>
      <c r="L25" s="57" t="str">
        <f>IF(AND('Riesgos de Gestión'!$Z$66="Alta",'Riesgos de Gestión'!$AB$66="Leve"),CONCATENATE("R10C",'Riesgos de Gestión'!$P$66),"")</f>
        <v/>
      </c>
      <c r="M25" s="57" t="str">
        <f>IF(AND('Riesgos de Gestión'!$Z$67="Alta",'Riesgos de Gestión'!$AB$67="Leve"),CONCATENATE("R10C",'Riesgos de Gestión'!$P$67),"")</f>
        <v/>
      </c>
      <c r="N25" s="57" t="str">
        <f>IF(AND('Riesgos de Gestión'!$Z$68="Alta",'Riesgos de Gestión'!$AB$68="Leve"),CONCATENATE("R10C",'Riesgos de Gestión'!$P$68),"")</f>
        <v/>
      </c>
      <c r="O25" s="58" t="str">
        <f>IF(AND('Riesgos de Gestión'!$Z$69="Alta",'Riesgos de Gestión'!$AB$69="Leve"),CONCATENATE("R10C",'Riesgos de Gestión'!$P$69),"")</f>
        <v/>
      </c>
      <c r="P25" s="56" t="str">
        <f>IF(AND('Riesgos de Gestión'!$Z$64="Alta",'Riesgos de Gestión'!$AB$64="Menor"),CONCATENATE("R10C",'Riesgos de Gestión'!$P$64),"")</f>
        <v/>
      </c>
      <c r="Q25" s="57" t="str">
        <f>IF(AND('Riesgos de Gestión'!$Z$65="Alta",'Riesgos de Gestión'!$AB$65="Menor"),CONCATENATE("R10C",'Riesgos de Gestión'!$P$65),"")</f>
        <v/>
      </c>
      <c r="R25" s="57" t="str">
        <f>IF(AND('Riesgos de Gestión'!$Z$66="Alta",'Riesgos de Gestión'!$AB$66="Menor"),CONCATENATE("R10C",'Riesgos de Gestión'!$P$66),"")</f>
        <v/>
      </c>
      <c r="S25" s="57" t="str">
        <f>IF(AND('Riesgos de Gestión'!$Z$67="Alta",'Riesgos de Gestión'!$AB$67="Menor"),CONCATENATE("R10C",'Riesgos de Gestión'!$P$67),"")</f>
        <v/>
      </c>
      <c r="T25" s="57" t="str">
        <f>IF(AND('Riesgos de Gestión'!$Z$68="Alta",'Riesgos de Gestión'!$AB$68="Menor"),CONCATENATE("R10C",'Riesgos de Gestión'!$P$68),"")</f>
        <v/>
      </c>
      <c r="U25" s="58" t="str">
        <f>IF(AND('Riesgos de Gestión'!$Z$69="Alta",'Riesgos de Gestión'!$AB$69="Menor"),CONCATENATE("R10C",'Riesgos de Gestión'!$P$69),"")</f>
        <v/>
      </c>
      <c r="V25" s="44" t="str">
        <f>IF(AND('Riesgos de Gestión'!$Z$64="Alta",'Riesgos de Gestión'!$AB$64="Moderado"),CONCATENATE("R10C",'Riesgos de Gestión'!$P$64),"")</f>
        <v/>
      </c>
      <c r="W25" s="45" t="str">
        <f>IF(AND('Riesgos de Gestión'!$Z$65="Alta",'Riesgos de Gestión'!$AB$65="Moderado"),CONCATENATE("R10C",'Riesgos de Gestión'!$P$65),"")</f>
        <v/>
      </c>
      <c r="X25" s="45" t="str">
        <f>IF(AND('Riesgos de Gestión'!$Z$66="Alta",'Riesgos de Gestión'!$AB$66="Moderado"),CONCATENATE("R10C",'Riesgos de Gestión'!$P$66),"")</f>
        <v/>
      </c>
      <c r="Y25" s="45" t="str">
        <f>IF(AND('Riesgos de Gestión'!$Z$67="Alta",'Riesgos de Gestión'!$AB$67="Moderado"),CONCATENATE("R10C",'Riesgos de Gestión'!$P$67),"")</f>
        <v/>
      </c>
      <c r="Z25" s="45" t="str">
        <f>IF(AND('Riesgos de Gestión'!$Z$68="Alta",'Riesgos de Gestión'!$AB$68="Moderado"),CONCATENATE("R10C",'Riesgos de Gestión'!$P$68),"")</f>
        <v/>
      </c>
      <c r="AA25" s="46" t="str">
        <f>IF(AND('Riesgos de Gestión'!$Z$69="Alta",'Riesgos de Gestión'!$AB$69="Moderado"),CONCATENATE("R10C",'Riesgos de Gestión'!$P$69),"")</f>
        <v/>
      </c>
      <c r="AB25" s="44" t="str">
        <f>IF(AND('Riesgos de Gestión'!$Z$64="Alta",'Riesgos de Gestión'!$AB$64="Mayor"),CONCATENATE("R10C",'Riesgos de Gestión'!$P$64),"")</f>
        <v/>
      </c>
      <c r="AC25" s="45" t="str">
        <f>IF(AND('Riesgos de Gestión'!$Z$65="Alta",'Riesgos de Gestión'!$AB$65="Mayor"),CONCATENATE("R10C",'Riesgos de Gestión'!$P$65),"")</f>
        <v/>
      </c>
      <c r="AD25" s="45" t="str">
        <f>IF(AND('Riesgos de Gestión'!$Z$66="Alta",'Riesgos de Gestión'!$AB$66="Mayor"),CONCATENATE("R10C",'Riesgos de Gestión'!$P$66),"")</f>
        <v/>
      </c>
      <c r="AE25" s="45" t="str">
        <f>IF(AND('Riesgos de Gestión'!$Z$67="Alta",'Riesgos de Gestión'!$AB$67="Mayor"),CONCATENATE("R10C",'Riesgos de Gestión'!$P$67),"")</f>
        <v/>
      </c>
      <c r="AF25" s="45" t="str">
        <f>IF(AND('Riesgos de Gestión'!$Z$68="Alta",'Riesgos de Gestión'!$AB$68="Mayor"),CONCATENATE("R10C",'Riesgos de Gestión'!$P$68),"")</f>
        <v/>
      </c>
      <c r="AG25" s="46" t="str">
        <f>IF(AND('Riesgos de Gestión'!$Z$69="Alta",'Riesgos de Gestión'!$AB$69="Mayor"),CONCATENATE("R10C",'Riesgos de Gestión'!$P$69),"")</f>
        <v/>
      </c>
      <c r="AH25" s="47" t="str">
        <f>IF(AND('Riesgos de Gestión'!$Z$64="Alta",'Riesgos de Gestión'!$AB$64="Catastrófico"),CONCATENATE("R10C",'Riesgos de Gestión'!$P$64),"")</f>
        <v/>
      </c>
      <c r="AI25" s="48" t="str">
        <f>IF(AND('Riesgos de Gestión'!$Z$65="Alta",'Riesgos de Gestión'!$AB$65="Catastrófico"),CONCATENATE("R10C",'Riesgos de Gestión'!$P$65),"")</f>
        <v/>
      </c>
      <c r="AJ25" s="48" t="str">
        <f>IF(AND('Riesgos de Gestión'!$Z$66="Alta",'Riesgos de Gestión'!$AB$66="Catastrófico"),CONCATENATE("R10C",'Riesgos de Gestión'!$P$66),"")</f>
        <v/>
      </c>
      <c r="AK25" s="48" t="str">
        <f>IF(AND('Riesgos de Gestión'!$Z$67="Alta",'Riesgos de Gestión'!$AB$67="Catastrófico"),CONCATENATE("R10C",'Riesgos de Gestión'!$P$67),"")</f>
        <v/>
      </c>
      <c r="AL25" s="48" t="str">
        <f>IF(AND('Riesgos de Gestión'!$Z$68="Alta",'Riesgos de Gestión'!$AB$68="Catastrófico"),CONCATENATE("R10C",'Riesgos de Gestión'!$P$68),"")</f>
        <v/>
      </c>
      <c r="AM25" s="49" t="str">
        <f>IF(AND('Riesgos de Gestión'!$Z$69="Alta",'Riesgos de Gestión'!$AB$69="Catastrófico"),CONCATENATE("R10C",'Riesgos de Gestión'!$P$69),"")</f>
        <v/>
      </c>
      <c r="AN25" s="69"/>
      <c r="AO25" s="539"/>
      <c r="AP25" s="540"/>
      <c r="AQ25" s="540"/>
      <c r="AR25" s="540"/>
      <c r="AS25" s="540"/>
      <c r="AT25" s="541"/>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row>
    <row r="26" spans="1:76" ht="15" customHeight="1" x14ac:dyDescent="0.25">
      <c r="A26" s="69"/>
      <c r="B26" s="447"/>
      <c r="C26" s="447"/>
      <c r="D26" s="448"/>
      <c r="E26" s="542" t="s">
        <v>116</v>
      </c>
      <c r="F26" s="543"/>
      <c r="G26" s="543"/>
      <c r="H26" s="543"/>
      <c r="I26" s="560"/>
      <c r="J26" s="50" t="str">
        <f ca="1">IF(AND('Riesgos de Gestión'!$Z$10="Media",'Riesgos de Gestión'!$AB$10="Leve"),CONCATENATE("R1C",'Riesgos de Gestión'!$P$10),"")</f>
        <v/>
      </c>
      <c r="K26" s="51" t="str">
        <f ca="1">IF(AND('Riesgos de Gestión'!$Z$11="Media",'Riesgos de Gestión'!$AB$11="Leve"),CONCATENATE("R1C",'Riesgos de Gestión'!$P$11),"")</f>
        <v/>
      </c>
      <c r="L26" s="51" t="str">
        <f ca="1">IF(AND('Riesgos de Gestión'!$Z$12="Media",'Riesgos de Gestión'!$AB$12="Leve"),CONCATENATE("R1C",'Riesgos de Gestión'!$P$12),"")</f>
        <v/>
      </c>
      <c r="M26" s="51" t="str">
        <f ca="1">IF(AND('Riesgos de Gestión'!$Z$13="Media",'Riesgos de Gestión'!$AB$13="Leve"),CONCATENATE("R1C",'Riesgos de Gestión'!$P$13),"")</f>
        <v/>
      </c>
      <c r="N26" s="51" t="str">
        <f ca="1">IF(AND('Riesgos de Gestión'!$Z$14="Media",'Riesgos de Gestión'!$AB$14="Leve"),CONCATENATE("R1C",'Riesgos de Gestión'!$P$14),"")</f>
        <v/>
      </c>
      <c r="O26" s="52" t="str">
        <f ca="1">IF(AND('Riesgos de Gestión'!$Z$15="Media",'Riesgos de Gestión'!$AB$15="Leve"),CONCATENATE("R1C",'Riesgos de Gestión'!$P$15),"")</f>
        <v/>
      </c>
      <c r="P26" s="50" t="str">
        <f ca="1">IF(AND('Riesgos de Gestión'!$Z$10="Media",'Riesgos de Gestión'!$AB$10="Menor"),CONCATENATE("R1C",'Riesgos de Gestión'!$P$10),"")</f>
        <v>R1C1</v>
      </c>
      <c r="Q26" s="51" t="str">
        <f ca="1">IF(AND('Riesgos de Gestión'!$Z$11="Media",'Riesgos de Gestión'!$AB$11="Menor"),CONCATENATE("R1C",'Riesgos de Gestión'!$P$11),"")</f>
        <v>R1C1</v>
      </c>
      <c r="R26" s="51" t="str">
        <f ca="1">IF(AND('Riesgos de Gestión'!$Z$12="Media",'Riesgos de Gestión'!$AB$12="Menor"),CONCATENATE("R1C",'Riesgos de Gestión'!$P$12),"")</f>
        <v>R1C2</v>
      </c>
      <c r="S26" s="51" t="str">
        <f ca="1">IF(AND('Riesgos de Gestión'!$Z$13="Media",'Riesgos de Gestión'!$AB$13="Menor"),CONCATENATE("R1C",'Riesgos de Gestión'!$P$13),"")</f>
        <v/>
      </c>
      <c r="T26" s="51" t="str">
        <f ca="1">IF(AND('Riesgos de Gestión'!$Z$14="Media",'Riesgos de Gestión'!$AB$14="Menor"),CONCATENATE("R1C",'Riesgos de Gestión'!$P$14),"")</f>
        <v/>
      </c>
      <c r="U26" s="52" t="str">
        <f ca="1">IF(AND('Riesgos de Gestión'!$Z$15="Media",'Riesgos de Gestión'!$AB$15="Menor"),CONCATENATE("R1C",'Riesgos de Gestión'!$P$15),"")</f>
        <v/>
      </c>
      <c r="V26" s="50" t="str">
        <f ca="1">IF(AND('Riesgos de Gestión'!$Z$10="Media",'Riesgos de Gestión'!$AB$10="Moderado"),CONCATENATE("R1C",'Riesgos de Gestión'!$P$10),"")</f>
        <v/>
      </c>
      <c r="W26" s="51" t="str">
        <f ca="1">IF(AND('Riesgos de Gestión'!$Z$11="Media",'Riesgos de Gestión'!$AB$11="Moderado"),CONCATENATE("R1C",'Riesgos de Gestión'!$P$11),"")</f>
        <v/>
      </c>
      <c r="X26" s="51" t="str">
        <f ca="1">IF(AND('Riesgos de Gestión'!$Z$12="Media",'Riesgos de Gestión'!$AB$12="Moderado"),CONCATENATE("R1C",'Riesgos de Gestión'!$P$12),"")</f>
        <v/>
      </c>
      <c r="Y26" s="51" t="str">
        <f ca="1">IF(AND('Riesgos de Gestión'!$Z$13="Media",'Riesgos de Gestión'!$AB$13="Moderado"),CONCATENATE("R1C",'Riesgos de Gestión'!$P$13),"")</f>
        <v/>
      </c>
      <c r="Z26" s="51" t="str">
        <f ca="1">IF(AND('Riesgos de Gestión'!$Z$14="Media",'Riesgos de Gestión'!$AB$14="Moderado"),CONCATENATE("R1C",'Riesgos de Gestión'!$P$14),"")</f>
        <v/>
      </c>
      <c r="AA26" s="52" t="str">
        <f ca="1">IF(AND('Riesgos de Gestión'!$Z$15="Media",'Riesgos de Gestión'!$AB$15="Moderado"),CONCATENATE("R1C",'Riesgos de Gestión'!$P$15),"")</f>
        <v/>
      </c>
      <c r="AB26" s="32" t="str">
        <f ca="1">IF(AND('Riesgos de Gestión'!$Z$10="Media",'Riesgos de Gestión'!$AB$10="Mayor"),CONCATENATE("R1C",'Riesgos de Gestión'!$P$10),"")</f>
        <v/>
      </c>
      <c r="AC26" s="33" t="str">
        <f ca="1">IF(AND('Riesgos de Gestión'!$Z$11="Media",'Riesgos de Gestión'!$AB$11="Mayor"),CONCATENATE("R1C",'Riesgos de Gestión'!$P$11),"")</f>
        <v/>
      </c>
      <c r="AD26" s="33" t="str">
        <f ca="1">IF(AND('Riesgos de Gestión'!$Z$12="Media",'Riesgos de Gestión'!$AB$12="Mayor"),CONCATENATE("R1C",'Riesgos de Gestión'!$P$12),"")</f>
        <v/>
      </c>
      <c r="AE26" s="33" t="str">
        <f ca="1">IF(AND('Riesgos de Gestión'!$Z$13="Media",'Riesgos de Gestión'!$AB$13="Mayor"),CONCATENATE("R1C",'Riesgos de Gestión'!$P$13),"")</f>
        <v/>
      </c>
      <c r="AF26" s="33" t="str">
        <f ca="1">IF(AND('Riesgos de Gestión'!$Z$14="Media",'Riesgos de Gestión'!$AB$14="Mayor"),CONCATENATE("R1C",'Riesgos de Gestión'!$P$14),"")</f>
        <v/>
      </c>
      <c r="AG26" s="34" t="str">
        <f ca="1">IF(AND('Riesgos de Gestión'!$Z$15="Media",'Riesgos de Gestión'!$AB$15="Mayor"),CONCATENATE("R1C",'Riesgos de Gestión'!$P$15),"")</f>
        <v/>
      </c>
      <c r="AH26" s="35" t="str">
        <f ca="1">IF(AND('Riesgos de Gestión'!$Z$10="Media",'Riesgos de Gestión'!$AB$10="Catastrófico"),CONCATENATE("R1C",'Riesgos de Gestión'!$P$10),"")</f>
        <v/>
      </c>
      <c r="AI26" s="36" t="str">
        <f ca="1">IF(AND('Riesgos de Gestión'!$Z$11="Media",'Riesgos de Gestión'!$AB$11="Catastrófico"),CONCATENATE("R1C",'Riesgos de Gestión'!$P$11),"")</f>
        <v/>
      </c>
      <c r="AJ26" s="36" t="str">
        <f ca="1">IF(AND('Riesgos de Gestión'!$Z$12="Media",'Riesgos de Gestión'!$AB$12="Catastrófico"),CONCATENATE("R1C",'Riesgos de Gestión'!$P$12),"")</f>
        <v/>
      </c>
      <c r="AK26" s="36" t="str">
        <f ca="1">IF(AND('Riesgos de Gestión'!$Z$13="Media",'Riesgos de Gestión'!$AB$13="Catastrófico"),CONCATENATE("R1C",'Riesgos de Gestión'!$P$13),"")</f>
        <v/>
      </c>
      <c r="AL26" s="36" t="str">
        <f ca="1">IF(AND('Riesgos de Gestión'!$Z$14="Media",'Riesgos de Gestión'!$AB$14="Catastrófico"),CONCATENATE("R1C",'Riesgos de Gestión'!$P$14),"")</f>
        <v/>
      </c>
      <c r="AM26" s="37" t="str">
        <f ca="1">IF(AND('Riesgos de Gestión'!$Z$15="Media",'Riesgos de Gestión'!$AB$15="Catastrófico"),CONCATENATE("R1C",'Riesgos de Gestión'!$P$15),"")</f>
        <v/>
      </c>
      <c r="AN26" s="69"/>
      <c r="AO26" s="572" t="s">
        <v>80</v>
      </c>
      <c r="AP26" s="573"/>
      <c r="AQ26" s="573"/>
      <c r="AR26" s="573"/>
      <c r="AS26" s="573"/>
      <c r="AT26" s="574"/>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row>
    <row r="27" spans="1:76" ht="15" customHeight="1" x14ac:dyDescent="0.25">
      <c r="A27" s="69"/>
      <c r="B27" s="447"/>
      <c r="C27" s="447"/>
      <c r="D27" s="448"/>
      <c r="E27" s="544"/>
      <c r="F27" s="545"/>
      <c r="G27" s="545"/>
      <c r="H27" s="545"/>
      <c r="I27" s="561"/>
      <c r="J27" s="53" t="str">
        <f ca="1">IF(AND('Riesgos de Gestión'!$Z$16="Media",'Riesgos de Gestión'!$AB$16="Leve"),CONCATENATE("R2C",'Riesgos de Gestión'!$P$16),"")</f>
        <v/>
      </c>
      <c r="K27" s="54" t="str">
        <f ca="1">IF(AND('Riesgos de Gestión'!$Z$17="Media",'Riesgos de Gestión'!$AB$17="Leve"),CONCATENATE("R2C",'Riesgos de Gestión'!$P$17),"")</f>
        <v/>
      </c>
      <c r="L27" s="54" t="str">
        <f ca="1">IF(AND('Riesgos de Gestión'!$Z$18="Media",'Riesgos de Gestión'!$AB$18="Leve"),CONCATENATE("R2C",'Riesgos de Gestión'!$P$18),"")</f>
        <v/>
      </c>
      <c r="M27" s="54" t="str">
        <f ca="1">IF(AND('Riesgos de Gestión'!$Z$19="Media",'Riesgos de Gestión'!$AB$19="Leve"),CONCATENATE("R2C",'Riesgos de Gestión'!$P$19),"")</f>
        <v/>
      </c>
      <c r="N27" s="54" t="str">
        <f ca="1">IF(AND('Riesgos de Gestión'!$Z$20="Media",'Riesgos de Gestión'!$AB$20="Leve"),CONCATENATE("R2C",'Riesgos de Gestión'!$P$20),"")</f>
        <v/>
      </c>
      <c r="O27" s="55" t="str">
        <f ca="1">IF(AND('Riesgos de Gestión'!$Z$21="Media",'Riesgos de Gestión'!$AB$21="Leve"),CONCATENATE("R2C",'Riesgos de Gestión'!$P$21),"")</f>
        <v/>
      </c>
      <c r="P27" s="53" t="str">
        <f ca="1">IF(AND('Riesgos de Gestión'!$Z$16="Media",'Riesgos de Gestión'!$AB$16="Menor"),CONCATENATE("R2C",'Riesgos de Gestión'!$P$16),"")</f>
        <v/>
      </c>
      <c r="Q27" s="54" t="str">
        <f ca="1">IF(AND('Riesgos de Gestión'!$Z$17="Media",'Riesgos de Gestión'!$AB$17="Menor"),CONCATENATE("R2C",'Riesgos de Gestión'!$P$17),"")</f>
        <v/>
      </c>
      <c r="R27" s="54" t="str">
        <f ca="1">IF(AND('Riesgos de Gestión'!$Z$18="Media",'Riesgos de Gestión'!$AB$18="Menor"),CONCATENATE("R2C",'Riesgos de Gestión'!$P$18),"")</f>
        <v/>
      </c>
      <c r="S27" s="54" t="str">
        <f ca="1">IF(AND('Riesgos de Gestión'!$Z$19="Media",'Riesgos de Gestión'!$AB$19="Menor"),CONCATENATE("R2C",'Riesgos de Gestión'!$P$19),"")</f>
        <v/>
      </c>
      <c r="T27" s="54" t="str">
        <f ca="1">IF(AND('Riesgos de Gestión'!$Z$20="Media",'Riesgos de Gestión'!$AB$20="Menor"),CONCATENATE("R2C",'Riesgos de Gestión'!$P$20),"")</f>
        <v/>
      </c>
      <c r="U27" s="55" t="str">
        <f ca="1">IF(AND('Riesgos de Gestión'!$Z$21="Media",'Riesgos de Gestión'!$AB$21="Menor"),CONCATENATE("R2C",'Riesgos de Gestión'!$P$21),"")</f>
        <v/>
      </c>
      <c r="V27" s="53" t="str">
        <f ca="1">IF(AND('Riesgos de Gestión'!$Z$16="Media",'Riesgos de Gestión'!$AB$16="Moderado"),CONCATENATE("R2C",'Riesgos de Gestión'!$P$16),"")</f>
        <v/>
      </c>
      <c r="W27" s="54" t="str">
        <f ca="1">IF(AND('Riesgos de Gestión'!$Z$17="Media",'Riesgos de Gestión'!$AB$17="Moderado"),CONCATENATE("R2C",'Riesgos de Gestión'!$P$17),"")</f>
        <v/>
      </c>
      <c r="X27" s="54" t="str">
        <f ca="1">IF(AND('Riesgos de Gestión'!$Z$18="Media",'Riesgos de Gestión'!$AB$18="Moderado"),CONCATENATE("R2C",'Riesgos de Gestión'!$P$18),"")</f>
        <v/>
      </c>
      <c r="Y27" s="54" t="str">
        <f ca="1">IF(AND('Riesgos de Gestión'!$Z$19="Media",'Riesgos de Gestión'!$AB$19="Moderado"),CONCATENATE("R2C",'Riesgos de Gestión'!$P$19),"")</f>
        <v/>
      </c>
      <c r="Z27" s="54" t="str">
        <f ca="1">IF(AND('Riesgos de Gestión'!$Z$20="Media",'Riesgos de Gestión'!$AB$20="Moderado"),CONCATENATE("R2C",'Riesgos de Gestión'!$P$20),"")</f>
        <v/>
      </c>
      <c r="AA27" s="55" t="str">
        <f ca="1">IF(AND('Riesgos de Gestión'!$Z$21="Media",'Riesgos de Gestión'!$AB$21="Moderado"),CONCATENATE("R2C",'Riesgos de Gestión'!$P$21),"")</f>
        <v/>
      </c>
      <c r="AB27" s="38" t="str">
        <f ca="1">IF(AND('Riesgos de Gestión'!$Z$16="Media",'Riesgos de Gestión'!$AB$16="Mayor"),CONCATENATE("R2C",'Riesgos de Gestión'!$P$16),"")</f>
        <v/>
      </c>
      <c r="AC27" s="39" t="str">
        <f ca="1">IF(AND('Riesgos de Gestión'!$Z$17="Media",'Riesgos de Gestión'!$AB$17="Mayor"),CONCATENATE("R2C",'Riesgos de Gestión'!$P$17),"")</f>
        <v/>
      </c>
      <c r="AD27" s="39" t="str">
        <f ca="1">IF(AND('Riesgos de Gestión'!$Z$18="Media",'Riesgos de Gestión'!$AB$18="Mayor"),CONCATENATE("R2C",'Riesgos de Gestión'!$P$18),"")</f>
        <v/>
      </c>
      <c r="AE27" s="39" t="str">
        <f ca="1">IF(AND('Riesgos de Gestión'!$Z$19="Media",'Riesgos de Gestión'!$AB$19="Mayor"),CONCATENATE("R2C",'Riesgos de Gestión'!$P$19),"")</f>
        <v/>
      </c>
      <c r="AF27" s="39" t="str">
        <f ca="1">IF(AND('Riesgos de Gestión'!$Z$20="Media",'Riesgos de Gestión'!$AB$20="Mayor"),CONCATENATE("R2C",'Riesgos de Gestión'!$P$20),"")</f>
        <v/>
      </c>
      <c r="AG27" s="40" t="str">
        <f ca="1">IF(AND('Riesgos de Gestión'!$Z$21="Media",'Riesgos de Gestión'!$AB$21="Mayor"),CONCATENATE("R2C",'Riesgos de Gestión'!$P$21),"")</f>
        <v/>
      </c>
      <c r="AH27" s="41" t="str">
        <f ca="1">IF(AND('Riesgos de Gestión'!$Z$16="Media",'Riesgos de Gestión'!$AB$16="Catastrófico"),CONCATENATE("R2C",'Riesgos de Gestión'!$P$16),"")</f>
        <v/>
      </c>
      <c r="AI27" s="42" t="str">
        <f ca="1">IF(AND('Riesgos de Gestión'!$Z$17="Media",'Riesgos de Gestión'!$AB$17="Catastrófico"),CONCATENATE("R2C",'Riesgos de Gestión'!$P$17),"")</f>
        <v/>
      </c>
      <c r="AJ27" s="42" t="str">
        <f ca="1">IF(AND('Riesgos de Gestión'!$Z$18="Media",'Riesgos de Gestión'!$AB$18="Catastrófico"),CONCATENATE("R2C",'Riesgos de Gestión'!$P$18),"")</f>
        <v/>
      </c>
      <c r="AK27" s="42" t="str">
        <f ca="1">IF(AND('Riesgos de Gestión'!$Z$19="Media",'Riesgos de Gestión'!$AB$19="Catastrófico"),CONCATENATE("R2C",'Riesgos de Gestión'!$P$19),"")</f>
        <v/>
      </c>
      <c r="AL27" s="42" t="str">
        <f ca="1">IF(AND('Riesgos de Gestión'!$Z$20="Media",'Riesgos de Gestión'!$AB$20="Catastrófico"),CONCATENATE("R2C",'Riesgos de Gestión'!$P$20),"")</f>
        <v/>
      </c>
      <c r="AM27" s="43" t="str">
        <f ca="1">IF(AND('Riesgos de Gestión'!$Z$21="Media",'Riesgos de Gestión'!$AB$21="Catastrófico"),CONCATENATE("R2C",'Riesgos de Gestión'!$P$21),"")</f>
        <v/>
      </c>
      <c r="AN27" s="69"/>
      <c r="AO27" s="575"/>
      <c r="AP27" s="576"/>
      <c r="AQ27" s="576"/>
      <c r="AR27" s="576"/>
      <c r="AS27" s="576"/>
      <c r="AT27" s="577"/>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row>
    <row r="28" spans="1:76" ht="15" customHeight="1" x14ac:dyDescent="0.25">
      <c r="A28" s="69"/>
      <c r="B28" s="447"/>
      <c r="C28" s="447"/>
      <c r="D28" s="448"/>
      <c r="E28" s="546"/>
      <c r="F28" s="545"/>
      <c r="G28" s="545"/>
      <c r="H28" s="545"/>
      <c r="I28" s="561"/>
      <c r="J28" s="53" t="str">
        <f ca="1">IF(AND('Riesgos de Gestión'!$Z$22="Media",'Riesgos de Gestión'!$AB$22="Leve"),CONCATENATE("R3C",'Riesgos de Gestión'!$P$22),"")</f>
        <v/>
      </c>
      <c r="K28" s="54" t="str">
        <f ca="1">IF(AND('Riesgos de Gestión'!$Z$23="Media",'Riesgos de Gestión'!$AB$23="Leve"),CONCATENATE("R3C",'Riesgos de Gestión'!$P$23),"")</f>
        <v/>
      </c>
      <c r="L28" s="54" t="str">
        <f ca="1">IF(AND('Riesgos de Gestión'!$Z$24="Media",'Riesgos de Gestión'!$AB$24="Leve"),CONCATENATE("R3C",'Riesgos de Gestión'!$P$24),"")</f>
        <v/>
      </c>
      <c r="M28" s="54" t="str">
        <f ca="1">IF(AND('Riesgos de Gestión'!$Z$25="Media",'Riesgos de Gestión'!$AB$25="Leve"),CONCATENATE("R3C",'Riesgos de Gestión'!$P$25),"")</f>
        <v/>
      </c>
      <c r="N28" s="54" t="str">
        <f ca="1">IF(AND('Riesgos de Gestión'!$Z$26="Media",'Riesgos de Gestión'!$AB$26="Leve"),CONCATENATE("R3C",'Riesgos de Gestión'!$P$26),"")</f>
        <v/>
      </c>
      <c r="O28" s="55" t="str">
        <f ca="1">IF(AND('Riesgos de Gestión'!$Z$27="Media",'Riesgos de Gestión'!$AB$27="Leve"),CONCATENATE("R3C",'Riesgos de Gestión'!$P$27),"")</f>
        <v/>
      </c>
      <c r="P28" s="53" t="str">
        <f ca="1">IF(AND('Riesgos de Gestión'!$Z$22="Media",'Riesgos de Gestión'!$AB$22="Menor"),CONCATENATE("R3C",'Riesgos de Gestión'!$P$22),"")</f>
        <v/>
      </c>
      <c r="Q28" s="54" t="str">
        <f ca="1">IF(AND('Riesgos de Gestión'!$Z$23="Media",'Riesgos de Gestión'!$AB$23="Menor"),CONCATENATE("R3C",'Riesgos de Gestión'!$P$23),"")</f>
        <v/>
      </c>
      <c r="R28" s="54" t="str">
        <f ca="1">IF(AND('Riesgos de Gestión'!$Z$24="Media",'Riesgos de Gestión'!$AB$24="Menor"),CONCATENATE("R3C",'Riesgos de Gestión'!$P$24),"")</f>
        <v/>
      </c>
      <c r="S28" s="54" t="str">
        <f ca="1">IF(AND('Riesgos de Gestión'!$Z$25="Media",'Riesgos de Gestión'!$AB$25="Menor"),CONCATENATE("R3C",'Riesgos de Gestión'!$P$25),"")</f>
        <v/>
      </c>
      <c r="T28" s="54" t="str">
        <f ca="1">IF(AND('Riesgos de Gestión'!$Z$26="Media",'Riesgos de Gestión'!$AB$26="Menor"),CONCATENATE("R3C",'Riesgos de Gestión'!$P$26),"")</f>
        <v/>
      </c>
      <c r="U28" s="55" t="str">
        <f ca="1">IF(AND('Riesgos de Gestión'!$Z$27="Media",'Riesgos de Gestión'!$AB$27="Menor"),CONCATENATE("R3C",'Riesgos de Gestión'!$P$27),"")</f>
        <v/>
      </c>
      <c r="V28" s="53" t="str">
        <f ca="1">IF(AND('Riesgos de Gestión'!$Z$22="Media",'Riesgos de Gestión'!$AB$22="Moderado"),CONCATENATE("R3C",'Riesgos de Gestión'!$P$22),"")</f>
        <v/>
      </c>
      <c r="W28" s="54" t="str">
        <f ca="1">IF(AND('Riesgos de Gestión'!$Z$23="Media",'Riesgos de Gestión'!$AB$23="Moderado"),CONCATENATE("R3C",'Riesgos de Gestión'!$P$23),"")</f>
        <v/>
      </c>
      <c r="X28" s="54" t="str">
        <f ca="1">IF(AND('Riesgos de Gestión'!$Z$24="Media",'Riesgos de Gestión'!$AB$24="Moderado"),CONCATENATE("R3C",'Riesgos de Gestión'!$P$24),"")</f>
        <v/>
      </c>
      <c r="Y28" s="54" t="str">
        <f ca="1">IF(AND('Riesgos de Gestión'!$Z$25="Media",'Riesgos de Gestión'!$AB$25="Moderado"),CONCATENATE("R3C",'Riesgos de Gestión'!$P$25),"")</f>
        <v/>
      </c>
      <c r="Z28" s="54" t="str">
        <f ca="1">IF(AND('Riesgos de Gestión'!$Z$26="Media",'Riesgos de Gestión'!$AB$26="Moderado"),CONCATENATE("R3C",'Riesgos de Gestión'!$P$26),"")</f>
        <v/>
      </c>
      <c r="AA28" s="55" t="str">
        <f ca="1">IF(AND('Riesgos de Gestión'!$Z$27="Media",'Riesgos de Gestión'!$AB$27="Moderado"),CONCATENATE("R3C",'Riesgos de Gestión'!$P$27),"")</f>
        <v/>
      </c>
      <c r="AB28" s="38" t="str">
        <f ca="1">IF(AND('Riesgos de Gestión'!$Z$22="Media",'Riesgos de Gestión'!$AB$22="Mayor"),CONCATENATE("R3C",'Riesgos de Gestión'!$P$22),"")</f>
        <v/>
      </c>
      <c r="AC28" s="39" t="str">
        <f ca="1">IF(AND('Riesgos de Gestión'!$Z$23="Media",'Riesgos de Gestión'!$AB$23="Mayor"),CONCATENATE("R3C",'Riesgos de Gestión'!$P$23),"")</f>
        <v/>
      </c>
      <c r="AD28" s="39" t="str">
        <f ca="1">IF(AND('Riesgos de Gestión'!$Z$24="Media",'Riesgos de Gestión'!$AB$24="Mayor"),CONCATENATE("R3C",'Riesgos de Gestión'!$P$24),"")</f>
        <v/>
      </c>
      <c r="AE28" s="39" t="str">
        <f ca="1">IF(AND('Riesgos de Gestión'!$Z$25="Media",'Riesgos de Gestión'!$AB$25="Mayor"),CONCATENATE("R3C",'Riesgos de Gestión'!$P$25),"")</f>
        <v/>
      </c>
      <c r="AF28" s="39" t="str">
        <f ca="1">IF(AND('Riesgos de Gestión'!$Z$26="Media",'Riesgos de Gestión'!$AB$26="Mayor"),CONCATENATE("R3C",'Riesgos de Gestión'!$P$26),"")</f>
        <v/>
      </c>
      <c r="AG28" s="40" t="str">
        <f ca="1">IF(AND('Riesgos de Gestión'!$Z$27="Media",'Riesgos de Gestión'!$AB$27="Mayor"),CONCATENATE("R3C",'Riesgos de Gestión'!$P$27),"")</f>
        <v/>
      </c>
      <c r="AH28" s="41" t="str">
        <f ca="1">IF(AND('Riesgos de Gestión'!$Z$22="Media",'Riesgos de Gestión'!$AB$22="Catastrófico"),CONCATENATE("R3C",'Riesgos de Gestión'!$P$22),"")</f>
        <v/>
      </c>
      <c r="AI28" s="42" t="str">
        <f ca="1">IF(AND('Riesgos de Gestión'!$Z$23="Media",'Riesgos de Gestión'!$AB$23="Catastrófico"),CONCATENATE("R3C",'Riesgos de Gestión'!$P$23),"")</f>
        <v/>
      </c>
      <c r="AJ28" s="42" t="str">
        <f ca="1">IF(AND('Riesgos de Gestión'!$Z$24="Media",'Riesgos de Gestión'!$AB$24="Catastrófico"),CONCATENATE("R3C",'Riesgos de Gestión'!$P$24),"")</f>
        <v/>
      </c>
      <c r="AK28" s="42" t="str">
        <f ca="1">IF(AND('Riesgos de Gestión'!$Z$25="Media",'Riesgos de Gestión'!$AB$25="Catastrófico"),CONCATENATE("R3C",'Riesgos de Gestión'!$P$25),"")</f>
        <v/>
      </c>
      <c r="AL28" s="42" t="str">
        <f ca="1">IF(AND('Riesgos de Gestión'!$Z$26="Media",'Riesgos de Gestión'!$AB$26="Catastrófico"),CONCATENATE("R3C",'Riesgos de Gestión'!$P$26),"")</f>
        <v/>
      </c>
      <c r="AM28" s="43" t="str">
        <f ca="1">IF(AND('Riesgos de Gestión'!$Z$27="Media",'Riesgos de Gestión'!$AB$27="Catastrófico"),CONCATENATE("R3C",'Riesgos de Gestión'!$P$27),"")</f>
        <v/>
      </c>
      <c r="AN28" s="69"/>
      <c r="AO28" s="575"/>
      <c r="AP28" s="576"/>
      <c r="AQ28" s="576"/>
      <c r="AR28" s="576"/>
      <c r="AS28" s="576"/>
      <c r="AT28" s="577"/>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row>
    <row r="29" spans="1:76" ht="15" customHeight="1" x14ac:dyDescent="0.25">
      <c r="A29" s="69"/>
      <c r="B29" s="447"/>
      <c r="C29" s="447"/>
      <c r="D29" s="448"/>
      <c r="E29" s="546"/>
      <c r="F29" s="545"/>
      <c r="G29" s="545"/>
      <c r="H29" s="545"/>
      <c r="I29" s="561"/>
      <c r="J29" s="53" t="str">
        <f ca="1">IF(AND('Riesgos de Gestión'!$Z$28="Media",'Riesgos de Gestión'!$AB$28="Leve"),CONCATENATE("R4C",'Riesgos de Gestión'!$P$28),"")</f>
        <v/>
      </c>
      <c r="K29" s="54" t="str">
        <f ca="1">IF(AND('Riesgos de Gestión'!$Z$29="Media",'Riesgos de Gestión'!$AB$29="Leve"),CONCATENATE("R4C",'Riesgos de Gestión'!$P$29),"")</f>
        <v/>
      </c>
      <c r="L29" s="54" t="str">
        <f ca="1">IF(AND('Riesgos de Gestión'!$Z$30="Media",'Riesgos de Gestión'!$AB$30="Leve"),CONCATENATE("R4C",'Riesgos de Gestión'!$P$30),"")</f>
        <v/>
      </c>
      <c r="M29" s="54" t="str">
        <f ca="1">IF(AND('Riesgos de Gestión'!$Z$31="Media",'Riesgos de Gestión'!$AB$31="Leve"),CONCATENATE("R4C",'Riesgos de Gestión'!$P$31),"")</f>
        <v/>
      </c>
      <c r="N29" s="54" t="str">
        <f ca="1">IF(AND('Riesgos de Gestión'!$Z$32="Media",'Riesgos de Gestión'!$AB$32="Leve"),CONCATENATE("R4C",'Riesgos de Gestión'!$P$32),"")</f>
        <v/>
      </c>
      <c r="O29" s="55" t="str">
        <f ca="1">IF(AND('Riesgos de Gestión'!$Z$33="Media",'Riesgos de Gestión'!$AB$33="Leve"),CONCATENATE("R4C",'Riesgos de Gestión'!$P$33),"")</f>
        <v/>
      </c>
      <c r="P29" s="53" t="str">
        <f ca="1">IF(AND('Riesgos de Gestión'!$Z$28="Media",'Riesgos de Gestión'!$AB$28="Menor"),CONCATENATE("R4C",'Riesgos de Gestión'!$P$28),"")</f>
        <v/>
      </c>
      <c r="Q29" s="54" t="str">
        <f ca="1">IF(AND('Riesgos de Gestión'!$Z$29="Media",'Riesgos de Gestión'!$AB$29="Menor"),CONCATENATE("R4C",'Riesgos de Gestión'!$P$29),"")</f>
        <v/>
      </c>
      <c r="R29" s="54" t="str">
        <f ca="1">IF(AND('Riesgos de Gestión'!$Z$30="Media",'Riesgos de Gestión'!$AB$30="Menor"),CONCATENATE("R4C",'Riesgos de Gestión'!$P$30),"")</f>
        <v/>
      </c>
      <c r="S29" s="54" t="str">
        <f ca="1">IF(AND('Riesgos de Gestión'!$Z$31="Media",'Riesgos de Gestión'!$AB$31="Menor"),CONCATENATE("R4C",'Riesgos de Gestión'!$P$31),"")</f>
        <v/>
      </c>
      <c r="T29" s="54" t="str">
        <f ca="1">IF(AND('Riesgos de Gestión'!$Z$32="Media",'Riesgos de Gestión'!$AB$32="Menor"),CONCATENATE("R4C",'Riesgos de Gestión'!$P$32),"")</f>
        <v/>
      </c>
      <c r="U29" s="55" t="str">
        <f ca="1">IF(AND('Riesgos de Gestión'!$Z$33="Media",'Riesgos de Gestión'!$AB$33="Menor"),CONCATENATE("R4C",'Riesgos de Gestión'!$P$33),"")</f>
        <v/>
      </c>
      <c r="V29" s="53" t="str">
        <f ca="1">IF(AND('Riesgos de Gestión'!$Z$28="Media",'Riesgos de Gestión'!$AB$28="Moderado"),CONCATENATE("R4C",'Riesgos de Gestión'!$P$28),"")</f>
        <v/>
      </c>
      <c r="W29" s="54" t="str">
        <f ca="1">IF(AND('Riesgos de Gestión'!$Z$29="Media",'Riesgos de Gestión'!$AB$29="Moderado"),CONCATENATE("R4C",'Riesgos de Gestión'!$P$29),"")</f>
        <v>R4C1</v>
      </c>
      <c r="X29" s="54" t="str">
        <f ca="1">IF(AND('Riesgos de Gestión'!$Z$30="Media",'Riesgos de Gestión'!$AB$30="Moderado"),CONCATENATE("R4C",'Riesgos de Gestión'!$P$30),"")</f>
        <v/>
      </c>
      <c r="Y29" s="54" t="str">
        <f ca="1">IF(AND('Riesgos de Gestión'!$Z$31="Media",'Riesgos de Gestión'!$AB$31="Moderado"),CONCATENATE("R4C",'Riesgos de Gestión'!$P$31),"")</f>
        <v/>
      </c>
      <c r="Z29" s="54" t="str">
        <f ca="1">IF(AND('Riesgos de Gestión'!$Z$32="Media",'Riesgos de Gestión'!$AB$32="Moderado"),CONCATENATE("R4C",'Riesgos de Gestión'!$P$32),"")</f>
        <v/>
      </c>
      <c r="AA29" s="55" t="str">
        <f ca="1">IF(AND('Riesgos de Gestión'!$Z$33="Media",'Riesgos de Gestión'!$AB$33="Moderado"),CONCATENATE("R4C",'Riesgos de Gestión'!$P$33),"")</f>
        <v/>
      </c>
      <c r="AB29" s="38" t="str">
        <f ca="1">IF(AND('Riesgos de Gestión'!$Z$28="Media",'Riesgos de Gestión'!$AB$28="Mayor"),CONCATENATE("R4C",'Riesgos de Gestión'!$P$28),"")</f>
        <v/>
      </c>
      <c r="AC29" s="39" t="str">
        <f ca="1">IF(AND('Riesgos de Gestión'!$Z$29="Media",'Riesgos de Gestión'!$AB$29="Mayor"),CONCATENATE("R4C",'Riesgos de Gestión'!$P$29),"")</f>
        <v/>
      </c>
      <c r="AD29" s="39" t="str">
        <f ca="1">IF(AND('Riesgos de Gestión'!$Z$30="Media",'Riesgos de Gestión'!$AB$30="Mayor"),CONCATENATE("R4C",'Riesgos de Gestión'!$P$30),"")</f>
        <v/>
      </c>
      <c r="AE29" s="39" t="str">
        <f ca="1">IF(AND('Riesgos de Gestión'!$Z$31="Media",'Riesgos de Gestión'!$AB$31="Mayor"),CONCATENATE("R4C",'Riesgos de Gestión'!$P$31),"")</f>
        <v/>
      </c>
      <c r="AF29" s="39" t="str">
        <f ca="1">IF(AND('Riesgos de Gestión'!$Z$32="Media",'Riesgos de Gestión'!$AB$32="Mayor"),CONCATENATE("R4C",'Riesgos de Gestión'!$P$32),"")</f>
        <v/>
      </c>
      <c r="AG29" s="40" t="str">
        <f ca="1">IF(AND('Riesgos de Gestión'!$Z$33="Media",'Riesgos de Gestión'!$AB$33="Mayor"),CONCATENATE("R4C",'Riesgos de Gestión'!$P$33),"")</f>
        <v/>
      </c>
      <c r="AH29" s="41" t="str">
        <f ca="1">IF(AND('Riesgos de Gestión'!$Z$28="Media",'Riesgos de Gestión'!$AB$28="Catastrófico"),CONCATENATE("R4C",'Riesgos de Gestión'!$P$28),"")</f>
        <v/>
      </c>
      <c r="AI29" s="42" t="str">
        <f ca="1">IF(AND('Riesgos de Gestión'!$Z$29="Media",'Riesgos de Gestión'!$AB$29="Catastrófico"),CONCATENATE("R4C",'Riesgos de Gestión'!$P$29),"")</f>
        <v/>
      </c>
      <c r="AJ29" s="42" t="str">
        <f ca="1">IF(AND('Riesgos de Gestión'!$Z$30="Media",'Riesgos de Gestión'!$AB$30="Catastrófico"),CONCATENATE("R4C",'Riesgos de Gestión'!$P$30),"")</f>
        <v/>
      </c>
      <c r="AK29" s="42" t="str">
        <f ca="1">IF(AND('Riesgos de Gestión'!$Z$31="Media",'Riesgos de Gestión'!$AB$31="Catastrófico"),CONCATENATE("R4C",'Riesgos de Gestión'!$P$31),"")</f>
        <v/>
      </c>
      <c r="AL29" s="42" t="str">
        <f ca="1">IF(AND('Riesgos de Gestión'!$Z$32="Media",'Riesgos de Gestión'!$AB$32="Catastrófico"),CONCATENATE("R4C",'Riesgos de Gestión'!$P$32),"")</f>
        <v/>
      </c>
      <c r="AM29" s="43" t="str">
        <f ca="1">IF(AND('Riesgos de Gestión'!$Z$33="Media",'Riesgos de Gestión'!$AB$33="Catastrófico"),CONCATENATE("R4C",'Riesgos de Gestión'!$P$33),"")</f>
        <v/>
      </c>
      <c r="AN29" s="69"/>
      <c r="AO29" s="575"/>
      <c r="AP29" s="576"/>
      <c r="AQ29" s="576"/>
      <c r="AR29" s="576"/>
      <c r="AS29" s="576"/>
      <c r="AT29" s="577"/>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row>
    <row r="30" spans="1:76" ht="15" customHeight="1" x14ac:dyDescent="0.25">
      <c r="A30" s="69"/>
      <c r="B30" s="447"/>
      <c r="C30" s="447"/>
      <c r="D30" s="448"/>
      <c r="E30" s="546"/>
      <c r="F30" s="545"/>
      <c r="G30" s="545"/>
      <c r="H30" s="545"/>
      <c r="I30" s="561"/>
      <c r="J30" s="53" t="str">
        <f ca="1">IF(AND('Riesgos de Gestión'!$Z$34="Media",'Riesgos de Gestión'!$AB$34="Leve"),CONCATENATE("R5C",'Riesgos de Gestión'!$P$34),"")</f>
        <v/>
      </c>
      <c r="K30" s="54" t="str">
        <f ca="1">IF(AND('Riesgos de Gestión'!$Z$35="Media",'Riesgos de Gestión'!$AB$35="Leve"),CONCATENATE("R5C",'Riesgos de Gestión'!$P$35),"")</f>
        <v/>
      </c>
      <c r="L30" s="54" t="str">
        <f ca="1">IF(AND('Riesgos de Gestión'!$Z$36="Media",'Riesgos de Gestión'!$AB$36="Leve"),CONCATENATE("R5C",'Riesgos de Gestión'!$P$36),"")</f>
        <v/>
      </c>
      <c r="M30" s="54" t="str">
        <f ca="1">IF(AND('Riesgos de Gestión'!$Z$37="Media",'Riesgos de Gestión'!$AB$37="Leve"),CONCATENATE("R5C",'Riesgos de Gestión'!$P$37),"")</f>
        <v/>
      </c>
      <c r="N30" s="54" t="str">
        <f ca="1">IF(AND('Riesgos de Gestión'!$Z$38="Media",'Riesgos de Gestión'!$AB$38="Leve"),CONCATENATE("R5C",'Riesgos de Gestión'!$P$38),"")</f>
        <v/>
      </c>
      <c r="O30" s="55" t="str">
        <f ca="1">IF(AND('Riesgos de Gestión'!$Z$39="Media",'Riesgos de Gestión'!$AB$39="Leve"),CONCATENATE("R5C",'Riesgos de Gestión'!$P$39),"")</f>
        <v/>
      </c>
      <c r="P30" s="53" t="str">
        <f ca="1">IF(AND('Riesgos de Gestión'!$Z$34="Media",'Riesgos de Gestión'!$AB$34="Menor"),CONCATENATE("R5C",'Riesgos de Gestión'!$P$34),"")</f>
        <v/>
      </c>
      <c r="Q30" s="54" t="str">
        <f ca="1">IF(AND('Riesgos de Gestión'!$Z$35="Media",'Riesgos de Gestión'!$AB$35="Menor"),CONCATENATE("R5C",'Riesgos de Gestión'!$P$35),"")</f>
        <v/>
      </c>
      <c r="R30" s="54" t="str">
        <f ca="1">IF(AND('Riesgos de Gestión'!$Z$36="Media",'Riesgos de Gestión'!$AB$36="Menor"),CONCATENATE("R5C",'Riesgos de Gestión'!$P$36),"")</f>
        <v/>
      </c>
      <c r="S30" s="54" t="str">
        <f ca="1">IF(AND('Riesgos de Gestión'!$Z$37="Media",'Riesgos de Gestión'!$AB$37="Menor"),CONCATENATE("R5C",'Riesgos de Gestión'!$P$37),"")</f>
        <v/>
      </c>
      <c r="T30" s="54" t="str">
        <f ca="1">IF(AND('Riesgos de Gestión'!$Z$38="Media",'Riesgos de Gestión'!$AB$38="Menor"),CONCATENATE("R5C",'Riesgos de Gestión'!$P$38),"")</f>
        <v/>
      </c>
      <c r="U30" s="55" t="str">
        <f ca="1">IF(AND('Riesgos de Gestión'!$Z$39="Media",'Riesgos de Gestión'!$AB$39="Menor"),CONCATENATE("R5C",'Riesgos de Gestión'!$P$39),"")</f>
        <v/>
      </c>
      <c r="V30" s="53" t="str">
        <f ca="1">IF(AND('Riesgos de Gestión'!$Z$34="Media",'Riesgos de Gestión'!$AB$34="Moderado"),CONCATENATE("R5C",'Riesgos de Gestión'!$P$34),"")</f>
        <v/>
      </c>
      <c r="W30" s="54" t="str">
        <f ca="1">IF(AND('Riesgos de Gestión'!$Z$35="Media",'Riesgos de Gestión'!$AB$35="Moderado"),CONCATENATE("R5C",'Riesgos de Gestión'!$P$35),"")</f>
        <v/>
      </c>
      <c r="X30" s="54" t="str">
        <f ca="1">IF(AND('Riesgos de Gestión'!$Z$36="Media",'Riesgos de Gestión'!$AB$36="Moderado"),CONCATENATE("R5C",'Riesgos de Gestión'!$P$36),"")</f>
        <v>R5C1</v>
      </c>
      <c r="Y30" s="54" t="str">
        <f ca="1">IF(AND('Riesgos de Gestión'!$Z$37="Media",'Riesgos de Gestión'!$AB$37="Moderado"),CONCATENATE("R5C",'Riesgos de Gestión'!$P$37),"")</f>
        <v>R5C2</v>
      </c>
      <c r="Z30" s="54" t="str">
        <f ca="1">IF(AND('Riesgos de Gestión'!$Z$38="Media",'Riesgos de Gestión'!$AB$38="Moderado"),CONCATENATE("R5C",'Riesgos de Gestión'!$P$38),"")</f>
        <v>R5C1</v>
      </c>
      <c r="AA30" s="55" t="str">
        <f ca="1">IF(AND('Riesgos de Gestión'!$Z$39="Media",'Riesgos de Gestión'!$AB$39="Moderado"),CONCATENATE("R5C",'Riesgos de Gestión'!$P$39),"")</f>
        <v/>
      </c>
      <c r="AB30" s="38" t="str">
        <f ca="1">IF(AND('Riesgos de Gestión'!$Z$34="Media",'Riesgos de Gestión'!$AB$34="Mayor"),CONCATENATE("R5C",'Riesgos de Gestión'!$P$34),"")</f>
        <v/>
      </c>
      <c r="AC30" s="39" t="str">
        <f ca="1">IF(AND('Riesgos de Gestión'!$Z$35="Media",'Riesgos de Gestión'!$AB$35="Mayor"),CONCATENATE("R5C",'Riesgos de Gestión'!$P$35),"")</f>
        <v/>
      </c>
      <c r="AD30" s="39" t="str">
        <f ca="1">IF(AND('Riesgos de Gestión'!$Z$36="Media",'Riesgos de Gestión'!$AB$36="Mayor"),CONCATENATE("R5C",'Riesgos de Gestión'!$P$36),"")</f>
        <v/>
      </c>
      <c r="AE30" s="39" t="str">
        <f ca="1">IF(AND('Riesgos de Gestión'!$Z$37="Media",'Riesgos de Gestión'!$AB$37="Mayor"),CONCATENATE("R5C",'Riesgos de Gestión'!$P$37),"")</f>
        <v/>
      </c>
      <c r="AF30" s="39" t="str">
        <f ca="1">IF(AND('Riesgos de Gestión'!$Z$38="Media",'Riesgos de Gestión'!$AB$38="Mayor"),CONCATENATE("R5C",'Riesgos de Gestión'!$P$38),"")</f>
        <v/>
      </c>
      <c r="AG30" s="40" t="str">
        <f ca="1">IF(AND('Riesgos de Gestión'!$Z$39="Media",'Riesgos de Gestión'!$AB$39="Mayor"),CONCATENATE("R5C",'Riesgos de Gestión'!$P$39),"")</f>
        <v/>
      </c>
      <c r="AH30" s="41" t="str">
        <f ca="1">IF(AND('Riesgos de Gestión'!$Z$34="Media",'Riesgos de Gestión'!$AB$34="Catastrófico"),CONCATENATE("R5C",'Riesgos de Gestión'!$P$34),"")</f>
        <v/>
      </c>
      <c r="AI30" s="42" t="str">
        <f ca="1">IF(AND('Riesgos de Gestión'!$Z$35="Media",'Riesgos de Gestión'!$AB$35="Catastrófico"),CONCATENATE("R5C",'Riesgos de Gestión'!$P$35),"")</f>
        <v/>
      </c>
      <c r="AJ30" s="42" t="str">
        <f ca="1">IF(AND('Riesgos de Gestión'!$Z$36="Media",'Riesgos de Gestión'!$AB$36="Catastrófico"),CONCATENATE("R5C",'Riesgos de Gestión'!$P$36),"")</f>
        <v/>
      </c>
      <c r="AK30" s="42" t="str">
        <f ca="1">IF(AND('Riesgos de Gestión'!$Z$37="Media",'Riesgos de Gestión'!$AB$37="Catastrófico"),CONCATENATE("R5C",'Riesgos de Gestión'!$P$37),"")</f>
        <v/>
      </c>
      <c r="AL30" s="42" t="str">
        <f ca="1">IF(AND('Riesgos de Gestión'!$Z$38="Media",'Riesgos de Gestión'!$AB$38="Catastrófico"),CONCATENATE("R5C",'Riesgos de Gestión'!$P$38),"")</f>
        <v/>
      </c>
      <c r="AM30" s="43" t="str">
        <f ca="1">IF(AND('Riesgos de Gestión'!$Z$39="Media",'Riesgos de Gestión'!$AB$39="Catastrófico"),CONCATENATE("R5C",'Riesgos de Gestión'!$P$39),"")</f>
        <v/>
      </c>
      <c r="AN30" s="69"/>
      <c r="AO30" s="575"/>
      <c r="AP30" s="576"/>
      <c r="AQ30" s="576"/>
      <c r="AR30" s="576"/>
      <c r="AS30" s="576"/>
      <c r="AT30" s="577"/>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row>
    <row r="31" spans="1:76" ht="15" customHeight="1" x14ac:dyDescent="0.25">
      <c r="A31" s="69"/>
      <c r="B31" s="447"/>
      <c r="C31" s="447"/>
      <c r="D31" s="448"/>
      <c r="E31" s="546"/>
      <c r="F31" s="545"/>
      <c r="G31" s="545"/>
      <c r="H31" s="545"/>
      <c r="I31" s="561"/>
      <c r="J31" s="53" t="str">
        <f ca="1">IF(AND('Riesgos de Gestión'!$Z$40="Media",'Riesgos de Gestión'!$AB$40="Leve"),CONCATENATE("R6C",'Riesgos de Gestión'!$P$40),"")</f>
        <v/>
      </c>
      <c r="K31" s="54" t="str">
        <f ca="1">IF(AND('Riesgos de Gestión'!$Z$41="Media",'Riesgos de Gestión'!$AB$41="Leve"),CONCATENATE("R6C",'Riesgos de Gestión'!$P$41),"")</f>
        <v/>
      </c>
      <c r="L31" s="54" t="str">
        <f ca="1">IF(AND('Riesgos de Gestión'!$Z$42="Media",'Riesgos de Gestión'!$AB$42="Leve"),CONCATENATE("R6C",'Riesgos de Gestión'!$P$42),"")</f>
        <v/>
      </c>
      <c r="M31" s="54" t="str">
        <f ca="1">IF(AND('Riesgos de Gestión'!$Z$43="Media",'Riesgos de Gestión'!$AB$43="Leve"),CONCATENATE("R6C",'Riesgos de Gestión'!$P$43),"")</f>
        <v/>
      </c>
      <c r="N31" s="54" t="str">
        <f ca="1">IF(AND('Riesgos de Gestión'!$Z$44="Media",'Riesgos de Gestión'!$AB$44="Leve"),CONCATENATE("R6C",'Riesgos de Gestión'!$P$44),"")</f>
        <v/>
      </c>
      <c r="O31" s="55" t="str">
        <f ca="1">IF(AND('Riesgos de Gestión'!$Z$45="Media",'Riesgos de Gestión'!$AB$45="Leve"),CONCATENATE("R6C",'Riesgos de Gestión'!$P$45),"")</f>
        <v/>
      </c>
      <c r="P31" s="53" t="str">
        <f ca="1">IF(AND('Riesgos de Gestión'!$Z$40="Media",'Riesgos de Gestión'!$AB$40="Menor"),CONCATENATE("R6C",'Riesgos de Gestión'!$P$40),"")</f>
        <v/>
      </c>
      <c r="Q31" s="54" t="str">
        <f ca="1">IF(AND('Riesgos de Gestión'!$Z$41="Media",'Riesgos de Gestión'!$AB$41="Menor"),CONCATENATE("R6C",'Riesgos de Gestión'!$P$41),"")</f>
        <v/>
      </c>
      <c r="R31" s="54" t="str">
        <f ca="1">IF(AND('Riesgos de Gestión'!$Z$42="Media",'Riesgos de Gestión'!$AB$42="Menor"),CONCATENATE("R6C",'Riesgos de Gestión'!$P$42),"")</f>
        <v/>
      </c>
      <c r="S31" s="54" t="str">
        <f ca="1">IF(AND('Riesgos de Gestión'!$Z$43="Media",'Riesgos de Gestión'!$AB$43="Menor"),CONCATENATE("R6C",'Riesgos de Gestión'!$P$43),"")</f>
        <v/>
      </c>
      <c r="T31" s="54" t="str">
        <f ca="1">IF(AND('Riesgos de Gestión'!$Z$44="Media",'Riesgos de Gestión'!$AB$44="Menor"),CONCATENATE("R6C",'Riesgos de Gestión'!$P$44),"")</f>
        <v/>
      </c>
      <c r="U31" s="55" t="str">
        <f ca="1">IF(AND('Riesgos de Gestión'!$Z$45="Media",'Riesgos de Gestión'!$AB$45="Menor"),CONCATENATE("R6C",'Riesgos de Gestión'!$P$45),"")</f>
        <v/>
      </c>
      <c r="V31" s="53" t="str">
        <f ca="1">IF(AND('Riesgos de Gestión'!$Z$40="Media",'Riesgos de Gestión'!$AB$40="Moderado"),CONCATENATE("R6C",'Riesgos de Gestión'!$P$40),"")</f>
        <v/>
      </c>
      <c r="W31" s="54" t="str">
        <f ca="1">IF(AND('Riesgos de Gestión'!$Z$41="Media",'Riesgos de Gestión'!$AB$41="Moderado"),CONCATENATE("R6C",'Riesgos de Gestión'!$P$41),"")</f>
        <v/>
      </c>
      <c r="X31" s="54" t="str">
        <f ca="1">IF(AND('Riesgos de Gestión'!$Z$42="Media",'Riesgos de Gestión'!$AB$42="Moderado"),CONCATENATE("R6C",'Riesgos de Gestión'!$P$42),"")</f>
        <v/>
      </c>
      <c r="Y31" s="54" t="str">
        <f ca="1">IF(AND('Riesgos de Gestión'!$Z$43="Media",'Riesgos de Gestión'!$AB$43="Moderado"),CONCATENATE("R6C",'Riesgos de Gestión'!$P$43),"")</f>
        <v/>
      </c>
      <c r="Z31" s="54" t="str">
        <f ca="1">IF(AND('Riesgos de Gestión'!$Z$44="Media",'Riesgos de Gestión'!$AB$44="Moderado"),CONCATENATE("R6C",'Riesgos de Gestión'!$P$44),"")</f>
        <v/>
      </c>
      <c r="AA31" s="55" t="str">
        <f ca="1">IF(AND('Riesgos de Gestión'!$Z$45="Media",'Riesgos de Gestión'!$AB$45="Moderado"),CONCATENATE("R6C",'Riesgos de Gestión'!$P$45),"")</f>
        <v/>
      </c>
      <c r="AB31" s="38" t="str">
        <f ca="1">IF(AND('Riesgos de Gestión'!$Z$40="Media",'Riesgos de Gestión'!$AB$40="Mayor"),CONCATENATE("R6C",'Riesgos de Gestión'!$P$40),"")</f>
        <v/>
      </c>
      <c r="AC31" s="39" t="str">
        <f ca="1">IF(AND('Riesgos de Gestión'!$Z$41="Media",'Riesgos de Gestión'!$AB$41="Mayor"),CONCATENATE("R6C",'Riesgos de Gestión'!$P$41),"")</f>
        <v/>
      </c>
      <c r="AD31" s="39" t="str">
        <f ca="1">IF(AND('Riesgos de Gestión'!$Z$42="Media",'Riesgos de Gestión'!$AB$42="Mayor"),CONCATENATE("R6C",'Riesgos de Gestión'!$P$42),"")</f>
        <v/>
      </c>
      <c r="AE31" s="39" t="str">
        <f ca="1">IF(AND('Riesgos de Gestión'!$Z$43="Media",'Riesgos de Gestión'!$AB$43="Mayor"),CONCATENATE("R6C",'Riesgos de Gestión'!$P$43),"")</f>
        <v/>
      </c>
      <c r="AF31" s="39" t="str">
        <f ca="1">IF(AND('Riesgos de Gestión'!$Z$44="Media",'Riesgos de Gestión'!$AB$44="Mayor"),CONCATENATE("R6C",'Riesgos de Gestión'!$P$44),"")</f>
        <v/>
      </c>
      <c r="AG31" s="40" t="str">
        <f ca="1">IF(AND('Riesgos de Gestión'!$Z$45="Media",'Riesgos de Gestión'!$AB$45="Mayor"),CONCATENATE("R6C",'Riesgos de Gestión'!$P$45),"")</f>
        <v/>
      </c>
      <c r="AH31" s="41" t="str">
        <f ca="1">IF(AND('Riesgos de Gestión'!$Z$40="Media",'Riesgos de Gestión'!$AB$40="Catastrófico"),CONCATENATE("R6C",'Riesgos de Gestión'!$P$40),"")</f>
        <v/>
      </c>
      <c r="AI31" s="42" t="str">
        <f ca="1">IF(AND('Riesgos de Gestión'!$Z$41="Media",'Riesgos de Gestión'!$AB$41="Catastrófico"),CONCATENATE("R6C",'Riesgos de Gestión'!$P$41),"")</f>
        <v/>
      </c>
      <c r="AJ31" s="42" t="str">
        <f ca="1">IF(AND('Riesgos de Gestión'!$Z$42="Media",'Riesgos de Gestión'!$AB$42="Catastrófico"),CONCATENATE("R6C",'Riesgos de Gestión'!$P$42),"")</f>
        <v/>
      </c>
      <c r="AK31" s="42" t="str">
        <f ca="1">IF(AND('Riesgos de Gestión'!$Z$43="Media",'Riesgos de Gestión'!$AB$43="Catastrófico"),CONCATENATE("R6C",'Riesgos de Gestión'!$P$43),"")</f>
        <v/>
      </c>
      <c r="AL31" s="42" t="str">
        <f ca="1">IF(AND('Riesgos de Gestión'!$Z$44="Media",'Riesgos de Gestión'!$AB$44="Catastrófico"),CONCATENATE("R6C",'Riesgos de Gestión'!$P$44),"")</f>
        <v/>
      </c>
      <c r="AM31" s="43" t="str">
        <f ca="1">IF(AND('Riesgos de Gestión'!$Z$45="Media",'Riesgos de Gestión'!$AB$45="Catastrófico"),CONCATENATE("R6C",'Riesgos de Gestión'!$P$45),"")</f>
        <v/>
      </c>
      <c r="AN31" s="69"/>
      <c r="AO31" s="575"/>
      <c r="AP31" s="576"/>
      <c r="AQ31" s="576"/>
      <c r="AR31" s="576"/>
      <c r="AS31" s="576"/>
      <c r="AT31" s="577"/>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row>
    <row r="32" spans="1:76" ht="15" customHeight="1" x14ac:dyDescent="0.25">
      <c r="A32" s="69"/>
      <c r="B32" s="447"/>
      <c r="C32" s="447"/>
      <c r="D32" s="448"/>
      <c r="E32" s="546"/>
      <c r="F32" s="545"/>
      <c r="G32" s="545"/>
      <c r="H32" s="545"/>
      <c r="I32" s="561"/>
      <c r="J32" s="53" t="str">
        <f ca="1">IF(AND('Riesgos de Gestión'!$Z$46="Media",'Riesgos de Gestión'!$AB$46="Leve"),CONCATENATE("R7C",'Riesgos de Gestión'!$P$46),"")</f>
        <v/>
      </c>
      <c r="K32" s="54" t="str">
        <f ca="1">IF(AND('Riesgos de Gestión'!$Z$47="Media",'Riesgos de Gestión'!$AB$47="Leve"),CONCATENATE("R7C",'Riesgos de Gestión'!$P$47),"")</f>
        <v/>
      </c>
      <c r="L32" s="54" t="str">
        <f ca="1">IF(AND('Riesgos de Gestión'!$Z$48="Media",'Riesgos de Gestión'!$AB$48="Leve"),CONCATENATE("R7C",'Riesgos de Gestión'!$P$48),"")</f>
        <v/>
      </c>
      <c r="M32" s="54" t="str">
        <f ca="1">IF(AND('Riesgos de Gestión'!$Z$49="Media",'Riesgos de Gestión'!$AB$49="Leve"),CONCATENATE("R7C",'Riesgos de Gestión'!$P$49),"")</f>
        <v/>
      </c>
      <c r="N32" s="54" t="str">
        <f ca="1">IF(AND('Riesgos de Gestión'!$Z$50="Media",'Riesgos de Gestión'!$AB$50="Leve"),CONCATENATE("R7C",'Riesgos de Gestión'!$P$50),"")</f>
        <v/>
      </c>
      <c r="O32" s="55" t="str">
        <f ca="1">IF(AND('Riesgos de Gestión'!$Z$51="Media",'Riesgos de Gestión'!$AB$51="Leve"),CONCATENATE("R7C",'Riesgos de Gestión'!$P$51),"")</f>
        <v/>
      </c>
      <c r="P32" s="53" t="str">
        <f ca="1">IF(AND('Riesgos de Gestión'!$Z$46="Media",'Riesgos de Gestión'!$AB$46="Menor"),CONCATENATE("R7C",'Riesgos de Gestión'!$P$46),"")</f>
        <v/>
      </c>
      <c r="Q32" s="54" t="str">
        <f ca="1">IF(AND('Riesgos de Gestión'!$Z$47="Media",'Riesgos de Gestión'!$AB$47="Menor"),CONCATENATE("R7C",'Riesgos de Gestión'!$P$47),"")</f>
        <v/>
      </c>
      <c r="R32" s="54" t="str">
        <f ca="1">IF(AND('Riesgos de Gestión'!$Z$48="Media",'Riesgos de Gestión'!$AB$48="Menor"),CONCATENATE("R7C",'Riesgos de Gestión'!$P$48),"")</f>
        <v>R7C1</v>
      </c>
      <c r="S32" s="54" t="str">
        <f ca="1">IF(AND('Riesgos de Gestión'!$Z$49="Media",'Riesgos de Gestión'!$AB$49="Menor"),CONCATENATE("R7C",'Riesgos de Gestión'!$P$49),"")</f>
        <v/>
      </c>
      <c r="T32" s="54" t="str">
        <f ca="1">IF(AND('Riesgos de Gestión'!$Z$50="Media",'Riesgos de Gestión'!$AB$50="Menor"),CONCATENATE("R7C",'Riesgos de Gestión'!$P$50),"")</f>
        <v/>
      </c>
      <c r="U32" s="55" t="str">
        <f ca="1">IF(AND('Riesgos de Gestión'!$Z$51="Media",'Riesgos de Gestión'!$AB$51="Menor"),CONCATENATE("R7C",'Riesgos de Gestión'!$P$51),"")</f>
        <v/>
      </c>
      <c r="V32" s="53" t="str">
        <f ca="1">IF(AND('Riesgos de Gestión'!$Z$46="Media",'Riesgos de Gestión'!$AB$46="Moderado"),CONCATENATE("R7C",'Riesgos de Gestión'!$P$46),"")</f>
        <v/>
      </c>
      <c r="W32" s="54" t="str">
        <f ca="1">IF(AND('Riesgos de Gestión'!$Z$47="Media",'Riesgos de Gestión'!$AB$47="Moderado"),CONCATENATE("R7C",'Riesgos de Gestión'!$P$47),"")</f>
        <v/>
      </c>
      <c r="X32" s="54" t="str">
        <f ca="1">IF(AND('Riesgos de Gestión'!$Z$48="Media",'Riesgos de Gestión'!$AB$48="Moderado"),CONCATENATE("R7C",'Riesgos de Gestión'!$P$48),"")</f>
        <v/>
      </c>
      <c r="Y32" s="54" t="str">
        <f ca="1">IF(AND('Riesgos de Gestión'!$Z$49="Media",'Riesgos de Gestión'!$AB$49="Moderado"),CONCATENATE("R7C",'Riesgos de Gestión'!$P$49),"")</f>
        <v/>
      </c>
      <c r="Z32" s="54" t="str">
        <f ca="1">IF(AND('Riesgos de Gestión'!$Z$50="Media",'Riesgos de Gestión'!$AB$50="Moderado"),CONCATENATE("R7C",'Riesgos de Gestión'!$P$50),"")</f>
        <v/>
      </c>
      <c r="AA32" s="55" t="str">
        <f ca="1">IF(AND('Riesgos de Gestión'!$Z$51="Media",'Riesgos de Gestión'!$AB$51="Moderado"),CONCATENATE("R7C",'Riesgos de Gestión'!$P$51),"")</f>
        <v/>
      </c>
      <c r="AB32" s="38" t="str">
        <f ca="1">IF(AND('Riesgos de Gestión'!$Z$46="Media",'Riesgos de Gestión'!$AB$46="Mayor"),CONCATENATE("R7C",'Riesgos de Gestión'!$P$46),"")</f>
        <v/>
      </c>
      <c r="AC32" s="39" t="str">
        <f ca="1">IF(AND('Riesgos de Gestión'!$Z$47="Media",'Riesgos de Gestión'!$AB$47="Mayor"),CONCATENATE("R7C",'Riesgos de Gestión'!$P$47),"")</f>
        <v/>
      </c>
      <c r="AD32" s="39" t="str">
        <f ca="1">IF(AND('Riesgos de Gestión'!$Z$48="Media",'Riesgos de Gestión'!$AB$48="Mayor"),CONCATENATE("R7C",'Riesgos de Gestión'!$P$48),"")</f>
        <v/>
      </c>
      <c r="AE32" s="39" t="str">
        <f ca="1">IF(AND('Riesgos de Gestión'!$Z$49="Media",'Riesgos de Gestión'!$AB$49="Mayor"),CONCATENATE("R7C",'Riesgos de Gestión'!$P$49),"")</f>
        <v/>
      </c>
      <c r="AF32" s="39" t="str">
        <f ca="1">IF(AND('Riesgos de Gestión'!$Z$50="Media",'Riesgos de Gestión'!$AB$50="Mayor"),CONCATENATE("R7C",'Riesgos de Gestión'!$P$50),"")</f>
        <v/>
      </c>
      <c r="AG32" s="40" t="str">
        <f ca="1">IF(AND('Riesgos de Gestión'!$Z$51="Media",'Riesgos de Gestión'!$AB$51="Mayor"),CONCATENATE("R7C",'Riesgos de Gestión'!$P$51),"")</f>
        <v/>
      </c>
      <c r="AH32" s="41" t="str">
        <f ca="1">IF(AND('Riesgos de Gestión'!$Z$46="Media",'Riesgos de Gestión'!$AB$46="Catastrófico"),CONCATENATE("R7C",'Riesgos de Gestión'!$P$46),"")</f>
        <v/>
      </c>
      <c r="AI32" s="42" t="str">
        <f ca="1">IF(AND('Riesgos de Gestión'!$Z$47="Media",'Riesgos de Gestión'!$AB$47="Catastrófico"),CONCATENATE("R7C",'Riesgos de Gestión'!$P$47),"")</f>
        <v/>
      </c>
      <c r="AJ32" s="42" t="str">
        <f ca="1">IF(AND('Riesgos de Gestión'!$Z$48="Media",'Riesgos de Gestión'!$AB$48="Catastrófico"),CONCATENATE("R7C",'Riesgos de Gestión'!$P$48),"")</f>
        <v/>
      </c>
      <c r="AK32" s="42" t="str">
        <f ca="1">IF(AND('Riesgos de Gestión'!$Z$49="Media",'Riesgos de Gestión'!$AB$49="Catastrófico"),CONCATENATE("R7C",'Riesgos de Gestión'!$P$49),"")</f>
        <v/>
      </c>
      <c r="AL32" s="42" t="str">
        <f ca="1">IF(AND('Riesgos de Gestión'!$Z$50="Media",'Riesgos de Gestión'!$AB$50="Catastrófico"),CONCATENATE("R7C",'Riesgos de Gestión'!$P$50),"")</f>
        <v/>
      </c>
      <c r="AM32" s="43" t="str">
        <f ca="1">IF(AND('Riesgos de Gestión'!$Z$51="Media",'Riesgos de Gestión'!$AB$51="Catastrófico"),CONCATENATE("R7C",'Riesgos de Gestión'!$P$51),"")</f>
        <v/>
      </c>
      <c r="AN32" s="69"/>
      <c r="AO32" s="575"/>
      <c r="AP32" s="576"/>
      <c r="AQ32" s="576"/>
      <c r="AR32" s="576"/>
      <c r="AS32" s="576"/>
      <c r="AT32" s="577"/>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row>
    <row r="33" spans="1:80" ht="15" customHeight="1" x14ac:dyDescent="0.25">
      <c r="A33" s="69"/>
      <c r="B33" s="447"/>
      <c r="C33" s="447"/>
      <c r="D33" s="448"/>
      <c r="E33" s="546"/>
      <c r="F33" s="545"/>
      <c r="G33" s="545"/>
      <c r="H33" s="545"/>
      <c r="I33" s="561"/>
      <c r="J33" s="53" t="str">
        <f ca="1">IF(AND('Riesgos de Gestión'!$Z$52="Media",'Riesgos de Gestión'!$AB$52="Leve"),CONCATENATE("R8C",'Riesgos de Gestión'!$P$52),"")</f>
        <v/>
      </c>
      <c r="K33" s="54" t="str">
        <f>IF(AND('Riesgos de Gestión'!$Z$53="Media",'Riesgos de Gestión'!$AB$53="Leve"),CONCATENATE("R8C",'Riesgos de Gestión'!$P$53),"")</f>
        <v/>
      </c>
      <c r="L33" s="54" t="str">
        <f>IF(AND('Riesgos de Gestión'!$Z$54="Media",'Riesgos de Gestión'!$AB$54="Leve"),CONCATENATE("R8C",'Riesgos de Gestión'!$P$54),"")</f>
        <v/>
      </c>
      <c r="M33" s="54" t="str">
        <f>IF(AND('Riesgos de Gestión'!$Z$55="Media",'Riesgos de Gestión'!$AB$55="Leve"),CONCATENATE("R8C",'Riesgos de Gestión'!$P$55),"")</f>
        <v/>
      </c>
      <c r="N33" s="54" t="str">
        <f>IF(AND('Riesgos de Gestión'!$Z$56="Media",'Riesgos de Gestión'!$AB$56="Leve"),CONCATENATE("R8C",'Riesgos de Gestión'!$P$56),"")</f>
        <v/>
      </c>
      <c r="O33" s="55" t="str">
        <f>IF(AND('Riesgos de Gestión'!$Z$57="Media",'Riesgos de Gestión'!$AB$57="Leve"),CONCATENATE("R8C",'Riesgos de Gestión'!$P$57),"")</f>
        <v/>
      </c>
      <c r="P33" s="53" t="str">
        <f ca="1">IF(AND('Riesgos de Gestión'!$Z$52="Media",'Riesgos de Gestión'!$AB$52="Menor"),CONCATENATE("R8C",'Riesgos de Gestión'!$P$52),"")</f>
        <v/>
      </c>
      <c r="Q33" s="54" t="str">
        <f>IF(AND('Riesgos de Gestión'!$Z$53="Media",'Riesgos de Gestión'!$AB$53="Menor"),CONCATENATE("R8C",'Riesgos de Gestión'!$P$53),"")</f>
        <v/>
      </c>
      <c r="R33" s="54" t="str">
        <f>IF(AND('Riesgos de Gestión'!$Z$54="Media",'Riesgos de Gestión'!$AB$54="Menor"),CONCATENATE("R8C",'Riesgos de Gestión'!$P$54),"")</f>
        <v/>
      </c>
      <c r="S33" s="54" t="str">
        <f>IF(AND('Riesgos de Gestión'!$Z$55="Media",'Riesgos de Gestión'!$AB$55="Menor"),CONCATENATE("R8C",'Riesgos de Gestión'!$P$55),"")</f>
        <v/>
      </c>
      <c r="T33" s="54" t="str">
        <f>IF(AND('Riesgos de Gestión'!$Z$56="Media",'Riesgos de Gestión'!$AB$56="Menor"),CONCATENATE("R8C",'Riesgos de Gestión'!$P$56),"")</f>
        <v/>
      </c>
      <c r="U33" s="55" t="str">
        <f>IF(AND('Riesgos de Gestión'!$Z$57="Media",'Riesgos de Gestión'!$AB$57="Menor"),CONCATENATE("R8C",'Riesgos de Gestión'!$P$57),"")</f>
        <v/>
      </c>
      <c r="V33" s="53" t="str">
        <f ca="1">IF(AND('Riesgos de Gestión'!$Z$52="Media",'Riesgos de Gestión'!$AB$52="Moderado"),CONCATENATE("R8C",'Riesgos de Gestión'!$P$52),"")</f>
        <v/>
      </c>
      <c r="W33" s="54" t="str">
        <f>IF(AND('Riesgos de Gestión'!$Z$53="Media",'Riesgos de Gestión'!$AB$53="Moderado"),CONCATENATE("R8C",'Riesgos de Gestión'!$P$53),"")</f>
        <v/>
      </c>
      <c r="X33" s="54" t="str">
        <f>IF(AND('Riesgos de Gestión'!$Z$54="Media",'Riesgos de Gestión'!$AB$54="Moderado"),CONCATENATE("R8C",'Riesgos de Gestión'!$P$54),"")</f>
        <v/>
      </c>
      <c r="Y33" s="54" t="str">
        <f>IF(AND('Riesgos de Gestión'!$Z$55="Media",'Riesgos de Gestión'!$AB$55="Moderado"),CONCATENATE("R8C",'Riesgos de Gestión'!$P$55),"")</f>
        <v/>
      </c>
      <c r="Z33" s="54" t="str">
        <f>IF(AND('Riesgos de Gestión'!$Z$56="Media",'Riesgos de Gestión'!$AB$56="Moderado"),CONCATENATE("R8C",'Riesgos de Gestión'!$P$56),"")</f>
        <v/>
      </c>
      <c r="AA33" s="55" t="str">
        <f>IF(AND('Riesgos de Gestión'!$Z$57="Media",'Riesgos de Gestión'!$AB$57="Moderado"),CONCATENATE("R8C",'Riesgos de Gestión'!$P$57),"")</f>
        <v/>
      </c>
      <c r="AB33" s="38" t="str">
        <f ca="1">IF(AND('Riesgos de Gestión'!$Z$52="Media",'Riesgos de Gestión'!$AB$52="Mayor"),CONCATENATE("R8C",'Riesgos de Gestión'!$P$52),"")</f>
        <v/>
      </c>
      <c r="AC33" s="39" t="str">
        <f>IF(AND('Riesgos de Gestión'!$Z$53="Media",'Riesgos de Gestión'!$AB$53="Mayor"),CONCATENATE("R8C",'Riesgos de Gestión'!$P$53),"")</f>
        <v/>
      </c>
      <c r="AD33" s="39" t="str">
        <f>IF(AND('Riesgos de Gestión'!$Z$54="Media",'Riesgos de Gestión'!$AB$54="Mayor"),CONCATENATE("R8C",'Riesgos de Gestión'!$P$54),"")</f>
        <v/>
      </c>
      <c r="AE33" s="39" t="str">
        <f>IF(AND('Riesgos de Gestión'!$Z$55="Media",'Riesgos de Gestión'!$AB$55="Mayor"),CONCATENATE("R8C",'Riesgos de Gestión'!$P$55),"")</f>
        <v/>
      </c>
      <c r="AF33" s="39" t="str">
        <f>IF(AND('Riesgos de Gestión'!$Z$56="Media",'Riesgos de Gestión'!$AB$56="Mayor"),CONCATENATE("R8C",'Riesgos de Gestión'!$P$56),"")</f>
        <v/>
      </c>
      <c r="AG33" s="40" t="str">
        <f>IF(AND('Riesgos de Gestión'!$Z$57="Media",'Riesgos de Gestión'!$AB$57="Mayor"),CONCATENATE("R8C",'Riesgos de Gestión'!$P$57),"")</f>
        <v/>
      </c>
      <c r="AH33" s="41" t="str">
        <f ca="1">IF(AND('Riesgos de Gestión'!$Z$52="Media",'Riesgos de Gestión'!$AB$52="Catastrófico"),CONCATENATE("R8C",'Riesgos de Gestión'!$P$52),"")</f>
        <v/>
      </c>
      <c r="AI33" s="42" t="str">
        <f>IF(AND('Riesgos de Gestión'!$Z$53="Media",'Riesgos de Gestión'!$AB$53="Catastrófico"),CONCATENATE("R8C",'Riesgos de Gestión'!$P$53),"")</f>
        <v/>
      </c>
      <c r="AJ33" s="42" t="str">
        <f>IF(AND('Riesgos de Gestión'!$Z$54="Media",'Riesgos de Gestión'!$AB$54="Catastrófico"),CONCATENATE("R8C",'Riesgos de Gestión'!$P$54),"")</f>
        <v/>
      </c>
      <c r="AK33" s="42" t="str">
        <f>IF(AND('Riesgos de Gestión'!$Z$55="Media",'Riesgos de Gestión'!$AB$55="Catastrófico"),CONCATENATE("R8C",'Riesgos de Gestión'!$P$55),"")</f>
        <v/>
      </c>
      <c r="AL33" s="42" t="str">
        <f>IF(AND('Riesgos de Gestión'!$Z$56="Media",'Riesgos de Gestión'!$AB$56="Catastrófico"),CONCATENATE("R8C",'Riesgos de Gestión'!$P$56),"")</f>
        <v/>
      </c>
      <c r="AM33" s="43" t="str">
        <f>IF(AND('Riesgos de Gestión'!$Z$57="Media",'Riesgos de Gestión'!$AB$57="Catastrófico"),CONCATENATE("R8C",'Riesgos de Gestión'!$P$57),"")</f>
        <v/>
      </c>
      <c r="AN33" s="69"/>
      <c r="AO33" s="575"/>
      <c r="AP33" s="576"/>
      <c r="AQ33" s="576"/>
      <c r="AR33" s="576"/>
      <c r="AS33" s="576"/>
      <c r="AT33" s="577"/>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row>
    <row r="34" spans="1:80" ht="15" customHeight="1" x14ac:dyDescent="0.25">
      <c r="A34" s="69"/>
      <c r="B34" s="447"/>
      <c r="C34" s="447"/>
      <c r="D34" s="448"/>
      <c r="E34" s="546"/>
      <c r="F34" s="545"/>
      <c r="G34" s="545"/>
      <c r="H34" s="545"/>
      <c r="I34" s="561"/>
      <c r="J34" s="53" t="str">
        <f>IF(AND('Riesgos de Gestión'!$Z$58="Media",'Riesgos de Gestión'!$AB$58="Leve"),CONCATENATE("R9C",'Riesgos de Gestión'!$P$58),"")</f>
        <v/>
      </c>
      <c r="K34" s="54" t="str">
        <f>IF(AND('Riesgos de Gestión'!$Z$59="Media",'Riesgos de Gestión'!$AB$59="Leve"),CONCATENATE("R9C",'Riesgos de Gestión'!$P$59),"")</f>
        <v/>
      </c>
      <c r="L34" s="54" t="str">
        <f>IF(AND('Riesgos de Gestión'!$Z$60="Media",'Riesgos de Gestión'!$AB$60="Leve"),CONCATENATE("R9C",'Riesgos de Gestión'!$P$60),"")</f>
        <v/>
      </c>
      <c r="M34" s="54" t="str">
        <f>IF(AND('Riesgos de Gestión'!$Z$61="Media",'Riesgos de Gestión'!$AB$61="Leve"),CONCATENATE("R9C",'Riesgos de Gestión'!$P$61),"")</f>
        <v/>
      </c>
      <c r="N34" s="54" t="str">
        <f>IF(AND('Riesgos de Gestión'!$Z$62="Media",'Riesgos de Gestión'!$AB$62="Leve"),CONCATENATE("R9C",'Riesgos de Gestión'!$P$62),"")</f>
        <v/>
      </c>
      <c r="O34" s="55" t="str">
        <f>IF(AND('Riesgos de Gestión'!$Z$63="Media",'Riesgos de Gestión'!$AB$63="Leve"),CONCATENATE("R9C",'Riesgos de Gestión'!$P$63),"")</f>
        <v/>
      </c>
      <c r="P34" s="53" t="str">
        <f>IF(AND('Riesgos de Gestión'!$Z$58="Media",'Riesgos de Gestión'!$AB$58="Menor"),CONCATENATE("R9C",'Riesgos de Gestión'!$P$58),"")</f>
        <v/>
      </c>
      <c r="Q34" s="54" t="str">
        <f>IF(AND('Riesgos de Gestión'!$Z$59="Media",'Riesgos de Gestión'!$AB$59="Menor"),CONCATENATE("R9C",'Riesgos de Gestión'!$P$59),"")</f>
        <v/>
      </c>
      <c r="R34" s="54" t="str">
        <f>IF(AND('Riesgos de Gestión'!$Z$60="Media",'Riesgos de Gestión'!$AB$60="Menor"),CONCATENATE("R9C",'Riesgos de Gestión'!$P$60),"")</f>
        <v/>
      </c>
      <c r="S34" s="54" t="str">
        <f>IF(AND('Riesgos de Gestión'!$Z$61="Media",'Riesgos de Gestión'!$AB$61="Menor"),CONCATENATE("R9C",'Riesgos de Gestión'!$P$61),"")</f>
        <v/>
      </c>
      <c r="T34" s="54" t="str">
        <f>IF(AND('Riesgos de Gestión'!$Z$62="Media",'Riesgos de Gestión'!$AB$62="Menor"),CONCATENATE("R9C",'Riesgos de Gestión'!$P$62),"")</f>
        <v/>
      </c>
      <c r="U34" s="55" t="str">
        <f>IF(AND('Riesgos de Gestión'!$Z$63="Media",'Riesgos de Gestión'!$AB$63="Menor"),CONCATENATE("R9C",'Riesgos de Gestión'!$P$63),"")</f>
        <v/>
      </c>
      <c r="V34" s="53" t="str">
        <f>IF(AND('Riesgos de Gestión'!$Z$58="Media",'Riesgos de Gestión'!$AB$58="Moderado"),CONCATENATE("R9C",'Riesgos de Gestión'!$P$58),"")</f>
        <v/>
      </c>
      <c r="W34" s="54" t="str">
        <f>IF(AND('Riesgos de Gestión'!$Z$59="Media",'Riesgos de Gestión'!$AB$59="Moderado"),CONCATENATE("R9C",'Riesgos de Gestión'!$P$59),"")</f>
        <v/>
      </c>
      <c r="X34" s="54" t="str">
        <f>IF(AND('Riesgos de Gestión'!$Z$60="Media",'Riesgos de Gestión'!$AB$60="Moderado"),CONCATENATE("R9C",'Riesgos de Gestión'!$P$60),"")</f>
        <v/>
      </c>
      <c r="Y34" s="54" t="str">
        <f>IF(AND('Riesgos de Gestión'!$Z$61="Media",'Riesgos de Gestión'!$AB$61="Moderado"),CONCATENATE("R9C",'Riesgos de Gestión'!$P$61),"")</f>
        <v/>
      </c>
      <c r="Z34" s="54" t="str">
        <f>IF(AND('Riesgos de Gestión'!$Z$62="Media",'Riesgos de Gestión'!$AB$62="Moderado"),CONCATENATE("R9C",'Riesgos de Gestión'!$P$62),"")</f>
        <v/>
      </c>
      <c r="AA34" s="55" t="str">
        <f>IF(AND('Riesgos de Gestión'!$Z$63="Media",'Riesgos de Gestión'!$AB$63="Moderado"),CONCATENATE("R9C",'Riesgos de Gestión'!$P$63),"")</f>
        <v/>
      </c>
      <c r="AB34" s="38" t="str">
        <f>IF(AND('Riesgos de Gestión'!$Z$58="Media",'Riesgos de Gestión'!$AB$58="Mayor"),CONCATENATE("R9C",'Riesgos de Gestión'!$P$58),"")</f>
        <v/>
      </c>
      <c r="AC34" s="39" t="str">
        <f>IF(AND('Riesgos de Gestión'!$Z$59="Media",'Riesgos de Gestión'!$AB$59="Mayor"),CONCATENATE("R9C",'Riesgos de Gestión'!$P$59),"")</f>
        <v/>
      </c>
      <c r="AD34" s="39" t="str">
        <f>IF(AND('Riesgos de Gestión'!$Z$60="Media",'Riesgos de Gestión'!$AB$60="Mayor"),CONCATENATE("R9C",'Riesgos de Gestión'!$P$60),"")</f>
        <v/>
      </c>
      <c r="AE34" s="39" t="str">
        <f>IF(AND('Riesgos de Gestión'!$Z$61="Media",'Riesgos de Gestión'!$AB$61="Mayor"),CONCATENATE("R9C",'Riesgos de Gestión'!$P$61),"")</f>
        <v/>
      </c>
      <c r="AF34" s="39" t="str">
        <f>IF(AND('Riesgos de Gestión'!$Z$62="Media",'Riesgos de Gestión'!$AB$62="Mayor"),CONCATENATE("R9C",'Riesgos de Gestión'!$P$62),"")</f>
        <v/>
      </c>
      <c r="AG34" s="40" t="str">
        <f>IF(AND('Riesgos de Gestión'!$Z$63="Media",'Riesgos de Gestión'!$AB$63="Mayor"),CONCATENATE("R9C",'Riesgos de Gestión'!$P$63),"")</f>
        <v/>
      </c>
      <c r="AH34" s="41" t="str">
        <f>IF(AND('Riesgos de Gestión'!$Z$58="Media",'Riesgos de Gestión'!$AB$58="Catastrófico"),CONCATENATE("R9C",'Riesgos de Gestión'!$P$58),"")</f>
        <v/>
      </c>
      <c r="AI34" s="42" t="str">
        <f>IF(AND('Riesgos de Gestión'!$Z$59="Media",'Riesgos de Gestión'!$AB$59="Catastrófico"),CONCATENATE("R9C",'Riesgos de Gestión'!$P$59),"")</f>
        <v/>
      </c>
      <c r="AJ34" s="42" t="str">
        <f>IF(AND('Riesgos de Gestión'!$Z$60="Media",'Riesgos de Gestión'!$AB$60="Catastrófico"),CONCATENATE("R9C",'Riesgos de Gestión'!$P$60),"")</f>
        <v/>
      </c>
      <c r="AK34" s="42" t="str">
        <f>IF(AND('Riesgos de Gestión'!$Z$61="Media",'Riesgos de Gestión'!$AB$61="Catastrófico"),CONCATENATE("R9C",'Riesgos de Gestión'!$P$61),"")</f>
        <v/>
      </c>
      <c r="AL34" s="42" t="str">
        <f>IF(AND('Riesgos de Gestión'!$Z$62="Media",'Riesgos de Gestión'!$AB$62="Catastrófico"),CONCATENATE("R9C",'Riesgos de Gestión'!$P$62),"")</f>
        <v/>
      </c>
      <c r="AM34" s="43" t="str">
        <f>IF(AND('Riesgos de Gestión'!$Z$63="Media",'Riesgos de Gestión'!$AB$63="Catastrófico"),CONCATENATE("R9C",'Riesgos de Gestión'!$P$63),"")</f>
        <v/>
      </c>
      <c r="AN34" s="69"/>
      <c r="AO34" s="575"/>
      <c r="AP34" s="576"/>
      <c r="AQ34" s="576"/>
      <c r="AR34" s="576"/>
      <c r="AS34" s="576"/>
      <c r="AT34" s="577"/>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row>
    <row r="35" spans="1:80" ht="15.75" customHeight="1" thickBot="1" x14ac:dyDescent="0.3">
      <c r="A35" s="69"/>
      <c r="B35" s="447"/>
      <c r="C35" s="447"/>
      <c r="D35" s="448"/>
      <c r="E35" s="547"/>
      <c r="F35" s="548"/>
      <c r="G35" s="548"/>
      <c r="H35" s="548"/>
      <c r="I35" s="562"/>
      <c r="J35" s="53" t="str">
        <f>IF(AND('Riesgos de Gestión'!$Z$64="Media",'Riesgos de Gestión'!$AB$64="Leve"),CONCATENATE("R10C",'Riesgos de Gestión'!$P$64),"")</f>
        <v/>
      </c>
      <c r="K35" s="54" t="str">
        <f>IF(AND('Riesgos de Gestión'!$Z$65="Media",'Riesgos de Gestión'!$AB$65="Leve"),CONCATENATE("R10C",'Riesgos de Gestión'!$P$65),"")</f>
        <v/>
      </c>
      <c r="L35" s="54" t="str">
        <f>IF(AND('Riesgos de Gestión'!$Z$66="Media",'Riesgos de Gestión'!$AB$66="Leve"),CONCATENATE("R10C",'Riesgos de Gestión'!$P$66),"")</f>
        <v/>
      </c>
      <c r="M35" s="54" t="str">
        <f>IF(AND('Riesgos de Gestión'!$Z$67="Media",'Riesgos de Gestión'!$AB$67="Leve"),CONCATENATE("R10C",'Riesgos de Gestión'!$P$67),"")</f>
        <v/>
      </c>
      <c r="N35" s="54" t="str">
        <f>IF(AND('Riesgos de Gestión'!$Z$68="Media",'Riesgos de Gestión'!$AB$68="Leve"),CONCATENATE("R10C",'Riesgos de Gestión'!$P$68),"")</f>
        <v/>
      </c>
      <c r="O35" s="55" t="str">
        <f>IF(AND('Riesgos de Gestión'!$Z$69="Media",'Riesgos de Gestión'!$AB$69="Leve"),CONCATENATE("R10C",'Riesgos de Gestión'!$P$69),"")</f>
        <v/>
      </c>
      <c r="P35" s="53" t="str">
        <f>IF(AND('Riesgos de Gestión'!$Z$64="Media",'Riesgos de Gestión'!$AB$64="Menor"),CONCATENATE("R10C",'Riesgos de Gestión'!$P$64),"")</f>
        <v/>
      </c>
      <c r="Q35" s="54" t="str">
        <f>IF(AND('Riesgos de Gestión'!$Z$65="Media",'Riesgos de Gestión'!$AB$65="Menor"),CONCATENATE("R10C",'Riesgos de Gestión'!$P$65),"")</f>
        <v/>
      </c>
      <c r="R35" s="54" t="str">
        <f>IF(AND('Riesgos de Gestión'!$Z$66="Media",'Riesgos de Gestión'!$AB$66="Menor"),CONCATENATE("R10C",'Riesgos de Gestión'!$P$66),"")</f>
        <v/>
      </c>
      <c r="S35" s="54" t="str">
        <f>IF(AND('Riesgos de Gestión'!$Z$67="Media",'Riesgos de Gestión'!$AB$67="Menor"),CONCATENATE("R10C",'Riesgos de Gestión'!$P$67),"")</f>
        <v/>
      </c>
      <c r="T35" s="54" t="str">
        <f>IF(AND('Riesgos de Gestión'!$Z$68="Media",'Riesgos de Gestión'!$AB$68="Menor"),CONCATENATE("R10C",'Riesgos de Gestión'!$P$68),"")</f>
        <v/>
      </c>
      <c r="U35" s="55" t="str">
        <f>IF(AND('Riesgos de Gestión'!$Z$69="Media",'Riesgos de Gestión'!$AB$69="Menor"),CONCATENATE("R10C",'Riesgos de Gestión'!$P$69),"")</f>
        <v/>
      </c>
      <c r="V35" s="53" t="str">
        <f>IF(AND('Riesgos de Gestión'!$Z$64="Media",'Riesgos de Gestión'!$AB$64="Moderado"),CONCATENATE("R10C",'Riesgos de Gestión'!$P$64),"")</f>
        <v/>
      </c>
      <c r="W35" s="54" t="str">
        <f>IF(AND('Riesgos de Gestión'!$Z$65="Media",'Riesgos de Gestión'!$AB$65="Moderado"),CONCATENATE("R10C",'Riesgos de Gestión'!$P$65),"")</f>
        <v/>
      </c>
      <c r="X35" s="54" t="str">
        <f>IF(AND('Riesgos de Gestión'!$Z$66="Media",'Riesgos de Gestión'!$AB$66="Moderado"),CONCATENATE("R10C",'Riesgos de Gestión'!$P$66),"")</f>
        <v/>
      </c>
      <c r="Y35" s="54" t="str">
        <f>IF(AND('Riesgos de Gestión'!$Z$67="Media",'Riesgos de Gestión'!$AB$67="Moderado"),CONCATENATE("R10C",'Riesgos de Gestión'!$P$67),"")</f>
        <v/>
      </c>
      <c r="Z35" s="54" t="str">
        <f>IF(AND('Riesgos de Gestión'!$Z$68="Media",'Riesgos de Gestión'!$AB$68="Moderado"),CONCATENATE("R10C",'Riesgos de Gestión'!$P$68),"")</f>
        <v/>
      </c>
      <c r="AA35" s="55" t="str">
        <f>IF(AND('Riesgos de Gestión'!$Z$69="Media",'Riesgos de Gestión'!$AB$69="Moderado"),CONCATENATE("R10C",'Riesgos de Gestión'!$P$69),"")</f>
        <v/>
      </c>
      <c r="AB35" s="44" t="str">
        <f>IF(AND('Riesgos de Gestión'!$Z$64="Media",'Riesgos de Gestión'!$AB$64="Mayor"),CONCATENATE("R10C",'Riesgos de Gestión'!$P$64),"")</f>
        <v/>
      </c>
      <c r="AC35" s="45" t="str">
        <f>IF(AND('Riesgos de Gestión'!$Z$65="Media",'Riesgos de Gestión'!$AB$65="Mayor"),CONCATENATE("R10C",'Riesgos de Gestión'!$P$65),"")</f>
        <v/>
      </c>
      <c r="AD35" s="45" t="str">
        <f>IF(AND('Riesgos de Gestión'!$Z$66="Media",'Riesgos de Gestión'!$AB$66="Mayor"),CONCATENATE("R10C",'Riesgos de Gestión'!$P$66),"")</f>
        <v/>
      </c>
      <c r="AE35" s="45" t="str">
        <f>IF(AND('Riesgos de Gestión'!$Z$67="Media",'Riesgos de Gestión'!$AB$67="Mayor"),CONCATENATE("R10C",'Riesgos de Gestión'!$P$67),"")</f>
        <v/>
      </c>
      <c r="AF35" s="45" t="str">
        <f>IF(AND('Riesgos de Gestión'!$Z$68="Media",'Riesgos de Gestión'!$AB$68="Mayor"),CONCATENATE("R10C",'Riesgos de Gestión'!$P$68),"")</f>
        <v/>
      </c>
      <c r="AG35" s="46" t="str">
        <f>IF(AND('Riesgos de Gestión'!$Z$69="Media",'Riesgos de Gestión'!$AB$69="Mayor"),CONCATENATE("R10C",'Riesgos de Gestión'!$P$69),"")</f>
        <v/>
      </c>
      <c r="AH35" s="47" t="str">
        <f>IF(AND('Riesgos de Gestión'!$Z$64="Media",'Riesgos de Gestión'!$AB$64="Catastrófico"),CONCATENATE("R10C",'Riesgos de Gestión'!$P$64),"")</f>
        <v/>
      </c>
      <c r="AI35" s="48" t="str">
        <f>IF(AND('Riesgos de Gestión'!$Z$65="Media",'Riesgos de Gestión'!$AB$65="Catastrófico"),CONCATENATE("R10C",'Riesgos de Gestión'!$P$65),"")</f>
        <v/>
      </c>
      <c r="AJ35" s="48" t="str">
        <f>IF(AND('Riesgos de Gestión'!$Z$66="Media",'Riesgos de Gestión'!$AB$66="Catastrófico"),CONCATENATE("R10C",'Riesgos de Gestión'!$P$66),"")</f>
        <v/>
      </c>
      <c r="AK35" s="48" t="str">
        <f>IF(AND('Riesgos de Gestión'!$Z$67="Media",'Riesgos de Gestión'!$AB$67="Catastrófico"),CONCATENATE("R10C",'Riesgos de Gestión'!$P$67),"")</f>
        <v/>
      </c>
      <c r="AL35" s="48" t="str">
        <f>IF(AND('Riesgos de Gestión'!$Z$68="Media",'Riesgos de Gestión'!$AB$68="Catastrófico"),CONCATENATE("R10C",'Riesgos de Gestión'!$P$68),"")</f>
        <v/>
      </c>
      <c r="AM35" s="49" t="str">
        <f>IF(AND('Riesgos de Gestión'!$Z$69="Media",'Riesgos de Gestión'!$AB$69="Catastrófico"),CONCATENATE("R10C",'Riesgos de Gestión'!$P$69),"")</f>
        <v/>
      </c>
      <c r="AN35" s="69"/>
      <c r="AO35" s="578"/>
      <c r="AP35" s="579"/>
      <c r="AQ35" s="579"/>
      <c r="AR35" s="579"/>
      <c r="AS35" s="579"/>
      <c r="AT35" s="580"/>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row>
    <row r="36" spans="1:80" ht="15" customHeight="1" x14ac:dyDescent="0.25">
      <c r="A36" s="69"/>
      <c r="B36" s="447"/>
      <c r="C36" s="447"/>
      <c r="D36" s="448"/>
      <c r="E36" s="542" t="s">
        <v>113</v>
      </c>
      <c r="F36" s="543"/>
      <c r="G36" s="543"/>
      <c r="H36" s="543"/>
      <c r="I36" s="543"/>
      <c r="J36" s="59" t="str">
        <f ca="1">IF(AND('Riesgos de Gestión'!$Z$10="Baja",'Riesgos de Gestión'!$AB$10="Leve"),CONCATENATE("R1C",'Riesgos de Gestión'!$P$10),"")</f>
        <v/>
      </c>
      <c r="K36" s="60" t="str">
        <f ca="1">IF(AND('Riesgos de Gestión'!$Z$11="Baja",'Riesgos de Gestión'!$AB$11="Leve"),CONCATENATE("R1C",'Riesgos de Gestión'!$P$11),"")</f>
        <v/>
      </c>
      <c r="L36" s="60" t="str">
        <f ca="1">IF(AND('Riesgos de Gestión'!$Z$12="Baja",'Riesgos de Gestión'!$AB$12="Leve"),CONCATENATE("R1C",'Riesgos de Gestión'!$P$12),"")</f>
        <v/>
      </c>
      <c r="M36" s="60" t="str">
        <f ca="1">IF(AND('Riesgos de Gestión'!$Z$13="Baja",'Riesgos de Gestión'!$AB$13="Leve"),CONCATENATE("R1C",'Riesgos de Gestión'!$P$13),"")</f>
        <v/>
      </c>
      <c r="N36" s="60" t="str">
        <f ca="1">IF(AND('Riesgos de Gestión'!$Z$14="Baja",'Riesgos de Gestión'!$AB$14="Leve"),CONCATENATE("R1C",'Riesgos de Gestión'!$P$14),"")</f>
        <v/>
      </c>
      <c r="O36" s="61" t="str">
        <f ca="1">IF(AND('Riesgos de Gestión'!$Z$15="Baja",'Riesgos de Gestión'!$AB$15="Leve"),CONCATENATE("R1C",'Riesgos de Gestión'!$P$15),"")</f>
        <v/>
      </c>
      <c r="P36" s="50" t="str">
        <f ca="1">IF(AND('Riesgos de Gestión'!$Z$10="Baja",'Riesgos de Gestión'!$AB$10="Menor"),CONCATENATE("R1C",'Riesgos de Gestión'!$P$10),"")</f>
        <v/>
      </c>
      <c r="Q36" s="51" t="str">
        <f ca="1">IF(AND('Riesgos de Gestión'!$Z$11="Baja",'Riesgos de Gestión'!$AB$11="Menor"),CONCATENATE("R1C",'Riesgos de Gestión'!$P$11),"")</f>
        <v/>
      </c>
      <c r="R36" s="51" t="str">
        <f ca="1">IF(AND('Riesgos de Gestión'!$Z$12="Baja",'Riesgos de Gestión'!$AB$12="Menor"),CONCATENATE("R1C",'Riesgos de Gestión'!$P$12),"")</f>
        <v/>
      </c>
      <c r="S36" s="51" t="str">
        <f ca="1">IF(AND('Riesgos de Gestión'!$Z$13="Baja",'Riesgos de Gestión'!$AB$13="Menor"),CONCATENATE("R1C",'Riesgos de Gestión'!$P$13),"")</f>
        <v>R1C1</v>
      </c>
      <c r="T36" s="51" t="str">
        <f ca="1">IF(AND('Riesgos de Gestión'!$Z$14="Baja",'Riesgos de Gestión'!$AB$14="Menor"),CONCATENATE("R1C",'Riesgos de Gestión'!$P$14),"")</f>
        <v>R1C2</v>
      </c>
      <c r="U36" s="52" t="str">
        <f ca="1">IF(AND('Riesgos de Gestión'!$Z$15="Baja",'Riesgos de Gestión'!$AB$15="Menor"),CONCATENATE("R1C",'Riesgos de Gestión'!$P$15),"")</f>
        <v/>
      </c>
      <c r="V36" s="50" t="str">
        <f ca="1">IF(AND('Riesgos de Gestión'!$Z$10="Baja",'Riesgos de Gestión'!$AB$10="Moderado"),CONCATENATE("R1C",'Riesgos de Gestión'!$P$10),"")</f>
        <v/>
      </c>
      <c r="W36" s="51" t="str">
        <f ca="1">IF(AND('Riesgos de Gestión'!$Z$11="Baja",'Riesgos de Gestión'!$AB$11="Moderado"),CONCATENATE("R1C",'Riesgos de Gestión'!$P$11),"")</f>
        <v/>
      </c>
      <c r="X36" s="51" t="str">
        <f ca="1">IF(AND('Riesgos de Gestión'!$Z$12="Baja",'Riesgos de Gestión'!$AB$12="Moderado"),CONCATENATE("R1C",'Riesgos de Gestión'!$P$12),"")</f>
        <v/>
      </c>
      <c r="Y36" s="51" t="str">
        <f ca="1">IF(AND('Riesgos de Gestión'!$Z$13="Baja",'Riesgos de Gestión'!$AB$13="Moderado"),CONCATENATE("R1C",'Riesgos de Gestión'!$P$13),"")</f>
        <v/>
      </c>
      <c r="Z36" s="51" t="str">
        <f ca="1">IF(AND('Riesgos de Gestión'!$Z$14="Baja",'Riesgos de Gestión'!$AB$14="Moderado"),CONCATENATE("R1C",'Riesgos de Gestión'!$P$14),"")</f>
        <v/>
      </c>
      <c r="AA36" s="52" t="str">
        <f ca="1">IF(AND('Riesgos de Gestión'!$Z$15="Baja",'Riesgos de Gestión'!$AB$15="Moderado"),CONCATENATE("R1C",'Riesgos de Gestión'!$P$15),"")</f>
        <v/>
      </c>
      <c r="AB36" s="32" t="str">
        <f ca="1">IF(AND('Riesgos de Gestión'!$Z$10="Baja",'Riesgos de Gestión'!$AB$10="Mayor"),CONCATENATE("R1C",'Riesgos de Gestión'!$P$10),"")</f>
        <v/>
      </c>
      <c r="AC36" s="33" t="str">
        <f ca="1">IF(AND('Riesgos de Gestión'!$Z$11="Baja",'Riesgos de Gestión'!$AB$11="Mayor"),CONCATENATE("R1C",'Riesgos de Gestión'!$P$11),"")</f>
        <v/>
      </c>
      <c r="AD36" s="33" t="str">
        <f ca="1">IF(AND('Riesgos de Gestión'!$Z$12="Baja",'Riesgos de Gestión'!$AB$12="Mayor"),CONCATENATE("R1C",'Riesgos de Gestión'!$P$12),"")</f>
        <v/>
      </c>
      <c r="AE36" s="33" t="str">
        <f ca="1">IF(AND('Riesgos de Gestión'!$Z$13="Baja",'Riesgos de Gestión'!$AB$13="Mayor"),CONCATENATE("R1C",'Riesgos de Gestión'!$P$13),"")</f>
        <v/>
      </c>
      <c r="AF36" s="33" t="str">
        <f ca="1">IF(AND('Riesgos de Gestión'!$Z$14="Baja",'Riesgos de Gestión'!$AB$14="Mayor"),CONCATENATE("R1C",'Riesgos de Gestión'!$P$14),"")</f>
        <v/>
      </c>
      <c r="AG36" s="34" t="str">
        <f ca="1">IF(AND('Riesgos de Gestión'!$Z$15="Baja",'Riesgos de Gestión'!$AB$15="Mayor"),CONCATENATE("R1C",'Riesgos de Gestión'!$P$15),"")</f>
        <v/>
      </c>
      <c r="AH36" s="35" t="str">
        <f ca="1">IF(AND('Riesgos de Gestión'!$Z$10="Baja",'Riesgos de Gestión'!$AB$10="Catastrófico"),CONCATENATE("R1C",'Riesgos de Gestión'!$P$10),"")</f>
        <v/>
      </c>
      <c r="AI36" s="36" t="str">
        <f ca="1">IF(AND('Riesgos de Gestión'!$Z$11="Baja",'Riesgos de Gestión'!$AB$11="Catastrófico"),CONCATENATE("R1C",'Riesgos de Gestión'!$P$11),"")</f>
        <v/>
      </c>
      <c r="AJ36" s="36" t="str">
        <f ca="1">IF(AND('Riesgos de Gestión'!$Z$12="Baja",'Riesgos de Gestión'!$AB$12="Catastrófico"),CONCATENATE("R1C",'Riesgos de Gestión'!$P$12),"")</f>
        <v/>
      </c>
      <c r="AK36" s="36" t="str">
        <f ca="1">IF(AND('Riesgos de Gestión'!$Z$13="Baja",'Riesgos de Gestión'!$AB$13="Catastrófico"),CONCATENATE("R1C",'Riesgos de Gestión'!$P$13),"")</f>
        <v/>
      </c>
      <c r="AL36" s="36" t="str">
        <f ca="1">IF(AND('Riesgos de Gestión'!$Z$14="Baja",'Riesgos de Gestión'!$AB$14="Catastrófico"),CONCATENATE("R1C",'Riesgos de Gestión'!$P$14),"")</f>
        <v/>
      </c>
      <c r="AM36" s="37" t="str">
        <f ca="1">IF(AND('Riesgos de Gestión'!$Z$15="Baja",'Riesgos de Gestión'!$AB$15="Catastrófico"),CONCATENATE("R1C",'Riesgos de Gestión'!$P$15),"")</f>
        <v/>
      </c>
      <c r="AN36" s="69"/>
      <c r="AO36" s="563" t="s">
        <v>81</v>
      </c>
      <c r="AP36" s="564"/>
      <c r="AQ36" s="564"/>
      <c r="AR36" s="564"/>
      <c r="AS36" s="564"/>
      <c r="AT36" s="565"/>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row>
    <row r="37" spans="1:80" ht="15" customHeight="1" x14ac:dyDescent="0.25">
      <c r="A37" s="69"/>
      <c r="B37" s="447"/>
      <c r="C37" s="447"/>
      <c r="D37" s="448"/>
      <c r="E37" s="544"/>
      <c r="F37" s="545"/>
      <c r="G37" s="545"/>
      <c r="H37" s="545"/>
      <c r="I37" s="545"/>
      <c r="J37" s="62" t="str">
        <f ca="1">IF(AND('Riesgos de Gestión'!$Z$16="Baja",'Riesgos de Gestión'!$AB$16="Leve"),CONCATENATE("R2C",'Riesgos de Gestión'!$P$16),"")</f>
        <v/>
      </c>
      <c r="K37" s="63" t="str">
        <f ca="1">IF(AND('Riesgos de Gestión'!$Z$17="Baja",'Riesgos de Gestión'!$AB$17="Leve"),CONCATENATE("R2C",'Riesgos de Gestión'!$P$17),"")</f>
        <v/>
      </c>
      <c r="L37" s="63" t="str">
        <f ca="1">IF(AND('Riesgos de Gestión'!$Z$18="Baja",'Riesgos de Gestión'!$AB$18="Leve"),CONCATENATE("R2C",'Riesgos de Gestión'!$P$18),"")</f>
        <v/>
      </c>
      <c r="M37" s="63" t="str">
        <f ca="1">IF(AND('Riesgos de Gestión'!$Z$19="Baja",'Riesgos de Gestión'!$AB$19="Leve"),CONCATENATE("R2C",'Riesgos de Gestión'!$P$19),"")</f>
        <v/>
      </c>
      <c r="N37" s="63" t="str">
        <f ca="1">IF(AND('Riesgos de Gestión'!$Z$20="Baja",'Riesgos de Gestión'!$AB$20="Leve"),CONCATENATE("R2C",'Riesgos de Gestión'!$P$20),"")</f>
        <v/>
      </c>
      <c r="O37" s="64" t="str">
        <f ca="1">IF(AND('Riesgos de Gestión'!$Z$21="Baja",'Riesgos de Gestión'!$AB$21="Leve"),CONCATENATE("R2C",'Riesgos de Gestión'!$P$21),"")</f>
        <v/>
      </c>
      <c r="P37" s="53" t="str">
        <f ca="1">IF(AND('Riesgos de Gestión'!$Z$16="Baja",'Riesgos de Gestión'!$AB$16="Menor"),CONCATENATE("R2C",'Riesgos de Gestión'!$P$16),"")</f>
        <v/>
      </c>
      <c r="Q37" s="54" t="str">
        <f ca="1">IF(AND('Riesgos de Gestión'!$Z$17="Baja",'Riesgos de Gestión'!$AB$17="Menor"),CONCATENATE("R2C",'Riesgos de Gestión'!$P$17),"")</f>
        <v/>
      </c>
      <c r="R37" s="54" t="str">
        <f ca="1">IF(AND('Riesgos de Gestión'!$Z$18="Baja",'Riesgos de Gestión'!$AB$18="Menor"),CONCATENATE("R2C",'Riesgos de Gestión'!$P$18),"")</f>
        <v/>
      </c>
      <c r="S37" s="54" t="str">
        <f ca="1">IF(AND('Riesgos de Gestión'!$Z$19="Baja",'Riesgos de Gestión'!$AB$19="Menor"),CONCATENATE("R2C",'Riesgos de Gestión'!$P$19),"")</f>
        <v/>
      </c>
      <c r="T37" s="54" t="str">
        <f ca="1">IF(AND('Riesgos de Gestión'!$Z$20="Baja",'Riesgos de Gestión'!$AB$20="Menor"),CONCATENATE("R2C",'Riesgos de Gestión'!$P$20),"")</f>
        <v/>
      </c>
      <c r="U37" s="55" t="str">
        <f ca="1">IF(AND('Riesgos de Gestión'!$Z$21="Baja",'Riesgos de Gestión'!$AB$21="Menor"),CONCATENATE("R2C",'Riesgos de Gestión'!$P$21),"")</f>
        <v/>
      </c>
      <c r="V37" s="53" t="str">
        <f ca="1">IF(AND('Riesgos de Gestión'!$Z$16="Baja",'Riesgos de Gestión'!$AB$16="Moderado"),CONCATENATE("R2C",'Riesgos de Gestión'!$P$16),"")</f>
        <v>R2C1</v>
      </c>
      <c r="W37" s="54" t="str">
        <f ca="1">IF(AND('Riesgos de Gestión'!$Z$17="Baja",'Riesgos de Gestión'!$AB$17="Moderado"),CONCATENATE("R2C",'Riesgos de Gestión'!$P$17),"")</f>
        <v>R2C2</v>
      </c>
      <c r="X37" s="54" t="str">
        <f ca="1">IF(AND('Riesgos de Gestión'!$Z$18="Baja",'Riesgos de Gestión'!$AB$18="Moderado"),CONCATENATE("R2C",'Riesgos de Gestión'!$P$18),"")</f>
        <v/>
      </c>
      <c r="Y37" s="54" t="str">
        <f ca="1">IF(AND('Riesgos de Gestión'!$Z$19="Baja",'Riesgos de Gestión'!$AB$19="Moderado"),CONCATENATE("R2C",'Riesgos de Gestión'!$P$19),"")</f>
        <v/>
      </c>
      <c r="Z37" s="54" t="str">
        <f ca="1">IF(AND('Riesgos de Gestión'!$Z$20="Baja",'Riesgos de Gestión'!$AB$20="Moderado"),CONCATENATE("R2C",'Riesgos de Gestión'!$P$20),"")</f>
        <v/>
      </c>
      <c r="AA37" s="55" t="str">
        <f ca="1">IF(AND('Riesgos de Gestión'!$Z$21="Baja",'Riesgos de Gestión'!$AB$21="Moderado"),CONCATENATE("R2C",'Riesgos de Gestión'!$P$21),"")</f>
        <v>R2C1</v>
      </c>
      <c r="AB37" s="38" t="str">
        <f ca="1">IF(AND('Riesgos de Gestión'!$Z$16="Baja",'Riesgos de Gestión'!$AB$16="Mayor"),CONCATENATE("R2C",'Riesgos de Gestión'!$P$16),"")</f>
        <v/>
      </c>
      <c r="AC37" s="39" t="str">
        <f ca="1">IF(AND('Riesgos de Gestión'!$Z$17="Baja",'Riesgos de Gestión'!$AB$17="Mayor"),CONCATENATE("R2C",'Riesgos de Gestión'!$P$17),"")</f>
        <v/>
      </c>
      <c r="AD37" s="39" t="str">
        <f ca="1">IF(AND('Riesgos de Gestión'!$Z$18="Baja",'Riesgos de Gestión'!$AB$18="Mayor"),CONCATENATE("R2C",'Riesgos de Gestión'!$P$18),"")</f>
        <v/>
      </c>
      <c r="AE37" s="39" t="str">
        <f ca="1">IF(AND('Riesgos de Gestión'!$Z$19="Baja",'Riesgos de Gestión'!$AB$19="Mayor"),CONCATENATE("R2C",'Riesgos de Gestión'!$P$19),"")</f>
        <v/>
      </c>
      <c r="AF37" s="39" t="str">
        <f ca="1">IF(AND('Riesgos de Gestión'!$Z$20="Baja",'Riesgos de Gestión'!$AB$20="Mayor"),CONCATENATE("R2C",'Riesgos de Gestión'!$P$20),"")</f>
        <v/>
      </c>
      <c r="AG37" s="40" t="str">
        <f ca="1">IF(AND('Riesgos de Gestión'!$Z$21="Baja",'Riesgos de Gestión'!$AB$21="Mayor"),CONCATENATE("R2C",'Riesgos de Gestión'!$P$21),"")</f>
        <v/>
      </c>
      <c r="AH37" s="41" t="str">
        <f ca="1">IF(AND('Riesgos de Gestión'!$Z$16="Baja",'Riesgos de Gestión'!$AB$16="Catastrófico"),CONCATENATE("R2C",'Riesgos de Gestión'!$P$16),"")</f>
        <v/>
      </c>
      <c r="AI37" s="42" t="str">
        <f ca="1">IF(AND('Riesgos de Gestión'!$Z$17="Baja",'Riesgos de Gestión'!$AB$17="Catastrófico"),CONCATENATE("R2C",'Riesgos de Gestión'!$P$17),"")</f>
        <v/>
      </c>
      <c r="AJ37" s="42" t="str">
        <f ca="1">IF(AND('Riesgos de Gestión'!$Z$18="Baja",'Riesgos de Gestión'!$AB$18="Catastrófico"),CONCATENATE("R2C",'Riesgos de Gestión'!$P$18),"")</f>
        <v/>
      </c>
      <c r="AK37" s="42" t="str">
        <f ca="1">IF(AND('Riesgos de Gestión'!$Z$19="Baja",'Riesgos de Gestión'!$AB$19="Catastrófico"),CONCATENATE("R2C",'Riesgos de Gestión'!$P$19),"")</f>
        <v/>
      </c>
      <c r="AL37" s="42" t="str">
        <f ca="1">IF(AND('Riesgos de Gestión'!$Z$20="Baja",'Riesgos de Gestión'!$AB$20="Catastrófico"),CONCATENATE("R2C",'Riesgos de Gestión'!$P$20),"")</f>
        <v/>
      </c>
      <c r="AM37" s="43" t="str">
        <f ca="1">IF(AND('Riesgos de Gestión'!$Z$21="Baja",'Riesgos de Gestión'!$AB$21="Catastrófico"),CONCATENATE("R2C",'Riesgos de Gestión'!$P$21),"")</f>
        <v/>
      </c>
      <c r="AN37" s="69"/>
      <c r="AO37" s="566"/>
      <c r="AP37" s="567"/>
      <c r="AQ37" s="567"/>
      <c r="AR37" s="567"/>
      <c r="AS37" s="567"/>
      <c r="AT37" s="568"/>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row>
    <row r="38" spans="1:80" ht="15" customHeight="1" x14ac:dyDescent="0.25">
      <c r="A38" s="69"/>
      <c r="B38" s="447"/>
      <c r="C38" s="447"/>
      <c r="D38" s="448"/>
      <c r="E38" s="546"/>
      <c r="F38" s="545"/>
      <c r="G38" s="545"/>
      <c r="H38" s="545"/>
      <c r="I38" s="545"/>
      <c r="J38" s="62" t="str">
        <f ca="1">IF(AND('Riesgos de Gestión'!$Z$22="Baja",'Riesgos de Gestión'!$AB$22="Leve"),CONCATENATE("R3C",'Riesgos de Gestión'!$P$22),"")</f>
        <v/>
      </c>
      <c r="K38" s="63" t="str">
        <f ca="1">IF(AND('Riesgos de Gestión'!$Z$23="Baja",'Riesgos de Gestión'!$AB$23="Leve"),CONCATENATE("R3C",'Riesgos de Gestión'!$P$23),"")</f>
        <v/>
      </c>
      <c r="L38" s="63" t="str">
        <f ca="1">IF(AND('Riesgos de Gestión'!$Z$24="Baja",'Riesgos de Gestión'!$AB$24="Leve"),CONCATENATE("R3C",'Riesgos de Gestión'!$P$24),"")</f>
        <v/>
      </c>
      <c r="M38" s="63" t="str">
        <f ca="1">IF(AND('Riesgos de Gestión'!$Z$25="Baja",'Riesgos de Gestión'!$AB$25="Leve"),CONCATENATE("R3C",'Riesgos de Gestión'!$P$25),"")</f>
        <v/>
      </c>
      <c r="N38" s="63" t="str">
        <f ca="1">IF(AND('Riesgos de Gestión'!$Z$26="Baja",'Riesgos de Gestión'!$AB$26="Leve"),CONCATENATE("R3C",'Riesgos de Gestión'!$P$26),"")</f>
        <v/>
      </c>
      <c r="O38" s="64" t="str">
        <f ca="1">IF(AND('Riesgos de Gestión'!$Z$27="Baja",'Riesgos de Gestión'!$AB$27="Leve"),CONCATENATE("R3C",'Riesgos de Gestión'!$P$27),"")</f>
        <v/>
      </c>
      <c r="P38" s="53" t="str">
        <f ca="1">IF(AND('Riesgos de Gestión'!$Z$22="Baja",'Riesgos de Gestión'!$AB$22="Menor"),CONCATENATE("R3C",'Riesgos de Gestión'!$P$22),"")</f>
        <v/>
      </c>
      <c r="Q38" s="54" t="str">
        <f ca="1">IF(AND('Riesgos de Gestión'!$Z$23="Baja",'Riesgos de Gestión'!$AB$23="Menor"),CONCATENATE("R3C",'Riesgos de Gestión'!$P$23),"")</f>
        <v>R3C1</v>
      </c>
      <c r="R38" s="54" t="str">
        <f ca="1">IF(AND('Riesgos de Gestión'!$Z$24="Baja",'Riesgos de Gestión'!$AB$24="Menor"),CONCATENATE("R3C",'Riesgos de Gestión'!$P$24),"")</f>
        <v>R3C1</v>
      </c>
      <c r="S38" s="54" t="str">
        <f ca="1">IF(AND('Riesgos de Gestión'!$Z$25="Baja",'Riesgos de Gestión'!$AB$25="Menor"),CONCATENATE("R3C",'Riesgos de Gestión'!$P$25),"")</f>
        <v/>
      </c>
      <c r="T38" s="54" t="str">
        <f ca="1">IF(AND('Riesgos de Gestión'!$Z$26="Baja",'Riesgos de Gestión'!$AB$26="Menor"),CONCATENATE("R3C",'Riesgos de Gestión'!$P$26),"")</f>
        <v>R3C1</v>
      </c>
      <c r="U38" s="55" t="str">
        <f ca="1">IF(AND('Riesgos de Gestión'!$Z$27="Baja",'Riesgos de Gestión'!$AB$27="Menor"),CONCATENATE("R3C",'Riesgos de Gestión'!$P$27),"")</f>
        <v>R3C1</v>
      </c>
      <c r="V38" s="53" t="str">
        <f ca="1">IF(AND('Riesgos de Gestión'!$Z$22="Baja",'Riesgos de Gestión'!$AB$22="Moderado"),CONCATENATE("R3C",'Riesgos de Gestión'!$P$22),"")</f>
        <v>R3C1</v>
      </c>
      <c r="W38" s="54" t="str">
        <f ca="1">IF(AND('Riesgos de Gestión'!$Z$23="Baja",'Riesgos de Gestión'!$AB$23="Moderado"),CONCATENATE("R3C",'Riesgos de Gestión'!$P$23),"")</f>
        <v/>
      </c>
      <c r="X38" s="54" t="str">
        <f ca="1">IF(AND('Riesgos de Gestión'!$Z$24="Baja",'Riesgos de Gestión'!$AB$24="Moderado"),CONCATENATE("R3C",'Riesgos de Gestión'!$P$24),"")</f>
        <v/>
      </c>
      <c r="Y38" s="54" t="str">
        <f ca="1">IF(AND('Riesgos de Gestión'!$Z$25="Baja",'Riesgos de Gestión'!$AB$25="Moderado"),CONCATENATE("R3C",'Riesgos de Gestión'!$P$25),"")</f>
        <v>R3C1</v>
      </c>
      <c r="Z38" s="54" t="str">
        <f ca="1">IF(AND('Riesgos de Gestión'!$Z$26="Baja",'Riesgos de Gestión'!$AB$26="Moderado"),CONCATENATE("R3C",'Riesgos de Gestión'!$P$26),"")</f>
        <v/>
      </c>
      <c r="AA38" s="55" t="str">
        <f ca="1">IF(AND('Riesgos de Gestión'!$Z$27="Baja",'Riesgos de Gestión'!$AB$27="Moderado"),CONCATENATE("R3C",'Riesgos de Gestión'!$P$27),"")</f>
        <v/>
      </c>
      <c r="AB38" s="38" t="str">
        <f ca="1">IF(AND('Riesgos de Gestión'!$Z$22="Baja",'Riesgos de Gestión'!$AB$22="Mayor"),CONCATENATE("R3C",'Riesgos de Gestión'!$P$22),"")</f>
        <v/>
      </c>
      <c r="AC38" s="39" t="str">
        <f ca="1">IF(AND('Riesgos de Gestión'!$Z$23="Baja",'Riesgos de Gestión'!$AB$23="Mayor"),CONCATENATE("R3C",'Riesgos de Gestión'!$P$23),"")</f>
        <v/>
      </c>
      <c r="AD38" s="39" t="str">
        <f ca="1">IF(AND('Riesgos de Gestión'!$Z$24="Baja",'Riesgos de Gestión'!$AB$24="Mayor"),CONCATENATE("R3C",'Riesgos de Gestión'!$P$24),"")</f>
        <v/>
      </c>
      <c r="AE38" s="39" t="str">
        <f ca="1">IF(AND('Riesgos de Gestión'!$Z$25="Baja",'Riesgos de Gestión'!$AB$25="Mayor"),CONCATENATE("R3C",'Riesgos de Gestión'!$P$25),"")</f>
        <v/>
      </c>
      <c r="AF38" s="39" t="str">
        <f ca="1">IF(AND('Riesgos de Gestión'!$Z$26="Baja",'Riesgos de Gestión'!$AB$26="Mayor"),CONCATENATE("R3C",'Riesgos de Gestión'!$P$26),"")</f>
        <v/>
      </c>
      <c r="AG38" s="40" t="str">
        <f ca="1">IF(AND('Riesgos de Gestión'!$Z$27="Baja",'Riesgos de Gestión'!$AB$27="Mayor"),CONCATENATE("R3C",'Riesgos de Gestión'!$P$27),"")</f>
        <v/>
      </c>
      <c r="AH38" s="41" t="str">
        <f ca="1">IF(AND('Riesgos de Gestión'!$Z$22="Baja",'Riesgos de Gestión'!$AB$22="Catastrófico"),CONCATENATE("R3C",'Riesgos de Gestión'!$P$22),"")</f>
        <v/>
      </c>
      <c r="AI38" s="42" t="str">
        <f ca="1">IF(AND('Riesgos de Gestión'!$Z$23="Baja",'Riesgos de Gestión'!$AB$23="Catastrófico"),CONCATENATE("R3C",'Riesgos de Gestión'!$P$23),"")</f>
        <v/>
      </c>
      <c r="AJ38" s="42" t="str">
        <f ca="1">IF(AND('Riesgos de Gestión'!$Z$24="Baja",'Riesgos de Gestión'!$AB$24="Catastrófico"),CONCATENATE("R3C",'Riesgos de Gestión'!$P$24),"")</f>
        <v/>
      </c>
      <c r="AK38" s="42" t="str">
        <f ca="1">IF(AND('Riesgos de Gestión'!$Z$25="Baja",'Riesgos de Gestión'!$AB$25="Catastrófico"),CONCATENATE("R3C",'Riesgos de Gestión'!$P$25),"")</f>
        <v/>
      </c>
      <c r="AL38" s="42" t="str">
        <f ca="1">IF(AND('Riesgos de Gestión'!$Z$26="Baja",'Riesgos de Gestión'!$AB$26="Catastrófico"),CONCATENATE("R3C",'Riesgos de Gestión'!$P$26),"")</f>
        <v/>
      </c>
      <c r="AM38" s="43" t="str">
        <f ca="1">IF(AND('Riesgos de Gestión'!$Z$27="Baja",'Riesgos de Gestión'!$AB$27="Catastrófico"),CONCATENATE("R3C",'Riesgos de Gestión'!$P$27),"")</f>
        <v/>
      </c>
      <c r="AN38" s="69"/>
      <c r="AO38" s="566"/>
      <c r="AP38" s="567"/>
      <c r="AQ38" s="567"/>
      <c r="AR38" s="567"/>
      <c r="AS38" s="567"/>
      <c r="AT38" s="568"/>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row>
    <row r="39" spans="1:80" ht="15" customHeight="1" x14ac:dyDescent="0.25">
      <c r="A39" s="69"/>
      <c r="B39" s="447"/>
      <c r="C39" s="447"/>
      <c r="D39" s="448"/>
      <c r="E39" s="546"/>
      <c r="F39" s="545"/>
      <c r="G39" s="545"/>
      <c r="H39" s="545"/>
      <c r="I39" s="545"/>
      <c r="J39" s="62" t="str">
        <f ca="1">IF(AND('Riesgos de Gestión'!$Z$28="Baja",'Riesgos de Gestión'!$AB$28="Leve"),CONCATENATE("R4C",'Riesgos de Gestión'!$P$28),"")</f>
        <v/>
      </c>
      <c r="K39" s="63" t="str">
        <f ca="1">IF(AND('Riesgos de Gestión'!$Z$29="Baja",'Riesgos de Gestión'!$AB$29="Leve"),CONCATENATE("R4C",'Riesgos de Gestión'!$P$29),"")</f>
        <v/>
      </c>
      <c r="L39" s="63" t="str">
        <f ca="1">IF(AND('Riesgos de Gestión'!$Z$30="Baja",'Riesgos de Gestión'!$AB$30="Leve"),CONCATENATE("R4C",'Riesgos de Gestión'!$P$30),"")</f>
        <v/>
      </c>
      <c r="M39" s="63" t="str">
        <f ca="1">IF(AND('Riesgos de Gestión'!$Z$31="Baja",'Riesgos de Gestión'!$AB$31="Leve"),CONCATENATE("R4C",'Riesgos de Gestión'!$P$31),"")</f>
        <v/>
      </c>
      <c r="N39" s="63" t="str">
        <f ca="1">IF(AND('Riesgos de Gestión'!$Z$32="Baja",'Riesgos de Gestión'!$AB$32="Leve"),CONCATENATE("R4C",'Riesgos de Gestión'!$P$32),"")</f>
        <v/>
      </c>
      <c r="O39" s="64" t="str">
        <f ca="1">IF(AND('Riesgos de Gestión'!$Z$33="Baja",'Riesgos de Gestión'!$AB$33="Leve"),CONCATENATE("R4C",'Riesgos de Gestión'!$P$33),"")</f>
        <v/>
      </c>
      <c r="P39" s="53" t="str">
        <f ca="1">IF(AND('Riesgos de Gestión'!$Z$28="Baja",'Riesgos de Gestión'!$AB$28="Menor"),CONCATENATE("R4C",'Riesgos de Gestión'!$P$28),"")</f>
        <v>R4C1</v>
      </c>
      <c r="Q39" s="54" t="str">
        <f ca="1">IF(AND('Riesgos de Gestión'!$Z$29="Baja",'Riesgos de Gestión'!$AB$29="Menor"),CONCATENATE("R4C",'Riesgos de Gestión'!$P$29),"")</f>
        <v/>
      </c>
      <c r="R39" s="54" t="str">
        <f ca="1">IF(AND('Riesgos de Gestión'!$Z$30="Baja",'Riesgos de Gestión'!$AB$30="Menor"),CONCATENATE("R4C",'Riesgos de Gestión'!$P$30),"")</f>
        <v/>
      </c>
      <c r="S39" s="54" t="str">
        <f ca="1">IF(AND('Riesgos de Gestión'!$Z$31="Baja",'Riesgos de Gestión'!$AB$31="Menor"),CONCATENATE("R4C",'Riesgos de Gestión'!$P$31),"")</f>
        <v>R4C1</v>
      </c>
      <c r="T39" s="54" t="str">
        <f ca="1">IF(AND('Riesgos de Gestión'!$Z$32="Baja",'Riesgos de Gestión'!$AB$32="Menor"),CONCATENATE("R4C",'Riesgos de Gestión'!$P$32),"")</f>
        <v/>
      </c>
      <c r="U39" s="55" t="str">
        <f ca="1">IF(AND('Riesgos de Gestión'!$Z$33="Baja",'Riesgos de Gestión'!$AB$33="Menor"),CONCATENATE("R4C",'Riesgos de Gestión'!$P$33),"")</f>
        <v/>
      </c>
      <c r="V39" s="53" t="str">
        <f ca="1">IF(AND('Riesgos de Gestión'!$Z$28="Baja",'Riesgos de Gestión'!$AB$28="Moderado"),CONCATENATE("R4C",'Riesgos de Gestión'!$P$28),"")</f>
        <v/>
      </c>
      <c r="W39" s="54" t="str">
        <f ca="1">IF(AND('Riesgos de Gestión'!$Z$29="Baja",'Riesgos de Gestión'!$AB$29="Moderado"),CONCATENATE("R4C",'Riesgos de Gestión'!$P$29),"")</f>
        <v/>
      </c>
      <c r="X39" s="54" t="str">
        <f ca="1">IF(AND('Riesgos de Gestión'!$Z$30="Baja",'Riesgos de Gestión'!$AB$30="Moderado"),CONCATENATE("R4C",'Riesgos de Gestión'!$P$30),"")</f>
        <v/>
      </c>
      <c r="Y39" s="54" t="str">
        <f ca="1">IF(AND('Riesgos de Gestión'!$Z$31="Baja",'Riesgos de Gestión'!$AB$31="Moderado"),CONCATENATE("R4C",'Riesgos de Gestión'!$P$31),"")</f>
        <v/>
      </c>
      <c r="Z39" s="54" t="str">
        <f ca="1">IF(AND('Riesgos de Gestión'!$Z$32="Baja",'Riesgos de Gestión'!$AB$32="Moderado"),CONCATENATE("R4C",'Riesgos de Gestión'!$P$32),"")</f>
        <v>R4C1</v>
      </c>
      <c r="AA39" s="55" t="str">
        <f ca="1">IF(AND('Riesgos de Gestión'!$Z$33="Baja",'Riesgos de Gestión'!$AB$33="Moderado"),CONCATENATE("R4C",'Riesgos de Gestión'!$P$33),"")</f>
        <v>R4C2</v>
      </c>
      <c r="AB39" s="38" t="str">
        <f ca="1">IF(AND('Riesgos de Gestión'!$Z$28="Baja",'Riesgos de Gestión'!$AB$28="Mayor"),CONCATENATE("R4C",'Riesgos de Gestión'!$P$28),"")</f>
        <v/>
      </c>
      <c r="AC39" s="39" t="str">
        <f ca="1">IF(AND('Riesgos de Gestión'!$Z$29="Baja",'Riesgos de Gestión'!$AB$29="Mayor"),CONCATENATE("R4C",'Riesgos de Gestión'!$P$29),"")</f>
        <v/>
      </c>
      <c r="AD39" s="39" t="str">
        <f ca="1">IF(AND('Riesgos de Gestión'!$Z$30="Baja",'Riesgos de Gestión'!$AB$30="Mayor"),CONCATENATE("R4C",'Riesgos de Gestión'!$P$30),"")</f>
        <v/>
      </c>
      <c r="AE39" s="39" t="str">
        <f ca="1">IF(AND('Riesgos de Gestión'!$Z$31="Baja",'Riesgos de Gestión'!$AB$31="Mayor"),CONCATENATE("R4C",'Riesgos de Gestión'!$P$31),"")</f>
        <v/>
      </c>
      <c r="AF39" s="39" t="str">
        <f ca="1">IF(AND('Riesgos de Gestión'!$Z$32="Baja",'Riesgos de Gestión'!$AB$32="Mayor"),CONCATENATE("R4C",'Riesgos de Gestión'!$P$32),"")</f>
        <v/>
      </c>
      <c r="AG39" s="40" t="str">
        <f ca="1">IF(AND('Riesgos de Gestión'!$Z$33="Baja",'Riesgos de Gestión'!$AB$33="Mayor"),CONCATENATE("R4C",'Riesgos de Gestión'!$P$33),"")</f>
        <v/>
      </c>
      <c r="AH39" s="41" t="str">
        <f ca="1">IF(AND('Riesgos de Gestión'!$Z$28="Baja",'Riesgos de Gestión'!$AB$28="Catastrófico"),CONCATENATE("R4C",'Riesgos de Gestión'!$P$28),"")</f>
        <v/>
      </c>
      <c r="AI39" s="42" t="str">
        <f ca="1">IF(AND('Riesgos de Gestión'!$Z$29="Baja",'Riesgos de Gestión'!$AB$29="Catastrófico"),CONCATENATE("R4C",'Riesgos de Gestión'!$P$29),"")</f>
        <v/>
      </c>
      <c r="AJ39" s="42" t="str">
        <f ca="1">IF(AND('Riesgos de Gestión'!$Z$30="Baja",'Riesgos de Gestión'!$AB$30="Catastrófico"),CONCATENATE("R4C",'Riesgos de Gestión'!$P$30),"")</f>
        <v/>
      </c>
      <c r="AK39" s="42" t="str">
        <f ca="1">IF(AND('Riesgos de Gestión'!$Z$31="Baja",'Riesgos de Gestión'!$AB$31="Catastrófico"),CONCATENATE("R4C",'Riesgos de Gestión'!$P$31),"")</f>
        <v/>
      </c>
      <c r="AL39" s="42" t="str">
        <f ca="1">IF(AND('Riesgos de Gestión'!$Z$32="Baja",'Riesgos de Gestión'!$AB$32="Catastrófico"),CONCATENATE("R4C",'Riesgos de Gestión'!$P$32),"")</f>
        <v/>
      </c>
      <c r="AM39" s="43" t="str">
        <f ca="1">IF(AND('Riesgos de Gestión'!$Z$33="Baja",'Riesgos de Gestión'!$AB$33="Catastrófico"),CONCATENATE("R4C",'Riesgos de Gestión'!$P$33),"")</f>
        <v/>
      </c>
      <c r="AN39" s="69"/>
      <c r="AO39" s="566"/>
      <c r="AP39" s="567"/>
      <c r="AQ39" s="567"/>
      <c r="AR39" s="567"/>
      <c r="AS39" s="567"/>
      <c r="AT39" s="568"/>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row>
    <row r="40" spans="1:80" ht="15" customHeight="1" x14ac:dyDescent="0.25">
      <c r="A40" s="69"/>
      <c r="B40" s="447"/>
      <c r="C40" s="447"/>
      <c r="D40" s="448"/>
      <c r="E40" s="546"/>
      <c r="F40" s="545"/>
      <c r="G40" s="545"/>
      <c r="H40" s="545"/>
      <c r="I40" s="545"/>
      <c r="J40" s="62" t="str">
        <f ca="1">IF(AND('Riesgos de Gestión'!$Z$34="Baja",'Riesgos de Gestión'!$AB$34="Leve"),CONCATENATE("R5C",'Riesgos de Gestión'!$P$34),"")</f>
        <v/>
      </c>
      <c r="K40" s="63" t="str">
        <f ca="1">IF(AND('Riesgos de Gestión'!$Z$35="Baja",'Riesgos de Gestión'!$AB$35="Leve"),CONCATENATE("R5C",'Riesgos de Gestión'!$P$35),"")</f>
        <v/>
      </c>
      <c r="L40" s="63" t="str">
        <f ca="1">IF(AND('Riesgos de Gestión'!$Z$36="Baja",'Riesgos de Gestión'!$AB$36="Leve"),CONCATENATE("R5C",'Riesgos de Gestión'!$P$36),"")</f>
        <v/>
      </c>
      <c r="M40" s="63" t="str">
        <f ca="1">IF(AND('Riesgos de Gestión'!$Z$37="Baja",'Riesgos de Gestión'!$AB$37="Leve"),CONCATENATE("R5C",'Riesgos de Gestión'!$P$37),"")</f>
        <v/>
      </c>
      <c r="N40" s="63" t="str">
        <f ca="1">IF(AND('Riesgos de Gestión'!$Z$38="Baja",'Riesgos de Gestión'!$AB$38="Leve"),CONCATENATE("R5C",'Riesgos de Gestión'!$P$38),"")</f>
        <v/>
      </c>
      <c r="O40" s="64" t="str">
        <f ca="1">IF(AND('Riesgos de Gestión'!$Z$39="Baja",'Riesgos de Gestión'!$AB$39="Leve"),CONCATENATE("R5C",'Riesgos de Gestión'!$P$39),"")</f>
        <v/>
      </c>
      <c r="P40" s="53" t="str">
        <f ca="1">IF(AND('Riesgos de Gestión'!$Z$34="Baja",'Riesgos de Gestión'!$AB$34="Menor"),CONCATENATE("R5C",'Riesgos de Gestión'!$P$34),"")</f>
        <v/>
      </c>
      <c r="Q40" s="54" t="str">
        <f ca="1">IF(AND('Riesgos de Gestión'!$Z$35="Baja",'Riesgos de Gestión'!$AB$35="Menor"),CONCATENATE("R5C",'Riesgos de Gestión'!$P$35),"")</f>
        <v/>
      </c>
      <c r="R40" s="54" t="str">
        <f ca="1">IF(AND('Riesgos de Gestión'!$Z$36="Baja",'Riesgos de Gestión'!$AB$36="Menor"),CONCATENATE("R5C",'Riesgos de Gestión'!$P$36),"")</f>
        <v/>
      </c>
      <c r="S40" s="54" t="str">
        <f ca="1">IF(AND('Riesgos de Gestión'!$Z$37="Baja",'Riesgos de Gestión'!$AB$37="Menor"),CONCATENATE("R5C",'Riesgos de Gestión'!$P$37),"")</f>
        <v/>
      </c>
      <c r="T40" s="54" t="str">
        <f ca="1">IF(AND('Riesgos de Gestión'!$Z$38="Baja",'Riesgos de Gestión'!$AB$38="Menor"),CONCATENATE("R5C",'Riesgos de Gestión'!$P$38),"")</f>
        <v/>
      </c>
      <c r="U40" s="55" t="str">
        <f ca="1">IF(AND('Riesgos de Gestión'!$Z$39="Baja",'Riesgos de Gestión'!$AB$39="Menor"),CONCATENATE("R5C",'Riesgos de Gestión'!$P$39),"")</f>
        <v/>
      </c>
      <c r="V40" s="53" t="str">
        <f ca="1">IF(AND('Riesgos de Gestión'!$Z$34="Baja",'Riesgos de Gestión'!$AB$34="Moderado"),CONCATENATE("R5C",'Riesgos de Gestión'!$P$34),"")</f>
        <v>R5C1</v>
      </c>
      <c r="W40" s="54" t="str">
        <f ca="1">IF(AND('Riesgos de Gestión'!$Z$35="Baja",'Riesgos de Gestión'!$AB$35="Moderado"),CONCATENATE("R5C",'Riesgos de Gestión'!$P$35),"")</f>
        <v>R5C2</v>
      </c>
      <c r="X40" s="54" t="str">
        <f ca="1">IF(AND('Riesgos de Gestión'!$Z$36="Baja",'Riesgos de Gestión'!$AB$36="Moderado"),CONCATENATE("R5C",'Riesgos de Gestión'!$P$36),"")</f>
        <v/>
      </c>
      <c r="Y40" s="54" t="str">
        <f ca="1">IF(AND('Riesgos de Gestión'!$Z$37="Baja",'Riesgos de Gestión'!$AB$37="Moderado"),CONCATENATE("R5C",'Riesgos de Gestión'!$P$37),"")</f>
        <v/>
      </c>
      <c r="Z40" s="54" t="str">
        <f ca="1">IF(AND('Riesgos de Gestión'!$Z$38="Baja",'Riesgos de Gestión'!$AB$38="Moderado"),CONCATENATE("R5C",'Riesgos de Gestión'!$P$38),"")</f>
        <v/>
      </c>
      <c r="AA40" s="55" t="str">
        <f ca="1">IF(AND('Riesgos de Gestión'!$Z$39="Baja",'Riesgos de Gestión'!$AB$39="Moderado"),CONCATENATE("R5C",'Riesgos de Gestión'!$P$39),"")</f>
        <v/>
      </c>
      <c r="AB40" s="38" t="str">
        <f ca="1">IF(AND('Riesgos de Gestión'!$Z$34="Baja",'Riesgos de Gestión'!$AB$34="Mayor"),CONCATENATE("R5C",'Riesgos de Gestión'!$P$34),"")</f>
        <v/>
      </c>
      <c r="AC40" s="39" t="str">
        <f ca="1">IF(AND('Riesgos de Gestión'!$Z$35="Baja",'Riesgos de Gestión'!$AB$35="Mayor"),CONCATENATE("R5C",'Riesgos de Gestión'!$P$35),"")</f>
        <v/>
      </c>
      <c r="AD40" s="39" t="str">
        <f ca="1">IF(AND('Riesgos de Gestión'!$Z$36="Baja",'Riesgos de Gestión'!$AB$36="Mayor"),CONCATENATE("R5C",'Riesgos de Gestión'!$P$36),"")</f>
        <v/>
      </c>
      <c r="AE40" s="39" t="str">
        <f ca="1">IF(AND('Riesgos de Gestión'!$Z$37="Baja",'Riesgos de Gestión'!$AB$37="Mayor"),CONCATENATE("R5C",'Riesgos de Gestión'!$P$37),"")</f>
        <v/>
      </c>
      <c r="AF40" s="39" t="str">
        <f ca="1">IF(AND('Riesgos de Gestión'!$Z$38="Baja",'Riesgos de Gestión'!$AB$38="Mayor"),CONCATENATE("R5C",'Riesgos de Gestión'!$P$38),"")</f>
        <v/>
      </c>
      <c r="AG40" s="40" t="str">
        <f ca="1">IF(AND('Riesgos de Gestión'!$Z$39="Baja",'Riesgos de Gestión'!$AB$39="Mayor"),CONCATENATE("R5C",'Riesgos de Gestión'!$P$39),"")</f>
        <v/>
      </c>
      <c r="AH40" s="41" t="str">
        <f ca="1">IF(AND('Riesgos de Gestión'!$Z$34="Baja",'Riesgos de Gestión'!$AB$34="Catastrófico"),CONCATENATE("R5C",'Riesgos de Gestión'!$P$34),"")</f>
        <v/>
      </c>
      <c r="AI40" s="42" t="str">
        <f ca="1">IF(AND('Riesgos de Gestión'!$Z$35="Baja",'Riesgos de Gestión'!$AB$35="Catastrófico"),CONCATENATE("R5C",'Riesgos de Gestión'!$P$35),"")</f>
        <v/>
      </c>
      <c r="AJ40" s="42" t="str">
        <f ca="1">IF(AND('Riesgos de Gestión'!$Z$36="Baja",'Riesgos de Gestión'!$AB$36="Catastrófico"),CONCATENATE("R5C",'Riesgos de Gestión'!$P$36),"")</f>
        <v/>
      </c>
      <c r="AK40" s="42" t="str">
        <f ca="1">IF(AND('Riesgos de Gestión'!$Z$37="Baja",'Riesgos de Gestión'!$AB$37="Catastrófico"),CONCATENATE("R5C",'Riesgos de Gestión'!$P$37),"")</f>
        <v/>
      </c>
      <c r="AL40" s="42" t="str">
        <f ca="1">IF(AND('Riesgos de Gestión'!$Z$38="Baja",'Riesgos de Gestión'!$AB$38="Catastrófico"),CONCATENATE("R5C",'Riesgos de Gestión'!$P$38),"")</f>
        <v/>
      </c>
      <c r="AM40" s="43" t="str">
        <f ca="1">IF(AND('Riesgos de Gestión'!$Z$39="Baja",'Riesgos de Gestión'!$AB$39="Catastrófico"),CONCATENATE("R5C",'Riesgos de Gestión'!$P$39),"")</f>
        <v/>
      </c>
      <c r="AN40" s="69"/>
      <c r="AO40" s="566"/>
      <c r="AP40" s="567"/>
      <c r="AQ40" s="567"/>
      <c r="AR40" s="567"/>
      <c r="AS40" s="567"/>
      <c r="AT40" s="568"/>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row>
    <row r="41" spans="1:80" ht="15" customHeight="1" x14ac:dyDescent="0.25">
      <c r="A41" s="69"/>
      <c r="B41" s="447"/>
      <c r="C41" s="447"/>
      <c r="D41" s="448"/>
      <c r="E41" s="546"/>
      <c r="F41" s="545"/>
      <c r="G41" s="545"/>
      <c r="H41" s="545"/>
      <c r="I41" s="545"/>
      <c r="J41" s="62" t="str">
        <f ca="1">IF(AND('Riesgos de Gestión'!$Z$40="Baja",'Riesgos de Gestión'!$AB$40="Leve"),CONCATENATE("R6C",'Riesgos de Gestión'!$P$40),"")</f>
        <v/>
      </c>
      <c r="K41" s="63" t="str">
        <f ca="1">IF(AND('Riesgos de Gestión'!$Z$41="Baja",'Riesgos de Gestión'!$AB$41="Leve"),CONCATENATE("R6C",'Riesgos de Gestión'!$P$41),"")</f>
        <v/>
      </c>
      <c r="L41" s="63" t="str">
        <f ca="1">IF(AND('Riesgos de Gestión'!$Z$42="Baja",'Riesgos de Gestión'!$AB$42="Leve"),CONCATENATE("R6C",'Riesgos de Gestión'!$P$42),"")</f>
        <v/>
      </c>
      <c r="M41" s="63" t="str">
        <f ca="1">IF(AND('Riesgos de Gestión'!$Z$43="Baja",'Riesgos de Gestión'!$AB$43="Leve"),CONCATENATE("R6C",'Riesgos de Gestión'!$P$43),"")</f>
        <v/>
      </c>
      <c r="N41" s="63" t="str">
        <f ca="1">IF(AND('Riesgos de Gestión'!$Z$44="Baja",'Riesgos de Gestión'!$AB$44="Leve"),CONCATENATE("R6C",'Riesgos de Gestión'!$P$44),"")</f>
        <v/>
      </c>
      <c r="O41" s="64" t="str">
        <f ca="1">IF(AND('Riesgos de Gestión'!$Z$45="Baja",'Riesgos de Gestión'!$AB$45="Leve"),CONCATENATE("R6C",'Riesgos de Gestión'!$P$45),"")</f>
        <v/>
      </c>
      <c r="P41" s="53" t="str">
        <f ca="1">IF(AND('Riesgos de Gestión'!$Z$40="Baja",'Riesgos de Gestión'!$AB$40="Menor"),CONCATENATE("R6C",'Riesgos de Gestión'!$P$40),"")</f>
        <v/>
      </c>
      <c r="Q41" s="54" t="str">
        <f ca="1">IF(AND('Riesgos de Gestión'!$Z$41="Baja",'Riesgos de Gestión'!$AB$41="Menor"),CONCATENATE("R6C",'Riesgos de Gestión'!$P$41),"")</f>
        <v/>
      </c>
      <c r="R41" s="54" t="str">
        <f ca="1">IF(AND('Riesgos de Gestión'!$Z$42="Baja",'Riesgos de Gestión'!$AB$42="Menor"),CONCATENATE("R6C",'Riesgos de Gestión'!$P$42),"")</f>
        <v/>
      </c>
      <c r="S41" s="54" t="str">
        <f ca="1">IF(AND('Riesgos de Gestión'!$Z$43="Baja",'Riesgos de Gestión'!$AB$43="Menor"),CONCATENATE("R6C",'Riesgos de Gestión'!$P$43),"")</f>
        <v/>
      </c>
      <c r="T41" s="54" t="str">
        <f ca="1">IF(AND('Riesgos de Gestión'!$Z$44="Baja",'Riesgos de Gestión'!$AB$44="Menor"),CONCATENATE("R6C",'Riesgos de Gestión'!$P$44),"")</f>
        <v/>
      </c>
      <c r="U41" s="55" t="str">
        <f ca="1">IF(AND('Riesgos de Gestión'!$Z$45="Baja",'Riesgos de Gestión'!$AB$45="Menor"),CONCATENATE("R6C",'Riesgos de Gestión'!$P$45),"")</f>
        <v/>
      </c>
      <c r="V41" s="53" t="str">
        <f ca="1">IF(AND('Riesgos de Gestión'!$Z$40="Baja",'Riesgos de Gestión'!$AB$40="Moderado"),CONCATENATE("R6C",'Riesgos de Gestión'!$P$40),"")</f>
        <v/>
      </c>
      <c r="W41" s="54" t="str">
        <f ca="1">IF(AND('Riesgos de Gestión'!$Z$41="Baja",'Riesgos de Gestión'!$AB$41="Moderado"),CONCATENATE("R6C",'Riesgos de Gestión'!$P$41),"")</f>
        <v/>
      </c>
      <c r="X41" s="54" t="str">
        <f ca="1">IF(AND('Riesgos de Gestión'!$Z$42="Baja",'Riesgos de Gestión'!$AB$42="Moderado"),CONCATENATE("R6C",'Riesgos de Gestión'!$P$42),"")</f>
        <v/>
      </c>
      <c r="Y41" s="54" t="str">
        <f ca="1">IF(AND('Riesgos de Gestión'!$Z$43="Baja",'Riesgos de Gestión'!$AB$43="Moderado"),CONCATENATE("R6C",'Riesgos de Gestión'!$P$43),"")</f>
        <v/>
      </c>
      <c r="Z41" s="54" t="str">
        <f ca="1">IF(AND('Riesgos de Gestión'!$Z$44="Baja",'Riesgos de Gestión'!$AB$44="Moderado"),CONCATENATE("R6C",'Riesgos de Gestión'!$P$44),"")</f>
        <v/>
      </c>
      <c r="AA41" s="55" t="str">
        <f ca="1">IF(AND('Riesgos de Gestión'!$Z$45="Baja",'Riesgos de Gestión'!$AB$45="Moderado"),CONCATENATE("R6C",'Riesgos de Gestión'!$P$45),"")</f>
        <v/>
      </c>
      <c r="AB41" s="38" t="str">
        <f ca="1">IF(AND('Riesgos de Gestión'!$Z$40="Baja",'Riesgos de Gestión'!$AB$40="Mayor"),CONCATENATE("R6C",'Riesgos de Gestión'!$P$40),"")</f>
        <v>R6C1</v>
      </c>
      <c r="AC41" s="39" t="str">
        <f ca="1">IF(AND('Riesgos de Gestión'!$Z$41="Baja",'Riesgos de Gestión'!$AB$41="Mayor"),CONCATENATE("R6C",'Riesgos de Gestión'!$P$41),"")</f>
        <v>R6C2</v>
      </c>
      <c r="AD41" s="39" t="str">
        <f ca="1">IF(AND('Riesgos de Gestión'!$Z$42="Baja",'Riesgos de Gestión'!$AB$42="Mayor"),CONCATENATE("R6C",'Riesgos de Gestión'!$P$42),"")</f>
        <v>R6C1</v>
      </c>
      <c r="AE41" s="39" t="str">
        <f ca="1">IF(AND('Riesgos de Gestión'!$Z$43="Baja",'Riesgos de Gestión'!$AB$43="Mayor"),CONCATENATE("R6C",'Riesgos de Gestión'!$P$43),"")</f>
        <v>R6C2</v>
      </c>
      <c r="AF41" s="39" t="str">
        <f ca="1">IF(AND('Riesgos de Gestión'!$Z$44="Baja",'Riesgos de Gestión'!$AB$44="Mayor"),CONCATENATE("R6C",'Riesgos de Gestión'!$P$44),"")</f>
        <v>R6C1</v>
      </c>
      <c r="AG41" s="40" t="str">
        <f ca="1">IF(AND('Riesgos de Gestión'!$Z$45="Baja",'Riesgos de Gestión'!$AB$45="Mayor"),CONCATENATE("R6C",'Riesgos de Gestión'!$P$45),"")</f>
        <v>R6C2</v>
      </c>
      <c r="AH41" s="41" t="str">
        <f ca="1">IF(AND('Riesgos de Gestión'!$Z$40="Baja",'Riesgos de Gestión'!$AB$40="Catastrófico"),CONCATENATE("R6C",'Riesgos de Gestión'!$P$40),"")</f>
        <v/>
      </c>
      <c r="AI41" s="42" t="str">
        <f ca="1">IF(AND('Riesgos de Gestión'!$Z$41="Baja",'Riesgos de Gestión'!$AB$41="Catastrófico"),CONCATENATE("R6C",'Riesgos de Gestión'!$P$41),"")</f>
        <v/>
      </c>
      <c r="AJ41" s="42" t="str">
        <f ca="1">IF(AND('Riesgos de Gestión'!$Z$42="Baja",'Riesgos de Gestión'!$AB$42="Catastrófico"),CONCATENATE("R6C",'Riesgos de Gestión'!$P$42),"")</f>
        <v/>
      </c>
      <c r="AK41" s="42" t="str">
        <f ca="1">IF(AND('Riesgos de Gestión'!$Z$43="Baja",'Riesgos de Gestión'!$AB$43="Catastrófico"),CONCATENATE("R6C",'Riesgos de Gestión'!$P$43),"")</f>
        <v/>
      </c>
      <c r="AL41" s="42" t="str">
        <f ca="1">IF(AND('Riesgos de Gestión'!$Z$44="Baja",'Riesgos de Gestión'!$AB$44="Catastrófico"),CONCATENATE("R6C",'Riesgos de Gestión'!$P$44),"")</f>
        <v/>
      </c>
      <c r="AM41" s="43" t="str">
        <f ca="1">IF(AND('Riesgos de Gestión'!$Z$45="Baja",'Riesgos de Gestión'!$AB$45="Catastrófico"),CONCATENATE("R6C",'Riesgos de Gestión'!$P$45),"")</f>
        <v/>
      </c>
      <c r="AN41" s="69"/>
      <c r="AO41" s="566"/>
      <c r="AP41" s="567"/>
      <c r="AQ41" s="567"/>
      <c r="AR41" s="567"/>
      <c r="AS41" s="567"/>
      <c r="AT41" s="568"/>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row>
    <row r="42" spans="1:80" ht="15" customHeight="1" x14ac:dyDescent="0.25">
      <c r="A42" s="69"/>
      <c r="B42" s="447"/>
      <c r="C42" s="447"/>
      <c r="D42" s="448"/>
      <c r="E42" s="546"/>
      <c r="F42" s="545"/>
      <c r="G42" s="545"/>
      <c r="H42" s="545"/>
      <c r="I42" s="545"/>
      <c r="J42" s="62" t="str">
        <f ca="1">IF(AND('Riesgos de Gestión'!$Z$46="Baja",'Riesgos de Gestión'!$AB$46="Leve"),CONCATENATE("R7C",'Riesgos de Gestión'!$P$46),"")</f>
        <v/>
      </c>
      <c r="K42" s="63" t="str">
        <f ca="1">IF(AND('Riesgos de Gestión'!$Z$47="Baja",'Riesgos de Gestión'!$AB$47="Leve"),CONCATENATE("R7C",'Riesgos de Gestión'!$P$47),"")</f>
        <v/>
      </c>
      <c r="L42" s="63" t="str">
        <f ca="1">IF(AND('Riesgos de Gestión'!$Z$48="Baja",'Riesgos de Gestión'!$AB$48="Leve"),CONCATENATE("R7C",'Riesgos de Gestión'!$P$48),"")</f>
        <v/>
      </c>
      <c r="M42" s="63" t="str">
        <f ca="1">IF(AND('Riesgos de Gestión'!$Z$49="Baja",'Riesgos de Gestión'!$AB$49="Leve"),CONCATENATE("R7C",'Riesgos de Gestión'!$P$49),"")</f>
        <v/>
      </c>
      <c r="N42" s="63" t="str">
        <f ca="1">IF(AND('Riesgos de Gestión'!$Z$50="Baja",'Riesgos de Gestión'!$AB$50="Leve"),CONCATENATE("R7C",'Riesgos de Gestión'!$P$50),"")</f>
        <v/>
      </c>
      <c r="O42" s="64" t="str">
        <f ca="1">IF(AND('Riesgos de Gestión'!$Z$51="Baja",'Riesgos de Gestión'!$AB$51="Leve"),CONCATENATE("R7C",'Riesgos de Gestión'!$P$51),"")</f>
        <v/>
      </c>
      <c r="P42" s="53" t="str">
        <f ca="1">IF(AND('Riesgos de Gestión'!$Z$46="Baja",'Riesgos de Gestión'!$AB$46="Menor"),CONCATENATE("R7C",'Riesgos de Gestión'!$P$46),"")</f>
        <v/>
      </c>
      <c r="Q42" s="54" t="str">
        <f ca="1">IF(AND('Riesgos de Gestión'!$Z$47="Baja",'Riesgos de Gestión'!$AB$47="Menor"),CONCATENATE("R7C",'Riesgos de Gestión'!$P$47),"")</f>
        <v>R7C1</v>
      </c>
      <c r="R42" s="54" t="str">
        <f ca="1">IF(AND('Riesgos de Gestión'!$Z$48="Baja",'Riesgos de Gestión'!$AB$48="Menor"),CONCATENATE("R7C",'Riesgos de Gestión'!$P$48),"")</f>
        <v/>
      </c>
      <c r="S42" s="54" t="str">
        <f ca="1">IF(AND('Riesgos de Gestión'!$Z$49="Baja",'Riesgos de Gestión'!$AB$49="Menor"),CONCATENATE("R7C",'Riesgos de Gestión'!$P$49),"")</f>
        <v/>
      </c>
      <c r="T42" s="54" t="str">
        <f ca="1">IF(AND('Riesgos de Gestión'!$Z$50="Baja",'Riesgos de Gestión'!$AB$50="Menor"),CONCATENATE("R7C",'Riesgos de Gestión'!$P$50),"")</f>
        <v>R7C1</v>
      </c>
      <c r="U42" s="55" t="str">
        <f ca="1">IF(AND('Riesgos de Gestión'!$Z$51="Baja",'Riesgos de Gestión'!$AB$51="Menor"),CONCATENATE("R7C",'Riesgos de Gestión'!$P$51),"")</f>
        <v/>
      </c>
      <c r="V42" s="53" t="str">
        <f ca="1">IF(AND('Riesgos de Gestión'!$Z$46="Baja",'Riesgos de Gestión'!$AB$46="Moderado"),CONCATENATE("R7C",'Riesgos de Gestión'!$P$46),"")</f>
        <v>R7C1</v>
      </c>
      <c r="W42" s="54" t="str">
        <f ca="1">IF(AND('Riesgos de Gestión'!$Z$47="Baja",'Riesgos de Gestión'!$AB$47="Moderado"),CONCATENATE("R7C",'Riesgos de Gestión'!$P$47),"")</f>
        <v/>
      </c>
      <c r="X42" s="54" t="str">
        <f ca="1">IF(AND('Riesgos de Gestión'!$Z$48="Baja",'Riesgos de Gestión'!$AB$48="Moderado"),CONCATENATE("R7C",'Riesgos de Gestión'!$P$48),"")</f>
        <v/>
      </c>
      <c r="Y42" s="54" t="str">
        <f ca="1">IF(AND('Riesgos de Gestión'!$Z$49="Baja",'Riesgos de Gestión'!$AB$49="Moderado"),CONCATENATE("R7C",'Riesgos de Gestión'!$P$49),"")</f>
        <v>R7C1</v>
      </c>
      <c r="Z42" s="54" t="str">
        <f ca="1">IF(AND('Riesgos de Gestión'!$Z$50="Baja",'Riesgos de Gestión'!$AB$50="Moderado"),CONCATENATE("R7C",'Riesgos de Gestión'!$P$50),"")</f>
        <v/>
      </c>
      <c r="AA42" s="55" t="str">
        <f ca="1">IF(AND('Riesgos de Gestión'!$Z$51="Baja",'Riesgos de Gestión'!$AB$51="Moderado"),CONCATENATE("R7C",'Riesgos de Gestión'!$P$51),"")</f>
        <v>R7C1</v>
      </c>
      <c r="AB42" s="38" t="str">
        <f ca="1">IF(AND('Riesgos de Gestión'!$Z$46="Baja",'Riesgos de Gestión'!$AB$46="Mayor"),CONCATENATE("R7C",'Riesgos de Gestión'!$P$46),"")</f>
        <v/>
      </c>
      <c r="AC42" s="39" t="str">
        <f ca="1">IF(AND('Riesgos de Gestión'!$Z$47="Baja",'Riesgos de Gestión'!$AB$47="Mayor"),CONCATENATE("R7C",'Riesgos de Gestión'!$P$47),"")</f>
        <v/>
      </c>
      <c r="AD42" s="39" t="str">
        <f ca="1">IF(AND('Riesgos de Gestión'!$Z$48="Baja",'Riesgos de Gestión'!$AB$48="Mayor"),CONCATENATE("R7C",'Riesgos de Gestión'!$P$48),"")</f>
        <v/>
      </c>
      <c r="AE42" s="39" t="str">
        <f ca="1">IF(AND('Riesgos de Gestión'!$Z$49="Baja",'Riesgos de Gestión'!$AB$49="Mayor"),CONCATENATE("R7C",'Riesgos de Gestión'!$P$49),"")</f>
        <v/>
      </c>
      <c r="AF42" s="39" t="str">
        <f ca="1">IF(AND('Riesgos de Gestión'!$Z$50="Baja",'Riesgos de Gestión'!$AB$50="Mayor"),CONCATENATE("R7C",'Riesgos de Gestión'!$P$50),"")</f>
        <v/>
      </c>
      <c r="AG42" s="40" t="str">
        <f ca="1">IF(AND('Riesgos de Gestión'!$Z$51="Baja",'Riesgos de Gestión'!$AB$51="Mayor"),CONCATENATE("R7C",'Riesgos de Gestión'!$P$51),"")</f>
        <v/>
      </c>
      <c r="AH42" s="41" t="str">
        <f ca="1">IF(AND('Riesgos de Gestión'!$Z$46="Baja",'Riesgos de Gestión'!$AB$46="Catastrófico"),CONCATENATE("R7C",'Riesgos de Gestión'!$P$46),"")</f>
        <v/>
      </c>
      <c r="AI42" s="42" t="str">
        <f ca="1">IF(AND('Riesgos de Gestión'!$Z$47="Baja",'Riesgos de Gestión'!$AB$47="Catastrófico"),CONCATENATE("R7C",'Riesgos de Gestión'!$P$47),"")</f>
        <v/>
      </c>
      <c r="AJ42" s="42" t="str">
        <f ca="1">IF(AND('Riesgos de Gestión'!$Z$48="Baja",'Riesgos de Gestión'!$AB$48="Catastrófico"),CONCATENATE("R7C",'Riesgos de Gestión'!$P$48),"")</f>
        <v/>
      </c>
      <c r="AK42" s="42" t="str">
        <f ca="1">IF(AND('Riesgos de Gestión'!$Z$49="Baja",'Riesgos de Gestión'!$AB$49="Catastrófico"),CONCATENATE("R7C",'Riesgos de Gestión'!$P$49),"")</f>
        <v/>
      </c>
      <c r="AL42" s="42" t="str">
        <f ca="1">IF(AND('Riesgos de Gestión'!$Z$50="Baja",'Riesgos de Gestión'!$AB$50="Catastrófico"),CONCATENATE("R7C",'Riesgos de Gestión'!$P$50),"")</f>
        <v/>
      </c>
      <c r="AM42" s="43" t="str">
        <f ca="1">IF(AND('Riesgos de Gestión'!$Z$51="Baja",'Riesgos de Gestión'!$AB$51="Catastrófico"),CONCATENATE("R7C",'Riesgos de Gestión'!$P$51),"")</f>
        <v/>
      </c>
      <c r="AN42" s="69"/>
      <c r="AO42" s="566"/>
      <c r="AP42" s="567"/>
      <c r="AQ42" s="567"/>
      <c r="AR42" s="567"/>
      <c r="AS42" s="567"/>
      <c r="AT42" s="568"/>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row>
    <row r="43" spans="1:80" ht="15" customHeight="1" x14ac:dyDescent="0.25">
      <c r="A43" s="69"/>
      <c r="B43" s="447"/>
      <c r="C43" s="447"/>
      <c r="D43" s="448"/>
      <c r="E43" s="546"/>
      <c r="F43" s="545"/>
      <c r="G43" s="545"/>
      <c r="H43" s="545"/>
      <c r="I43" s="545"/>
      <c r="J43" s="62" t="str">
        <f ca="1">IF(AND('Riesgos de Gestión'!$Z$52="Baja",'Riesgos de Gestión'!$AB$52="Leve"),CONCATENATE("R8C",'Riesgos de Gestión'!$P$52),"")</f>
        <v/>
      </c>
      <c r="K43" s="63" t="str">
        <f>IF(AND('Riesgos de Gestión'!$Z$53="Baja",'Riesgos de Gestión'!$AB$53="Leve"),CONCATENATE("R8C",'Riesgos de Gestión'!$P$53),"")</f>
        <v/>
      </c>
      <c r="L43" s="63" t="str">
        <f>IF(AND('Riesgos de Gestión'!$Z$54="Baja",'Riesgos de Gestión'!$AB$54="Leve"),CONCATENATE("R8C",'Riesgos de Gestión'!$P$54),"")</f>
        <v/>
      </c>
      <c r="M43" s="63" t="str">
        <f>IF(AND('Riesgos de Gestión'!$Z$55="Baja",'Riesgos de Gestión'!$AB$55="Leve"),CONCATENATE("R8C",'Riesgos de Gestión'!$P$55),"")</f>
        <v/>
      </c>
      <c r="N43" s="63" t="str">
        <f>IF(AND('Riesgos de Gestión'!$Z$56="Baja",'Riesgos de Gestión'!$AB$56="Leve"),CONCATENATE("R8C",'Riesgos de Gestión'!$P$56),"")</f>
        <v/>
      </c>
      <c r="O43" s="64" t="str">
        <f>IF(AND('Riesgos de Gestión'!$Z$57="Baja",'Riesgos de Gestión'!$AB$57="Leve"),CONCATENATE("R8C",'Riesgos de Gestión'!$P$57),"")</f>
        <v/>
      </c>
      <c r="P43" s="53" t="str">
        <f ca="1">IF(AND('Riesgos de Gestión'!$Z$52="Baja",'Riesgos de Gestión'!$AB$52="Menor"),CONCATENATE("R8C",'Riesgos de Gestión'!$P$52),"")</f>
        <v/>
      </c>
      <c r="Q43" s="54" t="str">
        <f>IF(AND('Riesgos de Gestión'!$Z$53="Baja",'Riesgos de Gestión'!$AB$53="Menor"),CONCATENATE("R8C",'Riesgos de Gestión'!$P$53),"")</f>
        <v/>
      </c>
      <c r="R43" s="54" t="str">
        <f>IF(AND('Riesgos de Gestión'!$Z$54="Baja",'Riesgos de Gestión'!$AB$54="Menor"),CONCATENATE("R8C",'Riesgos de Gestión'!$P$54),"")</f>
        <v/>
      </c>
      <c r="S43" s="54" t="str">
        <f>IF(AND('Riesgos de Gestión'!$Z$55="Baja",'Riesgos de Gestión'!$AB$55="Menor"),CONCATENATE("R8C",'Riesgos de Gestión'!$P$55),"")</f>
        <v/>
      </c>
      <c r="T43" s="54" t="str">
        <f>IF(AND('Riesgos de Gestión'!$Z$56="Baja",'Riesgos de Gestión'!$AB$56="Menor"),CONCATENATE("R8C",'Riesgos de Gestión'!$P$56),"")</f>
        <v/>
      </c>
      <c r="U43" s="55" t="str">
        <f>IF(AND('Riesgos de Gestión'!$Z$57="Baja",'Riesgos de Gestión'!$AB$57="Menor"),CONCATENATE("R8C",'Riesgos de Gestión'!$P$57),"")</f>
        <v/>
      </c>
      <c r="V43" s="53" t="str">
        <f ca="1">IF(AND('Riesgos de Gestión'!$Z$52="Baja",'Riesgos de Gestión'!$AB$52="Moderado"),CONCATENATE("R8C",'Riesgos de Gestión'!$P$52),"")</f>
        <v>R8C1</v>
      </c>
      <c r="W43" s="54" t="str">
        <f>IF(AND('Riesgos de Gestión'!$Z$53="Baja",'Riesgos de Gestión'!$AB$53="Moderado"),CONCATENATE("R8C",'Riesgos de Gestión'!$P$53),"")</f>
        <v/>
      </c>
      <c r="X43" s="54" t="str">
        <f>IF(AND('Riesgos de Gestión'!$Z$54="Baja",'Riesgos de Gestión'!$AB$54="Moderado"),CONCATENATE("R8C",'Riesgos de Gestión'!$P$54),"")</f>
        <v/>
      </c>
      <c r="Y43" s="54" t="str">
        <f>IF(AND('Riesgos de Gestión'!$Z$55="Baja",'Riesgos de Gestión'!$AB$55="Moderado"),CONCATENATE("R8C",'Riesgos de Gestión'!$P$55),"")</f>
        <v/>
      </c>
      <c r="Z43" s="54" t="str">
        <f>IF(AND('Riesgos de Gestión'!$Z$56="Baja",'Riesgos de Gestión'!$AB$56="Moderado"),CONCATENATE("R8C",'Riesgos de Gestión'!$P$56),"")</f>
        <v/>
      </c>
      <c r="AA43" s="55" t="str">
        <f>IF(AND('Riesgos de Gestión'!$Z$57="Baja",'Riesgos de Gestión'!$AB$57="Moderado"),CONCATENATE("R8C",'Riesgos de Gestión'!$P$57),"")</f>
        <v/>
      </c>
      <c r="AB43" s="38" t="str">
        <f ca="1">IF(AND('Riesgos de Gestión'!$Z$52="Baja",'Riesgos de Gestión'!$AB$52="Mayor"),CONCATENATE("R8C",'Riesgos de Gestión'!$P$52),"")</f>
        <v/>
      </c>
      <c r="AC43" s="39" t="str">
        <f>IF(AND('Riesgos de Gestión'!$Z$53="Baja",'Riesgos de Gestión'!$AB$53="Mayor"),CONCATENATE("R8C",'Riesgos de Gestión'!$P$53),"")</f>
        <v/>
      </c>
      <c r="AD43" s="39" t="str">
        <f>IF(AND('Riesgos de Gestión'!$Z$54="Baja",'Riesgos de Gestión'!$AB$54="Mayor"),CONCATENATE("R8C",'Riesgos de Gestión'!$P$54),"")</f>
        <v/>
      </c>
      <c r="AE43" s="39" t="str">
        <f>IF(AND('Riesgos de Gestión'!$Z$55="Baja",'Riesgos de Gestión'!$AB$55="Mayor"),CONCATENATE("R8C",'Riesgos de Gestión'!$P$55),"")</f>
        <v/>
      </c>
      <c r="AF43" s="39" t="str">
        <f>IF(AND('Riesgos de Gestión'!$Z$56="Baja",'Riesgos de Gestión'!$AB$56="Mayor"),CONCATENATE("R8C",'Riesgos de Gestión'!$P$56),"")</f>
        <v/>
      </c>
      <c r="AG43" s="40" t="str">
        <f>IF(AND('Riesgos de Gestión'!$Z$57="Baja",'Riesgos de Gestión'!$AB$57="Mayor"),CONCATENATE("R8C",'Riesgos de Gestión'!$P$57),"")</f>
        <v/>
      </c>
      <c r="AH43" s="41" t="str">
        <f ca="1">IF(AND('Riesgos de Gestión'!$Z$52="Baja",'Riesgos de Gestión'!$AB$52="Catastrófico"),CONCATENATE("R8C",'Riesgos de Gestión'!$P$52),"")</f>
        <v/>
      </c>
      <c r="AI43" s="42" t="str">
        <f>IF(AND('Riesgos de Gestión'!$Z$53="Baja",'Riesgos de Gestión'!$AB$53="Catastrófico"),CONCATENATE("R8C",'Riesgos de Gestión'!$P$53),"")</f>
        <v/>
      </c>
      <c r="AJ43" s="42" t="str">
        <f>IF(AND('Riesgos de Gestión'!$Z$54="Baja",'Riesgos de Gestión'!$AB$54="Catastrófico"),CONCATENATE("R8C",'Riesgos de Gestión'!$P$54),"")</f>
        <v/>
      </c>
      <c r="AK43" s="42" t="str">
        <f>IF(AND('Riesgos de Gestión'!$Z$55="Baja",'Riesgos de Gestión'!$AB$55="Catastrófico"),CONCATENATE("R8C",'Riesgos de Gestión'!$P$55),"")</f>
        <v/>
      </c>
      <c r="AL43" s="42" t="str">
        <f>IF(AND('Riesgos de Gestión'!$Z$56="Baja",'Riesgos de Gestión'!$AB$56="Catastrófico"),CONCATENATE("R8C",'Riesgos de Gestión'!$P$56),"")</f>
        <v/>
      </c>
      <c r="AM43" s="43" t="str">
        <f>IF(AND('Riesgos de Gestión'!$Z$57="Baja",'Riesgos de Gestión'!$AB$57="Catastrófico"),CONCATENATE("R8C",'Riesgos de Gestión'!$P$57),"")</f>
        <v/>
      </c>
      <c r="AN43" s="69"/>
      <c r="AO43" s="566"/>
      <c r="AP43" s="567"/>
      <c r="AQ43" s="567"/>
      <c r="AR43" s="567"/>
      <c r="AS43" s="567"/>
      <c r="AT43" s="568"/>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row>
    <row r="44" spans="1:80" ht="15" customHeight="1" x14ac:dyDescent="0.25">
      <c r="A44" s="69"/>
      <c r="B44" s="447"/>
      <c r="C44" s="447"/>
      <c r="D44" s="448"/>
      <c r="E44" s="546"/>
      <c r="F44" s="545"/>
      <c r="G44" s="545"/>
      <c r="H44" s="545"/>
      <c r="I44" s="545"/>
      <c r="J44" s="62" t="str">
        <f>IF(AND('Riesgos de Gestión'!$Z$58="Baja",'Riesgos de Gestión'!$AB$58="Leve"),CONCATENATE("R9C",'Riesgos de Gestión'!$P$58),"")</f>
        <v/>
      </c>
      <c r="K44" s="63" t="str">
        <f>IF(AND('Riesgos de Gestión'!$Z$59="Baja",'Riesgos de Gestión'!$AB$59="Leve"),CONCATENATE("R9C",'Riesgos de Gestión'!$P$59),"")</f>
        <v/>
      </c>
      <c r="L44" s="63" t="str">
        <f>IF(AND('Riesgos de Gestión'!$Z$60="Baja",'Riesgos de Gestión'!$AB$60="Leve"),CONCATENATE("R9C",'Riesgos de Gestión'!$P$60),"")</f>
        <v/>
      </c>
      <c r="M44" s="63" t="str">
        <f>IF(AND('Riesgos de Gestión'!$Z$61="Baja",'Riesgos de Gestión'!$AB$61="Leve"),CONCATENATE("R9C",'Riesgos de Gestión'!$P$61),"")</f>
        <v/>
      </c>
      <c r="N44" s="63" t="str">
        <f>IF(AND('Riesgos de Gestión'!$Z$62="Baja",'Riesgos de Gestión'!$AB$62="Leve"),CONCATENATE("R9C",'Riesgos de Gestión'!$P$62),"")</f>
        <v/>
      </c>
      <c r="O44" s="64" t="str">
        <f>IF(AND('Riesgos de Gestión'!$Z$63="Baja",'Riesgos de Gestión'!$AB$63="Leve"),CONCATENATE("R9C",'Riesgos de Gestión'!$P$63),"")</f>
        <v/>
      </c>
      <c r="P44" s="53" t="str">
        <f>IF(AND('Riesgos de Gestión'!$Z$58="Baja",'Riesgos de Gestión'!$AB$58="Menor"),CONCATENATE("R9C",'Riesgos de Gestión'!$P$58),"")</f>
        <v/>
      </c>
      <c r="Q44" s="54" t="str">
        <f>IF(AND('Riesgos de Gestión'!$Z$59="Baja",'Riesgos de Gestión'!$AB$59="Menor"),CONCATENATE("R9C",'Riesgos de Gestión'!$P$59),"")</f>
        <v/>
      </c>
      <c r="R44" s="54" t="str">
        <f>IF(AND('Riesgos de Gestión'!$Z$60="Baja",'Riesgos de Gestión'!$AB$60="Menor"),CONCATENATE("R9C",'Riesgos de Gestión'!$P$60),"")</f>
        <v/>
      </c>
      <c r="S44" s="54" t="str">
        <f>IF(AND('Riesgos de Gestión'!$Z$61="Baja",'Riesgos de Gestión'!$AB$61="Menor"),CONCATENATE("R9C",'Riesgos de Gestión'!$P$61),"")</f>
        <v/>
      </c>
      <c r="T44" s="54" t="str">
        <f>IF(AND('Riesgos de Gestión'!$Z$62="Baja",'Riesgos de Gestión'!$AB$62="Menor"),CONCATENATE("R9C",'Riesgos de Gestión'!$P$62),"")</f>
        <v/>
      </c>
      <c r="U44" s="55" t="str">
        <f>IF(AND('Riesgos de Gestión'!$Z$63="Baja",'Riesgos de Gestión'!$AB$63="Menor"),CONCATENATE("R9C",'Riesgos de Gestión'!$P$63),"")</f>
        <v/>
      </c>
      <c r="V44" s="53" t="str">
        <f>IF(AND('Riesgos de Gestión'!$Z$58="Baja",'Riesgos de Gestión'!$AB$58="Moderado"),CONCATENATE("R9C",'Riesgos de Gestión'!$P$58),"")</f>
        <v/>
      </c>
      <c r="W44" s="54" t="str">
        <f>IF(AND('Riesgos de Gestión'!$Z$59="Baja",'Riesgos de Gestión'!$AB$59="Moderado"),CONCATENATE("R9C",'Riesgos de Gestión'!$P$59),"")</f>
        <v/>
      </c>
      <c r="X44" s="54" t="str">
        <f>IF(AND('Riesgos de Gestión'!$Z$60="Baja",'Riesgos de Gestión'!$AB$60="Moderado"),CONCATENATE("R9C",'Riesgos de Gestión'!$P$60),"")</f>
        <v/>
      </c>
      <c r="Y44" s="54" t="str">
        <f>IF(AND('Riesgos de Gestión'!$Z$61="Baja",'Riesgos de Gestión'!$AB$61="Moderado"),CONCATENATE("R9C",'Riesgos de Gestión'!$P$61),"")</f>
        <v/>
      </c>
      <c r="Z44" s="54" t="str">
        <f>IF(AND('Riesgos de Gestión'!$Z$62="Baja",'Riesgos de Gestión'!$AB$62="Moderado"),CONCATENATE("R9C",'Riesgos de Gestión'!$P$62),"")</f>
        <v/>
      </c>
      <c r="AA44" s="55" t="str">
        <f>IF(AND('Riesgos de Gestión'!$Z$63="Baja",'Riesgos de Gestión'!$AB$63="Moderado"),CONCATENATE("R9C",'Riesgos de Gestión'!$P$63),"")</f>
        <v/>
      </c>
      <c r="AB44" s="38" t="str">
        <f>IF(AND('Riesgos de Gestión'!$Z$58="Baja",'Riesgos de Gestión'!$AB$58="Mayor"),CONCATENATE("R9C",'Riesgos de Gestión'!$P$58),"")</f>
        <v/>
      </c>
      <c r="AC44" s="39" t="str">
        <f>IF(AND('Riesgos de Gestión'!$Z$59="Baja",'Riesgos de Gestión'!$AB$59="Mayor"),CONCATENATE("R9C",'Riesgos de Gestión'!$P$59),"")</f>
        <v/>
      </c>
      <c r="AD44" s="39" t="str">
        <f>IF(AND('Riesgos de Gestión'!$Z$60="Baja",'Riesgos de Gestión'!$AB$60="Mayor"),CONCATENATE("R9C",'Riesgos de Gestión'!$P$60),"")</f>
        <v/>
      </c>
      <c r="AE44" s="39" t="str">
        <f>IF(AND('Riesgos de Gestión'!$Z$61="Baja",'Riesgos de Gestión'!$AB$61="Mayor"),CONCATENATE("R9C",'Riesgos de Gestión'!$P$61),"")</f>
        <v/>
      </c>
      <c r="AF44" s="39" t="str">
        <f>IF(AND('Riesgos de Gestión'!$Z$62="Baja",'Riesgos de Gestión'!$AB$62="Mayor"),CONCATENATE("R9C",'Riesgos de Gestión'!$P$62),"")</f>
        <v/>
      </c>
      <c r="AG44" s="40" t="str">
        <f>IF(AND('Riesgos de Gestión'!$Z$63="Baja",'Riesgos de Gestión'!$AB$63="Mayor"),CONCATENATE("R9C",'Riesgos de Gestión'!$P$63),"")</f>
        <v/>
      </c>
      <c r="AH44" s="41" t="str">
        <f>IF(AND('Riesgos de Gestión'!$Z$58="Baja",'Riesgos de Gestión'!$AB$58="Catastrófico"),CONCATENATE("R9C",'Riesgos de Gestión'!$P$58),"")</f>
        <v/>
      </c>
      <c r="AI44" s="42" t="str">
        <f>IF(AND('Riesgos de Gestión'!$Z$59="Baja",'Riesgos de Gestión'!$AB$59="Catastrófico"),CONCATENATE("R9C",'Riesgos de Gestión'!$P$59),"")</f>
        <v/>
      </c>
      <c r="AJ44" s="42" t="str">
        <f>IF(AND('Riesgos de Gestión'!$Z$60="Baja",'Riesgos de Gestión'!$AB$60="Catastrófico"),CONCATENATE("R9C",'Riesgos de Gestión'!$P$60),"")</f>
        <v/>
      </c>
      <c r="AK44" s="42" t="str">
        <f>IF(AND('Riesgos de Gestión'!$Z$61="Baja",'Riesgos de Gestión'!$AB$61="Catastrófico"),CONCATENATE("R9C",'Riesgos de Gestión'!$P$61),"")</f>
        <v/>
      </c>
      <c r="AL44" s="42" t="str">
        <f>IF(AND('Riesgos de Gestión'!$Z$62="Baja",'Riesgos de Gestión'!$AB$62="Catastrófico"),CONCATENATE("R9C",'Riesgos de Gestión'!$P$62),"")</f>
        <v/>
      </c>
      <c r="AM44" s="43" t="str">
        <f>IF(AND('Riesgos de Gestión'!$Z$63="Baja",'Riesgos de Gestión'!$AB$63="Catastrófico"),CONCATENATE("R9C",'Riesgos de Gestión'!$P$63),"")</f>
        <v/>
      </c>
      <c r="AN44" s="69"/>
      <c r="AO44" s="566"/>
      <c r="AP44" s="567"/>
      <c r="AQ44" s="567"/>
      <c r="AR44" s="567"/>
      <c r="AS44" s="567"/>
      <c r="AT44" s="568"/>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row>
    <row r="45" spans="1:80" ht="15.75" customHeight="1" thickBot="1" x14ac:dyDescent="0.3">
      <c r="A45" s="69"/>
      <c r="B45" s="447"/>
      <c r="C45" s="447"/>
      <c r="D45" s="448"/>
      <c r="E45" s="547"/>
      <c r="F45" s="548"/>
      <c r="G45" s="548"/>
      <c r="H45" s="548"/>
      <c r="I45" s="548"/>
      <c r="J45" s="65" t="str">
        <f>IF(AND('Riesgos de Gestión'!$Z$64="Baja",'Riesgos de Gestión'!$AB$64="Leve"),CONCATENATE("R10C",'Riesgos de Gestión'!$P$64),"")</f>
        <v/>
      </c>
      <c r="K45" s="66" t="str">
        <f>IF(AND('Riesgos de Gestión'!$Z$65="Baja",'Riesgos de Gestión'!$AB$65="Leve"),CONCATENATE("R10C",'Riesgos de Gestión'!$P$65),"")</f>
        <v/>
      </c>
      <c r="L45" s="66" t="str">
        <f>IF(AND('Riesgos de Gestión'!$Z$66="Baja",'Riesgos de Gestión'!$AB$66="Leve"),CONCATENATE("R10C",'Riesgos de Gestión'!$P$66),"")</f>
        <v/>
      </c>
      <c r="M45" s="66" t="str">
        <f>IF(AND('Riesgos de Gestión'!$Z$67="Baja",'Riesgos de Gestión'!$AB$67="Leve"),CONCATENATE("R10C",'Riesgos de Gestión'!$P$67),"")</f>
        <v/>
      </c>
      <c r="N45" s="66" t="str">
        <f>IF(AND('Riesgos de Gestión'!$Z$68="Baja",'Riesgos de Gestión'!$AB$68="Leve"),CONCATENATE("R10C",'Riesgos de Gestión'!$P$68),"")</f>
        <v/>
      </c>
      <c r="O45" s="67" t="str">
        <f>IF(AND('Riesgos de Gestión'!$Z$69="Baja",'Riesgos de Gestión'!$AB$69="Leve"),CONCATENATE("R10C",'Riesgos de Gestión'!$P$69),"")</f>
        <v/>
      </c>
      <c r="P45" s="53" t="str">
        <f>IF(AND('Riesgos de Gestión'!$Z$64="Baja",'Riesgos de Gestión'!$AB$64="Menor"),CONCATENATE("R10C",'Riesgos de Gestión'!$P$64),"")</f>
        <v/>
      </c>
      <c r="Q45" s="54" t="str">
        <f>IF(AND('Riesgos de Gestión'!$Z$65="Baja",'Riesgos de Gestión'!$AB$65="Menor"),CONCATENATE("R10C",'Riesgos de Gestión'!$P$65),"")</f>
        <v/>
      </c>
      <c r="R45" s="54" t="str">
        <f>IF(AND('Riesgos de Gestión'!$Z$66="Baja",'Riesgos de Gestión'!$AB$66="Menor"),CONCATENATE("R10C",'Riesgos de Gestión'!$P$66),"")</f>
        <v/>
      </c>
      <c r="S45" s="54" t="str">
        <f>IF(AND('Riesgos de Gestión'!$Z$67="Baja",'Riesgos de Gestión'!$AB$67="Menor"),CONCATENATE("R10C",'Riesgos de Gestión'!$P$67),"")</f>
        <v/>
      </c>
      <c r="T45" s="54" t="str">
        <f>IF(AND('Riesgos de Gestión'!$Z$68="Baja",'Riesgos de Gestión'!$AB$68="Menor"),CONCATENATE("R10C",'Riesgos de Gestión'!$P$68),"")</f>
        <v/>
      </c>
      <c r="U45" s="55" t="str">
        <f>IF(AND('Riesgos de Gestión'!$Z$69="Baja",'Riesgos de Gestión'!$AB$69="Menor"),CONCATENATE("R10C",'Riesgos de Gestión'!$P$69),"")</f>
        <v/>
      </c>
      <c r="V45" s="56" t="str">
        <f>IF(AND('Riesgos de Gestión'!$Z$64="Baja",'Riesgos de Gestión'!$AB$64="Moderado"),CONCATENATE("R10C",'Riesgos de Gestión'!$P$64),"")</f>
        <v/>
      </c>
      <c r="W45" s="57" t="str">
        <f>IF(AND('Riesgos de Gestión'!$Z$65="Baja",'Riesgos de Gestión'!$AB$65="Moderado"),CONCATENATE("R10C",'Riesgos de Gestión'!$P$65),"")</f>
        <v/>
      </c>
      <c r="X45" s="57" t="str">
        <f>IF(AND('Riesgos de Gestión'!$Z$66="Baja",'Riesgos de Gestión'!$AB$66="Moderado"),CONCATENATE("R10C",'Riesgos de Gestión'!$P$66),"")</f>
        <v/>
      </c>
      <c r="Y45" s="57" t="str">
        <f>IF(AND('Riesgos de Gestión'!$Z$67="Baja",'Riesgos de Gestión'!$AB$67="Moderado"),CONCATENATE("R10C",'Riesgos de Gestión'!$P$67),"")</f>
        <v/>
      </c>
      <c r="Z45" s="57" t="str">
        <f>IF(AND('Riesgos de Gestión'!$Z$68="Baja",'Riesgos de Gestión'!$AB$68="Moderado"),CONCATENATE("R10C",'Riesgos de Gestión'!$P$68),"")</f>
        <v/>
      </c>
      <c r="AA45" s="58" t="str">
        <f>IF(AND('Riesgos de Gestión'!$Z$69="Baja",'Riesgos de Gestión'!$AB$69="Moderado"),CONCATENATE("R10C",'Riesgos de Gestión'!$P$69),"")</f>
        <v/>
      </c>
      <c r="AB45" s="44" t="str">
        <f>IF(AND('Riesgos de Gestión'!$Z$64="Baja",'Riesgos de Gestión'!$AB$64="Mayor"),CONCATENATE("R10C",'Riesgos de Gestión'!$P$64),"")</f>
        <v/>
      </c>
      <c r="AC45" s="45" t="str">
        <f>IF(AND('Riesgos de Gestión'!$Z$65="Baja",'Riesgos de Gestión'!$AB$65="Mayor"),CONCATENATE("R10C",'Riesgos de Gestión'!$P$65),"")</f>
        <v/>
      </c>
      <c r="AD45" s="45" t="str">
        <f>IF(AND('Riesgos de Gestión'!$Z$66="Baja",'Riesgos de Gestión'!$AB$66="Mayor"),CONCATENATE("R10C",'Riesgos de Gestión'!$P$66),"")</f>
        <v/>
      </c>
      <c r="AE45" s="45" t="str">
        <f>IF(AND('Riesgos de Gestión'!$Z$67="Baja",'Riesgos de Gestión'!$AB$67="Mayor"),CONCATENATE("R10C",'Riesgos de Gestión'!$P$67),"")</f>
        <v/>
      </c>
      <c r="AF45" s="45" t="str">
        <f>IF(AND('Riesgos de Gestión'!$Z$68="Baja",'Riesgos de Gestión'!$AB$68="Mayor"),CONCATENATE("R10C",'Riesgos de Gestión'!$P$68),"")</f>
        <v/>
      </c>
      <c r="AG45" s="46" t="str">
        <f>IF(AND('Riesgos de Gestión'!$Z$69="Baja",'Riesgos de Gestión'!$AB$69="Mayor"),CONCATENATE("R10C",'Riesgos de Gestión'!$P$69),"")</f>
        <v/>
      </c>
      <c r="AH45" s="47" t="str">
        <f>IF(AND('Riesgos de Gestión'!$Z$64="Baja",'Riesgos de Gestión'!$AB$64="Catastrófico"),CONCATENATE("R10C",'Riesgos de Gestión'!$P$64),"")</f>
        <v/>
      </c>
      <c r="AI45" s="48" t="str">
        <f>IF(AND('Riesgos de Gestión'!$Z$65="Baja",'Riesgos de Gestión'!$AB$65="Catastrófico"),CONCATENATE("R10C",'Riesgos de Gestión'!$P$65),"")</f>
        <v/>
      </c>
      <c r="AJ45" s="48" t="str">
        <f>IF(AND('Riesgos de Gestión'!$Z$66="Baja",'Riesgos de Gestión'!$AB$66="Catastrófico"),CONCATENATE("R10C",'Riesgos de Gestión'!$P$66),"")</f>
        <v/>
      </c>
      <c r="AK45" s="48" t="str">
        <f>IF(AND('Riesgos de Gestión'!$Z$67="Baja",'Riesgos de Gestión'!$AB$67="Catastrófico"),CONCATENATE("R10C",'Riesgos de Gestión'!$P$67),"")</f>
        <v/>
      </c>
      <c r="AL45" s="48" t="str">
        <f>IF(AND('Riesgos de Gestión'!$Z$68="Baja",'Riesgos de Gestión'!$AB$68="Catastrófico"),CONCATENATE("R10C",'Riesgos de Gestión'!$P$68),"")</f>
        <v/>
      </c>
      <c r="AM45" s="49" t="str">
        <f>IF(AND('Riesgos de Gestión'!$Z$69="Baja",'Riesgos de Gestión'!$AB$69="Catastrófico"),CONCATENATE("R10C",'Riesgos de Gestión'!$P$69),"")</f>
        <v/>
      </c>
      <c r="AN45" s="69"/>
      <c r="AO45" s="569"/>
      <c r="AP45" s="570"/>
      <c r="AQ45" s="570"/>
      <c r="AR45" s="570"/>
      <c r="AS45" s="570"/>
      <c r="AT45" s="571"/>
    </row>
    <row r="46" spans="1:80" ht="46.5" customHeight="1" x14ac:dyDescent="0.35">
      <c r="A46" s="69"/>
      <c r="B46" s="447"/>
      <c r="C46" s="447"/>
      <c r="D46" s="448"/>
      <c r="E46" s="542" t="s">
        <v>112</v>
      </c>
      <c r="F46" s="543"/>
      <c r="G46" s="543"/>
      <c r="H46" s="543"/>
      <c r="I46" s="560"/>
      <c r="J46" s="59" t="str">
        <f ca="1">IF(AND('Riesgos de Gestión'!$Z$10="Muy Baja",'Riesgos de Gestión'!$AB$10="Leve"),CONCATENATE("R1C",'Riesgos de Gestión'!$P$10),"")</f>
        <v/>
      </c>
      <c r="K46" s="60" t="str">
        <f ca="1">IF(AND('Riesgos de Gestión'!$Z$11="Muy Baja",'Riesgos de Gestión'!$AB$11="Leve"),CONCATENATE("R1C",'Riesgos de Gestión'!$P$11),"")</f>
        <v/>
      </c>
      <c r="L46" s="60" t="str">
        <f ca="1">IF(AND('Riesgos de Gestión'!$Z$12="Muy Baja",'Riesgos de Gestión'!$AB$12="Leve"),CONCATENATE("R1C",'Riesgos de Gestión'!$P$12),"")</f>
        <v/>
      </c>
      <c r="M46" s="60" t="str">
        <f ca="1">IF(AND('Riesgos de Gestión'!$Z$13="Muy Baja",'Riesgos de Gestión'!$AB$13="Leve"),CONCATENATE("R1C",'Riesgos de Gestión'!$P$13),"")</f>
        <v/>
      </c>
      <c r="N46" s="60" t="str">
        <f ca="1">IF(AND('Riesgos de Gestión'!$Z$14="Muy Baja",'Riesgos de Gestión'!$AB$14="Leve"),CONCATENATE("R1C",'Riesgos de Gestión'!$P$14),"")</f>
        <v/>
      </c>
      <c r="O46" s="61" t="str">
        <f ca="1">IF(AND('Riesgos de Gestión'!$Z$15="Muy Baja",'Riesgos de Gestión'!$AB$15="Leve"),CONCATENATE("R1C",'Riesgos de Gestión'!$P$15),"")</f>
        <v/>
      </c>
      <c r="P46" s="59" t="str">
        <f ca="1">IF(AND('Riesgos de Gestión'!$Z$10="Muy Baja",'Riesgos de Gestión'!$AB$10="Menor"),CONCATENATE("R1C",'Riesgos de Gestión'!$P$10),"")</f>
        <v/>
      </c>
      <c r="Q46" s="60" t="str">
        <f ca="1">IF(AND('Riesgos de Gestión'!$Z$11="Muy Baja",'Riesgos de Gestión'!$AB$11="Menor"),CONCATENATE("R1C",'Riesgos de Gestión'!$P$11),"")</f>
        <v/>
      </c>
      <c r="R46" s="60" t="str">
        <f ca="1">IF(AND('Riesgos de Gestión'!$Z$12="Muy Baja",'Riesgos de Gestión'!$AB$12="Menor"),CONCATENATE("R1C",'Riesgos de Gestión'!$P$12),"")</f>
        <v/>
      </c>
      <c r="S46" s="60" t="str">
        <f ca="1">IF(AND('Riesgos de Gestión'!$Z$13="Muy Baja",'Riesgos de Gestión'!$AB$13="Menor"),CONCATENATE("R1C",'Riesgos de Gestión'!$P$13),"")</f>
        <v/>
      </c>
      <c r="T46" s="60" t="str">
        <f ca="1">IF(AND('Riesgos de Gestión'!$Z$14="Muy Baja",'Riesgos de Gestión'!$AB$14="Menor"),CONCATENATE("R1C",'Riesgos de Gestión'!$P$14),"")</f>
        <v/>
      </c>
      <c r="U46" s="61" t="str">
        <f ca="1">IF(AND('Riesgos de Gestión'!$Z$15="Muy Baja",'Riesgos de Gestión'!$AB$15="Menor"),CONCATENATE("R1C",'Riesgos de Gestión'!$P$15),"")</f>
        <v/>
      </c>
      <c r="V46" s="50" t="str">
        <f ca="1">IF(AND('Riesgos de Gestión'!$Z$10="Muy Baja",'Riesgos de Gestión'!$AB$10="Moderado"),CONCATENATE("R1C",'Riesgos de Gestión'!$P$10),"")</f>
        <v/>
      </c>
      <c r="W46" s="68" t="str">
        <f ca="1">IF(AND('Riesgos de Gestión'!$Z$11="Muy Baja",'Riesgos de Gestión'!$AB$11="Moderado"),CONCATENATE("R1C",'Riesgos de Gestión'!$P$11),"")</f>
        <v/>
      </c>
      <c r="X46" s="51" t="str">
        <f ca="1">IF(AND('Riesgos de Gestión'!$Z$12="Muy Baja",'Riesgos de Gestión'!$AB$12="Moderado"),CONCATENATE("R1C",'Riesgos de Gestión'!$P$12),"")</f>
        <v/>
      </c>
      <c r="Y46" s="51" t="str">
        <f ca="1">IF(AND('Riesgos de Gestión'!$Z$13="Muy Baja",'Riesgos de Gestión'!$AB$13="Moderado"),CONCATENATE("R1C",'Riesgos de Gestión'!$P$13),"")</f>
        <v/>
      </c>
      <c r="Z46" s="51" t="str">
        <f ca="1">IF(AND('Riesgos de Gestión'!$Z$14="Muy Baja",'Riesgos de Gestión'!$AB$14="Moderado"),CONCATENATE("R1C",'Riesgos de Gestión'!$P$14),"")</f>
        <v/>
      </c>
      <c r="AA46" s="52" t="str">
        <f ca="1">IF(AND('Riesgos de Gestión'!$Z$15="Muy Baja",'Riesgos de Gestión'!$AB$15="Moderado"),CONCATENATE("R1C",'Riesgos de Gestión'!$P$15),"")</f>
        <v>R1C1</v>
      </c>
      <c r="AB46" s="32" t="str">
        <f ca="1">IF(AND('Riesgos de Gestión'!$Z$10="Muy Baja",'Riesgos de Gestión'!$AB$10="Mayor"),CONCATENATE("R1C",'Riesgos de Gestión'!$P$10),"")</f>
        <v/>
      </c>
      <c r="AC46" s="33" t="str">
        <f ca="1">IF(AND('Riesgos de Gestión'!$Z$11="Muy Baja",'Riesgos de Gestión'!$AB$11="Mayor"),CONCATENATE("R1C",'Riesgos de Gestión'!$P$11),"")</f>
        <v/>
      </c>
      <c r="AD46" s="33" t="str">
        <f ca="1">IF(AND('Riesgos de Gestión'!$Z$12="Muy Baja",'Riesgos de Gestión'!$AB$12="Mayor"),CONCATENATE("R1C",'Riesgos de Gestión'!$P$12),"")</f>
        <v/>
      </c>
      <c r="AE46" s="33" t="str">
        <f ca="1">IF(AND('Riesgos de Gestión'!$Z$13="Muy Baja",'Riesgos de Gestión'!$AB$13="Mayor"),CONCATENATE("R1C",'Riesgos de Gestión'!$P$13),"")</f>
        <v/>
      </c>
      <c r="AF46" s="33" t="str">
        <f ca="1">IF(AND('Riesgos de Gestión'!$Z$14="Muy Baja",'Riesgos de Gestión'!$AB$14="Mayor"),CONCATENATE("R1C",'Riesgos de Gestión'!$P$14),"")</f>
        <v/>
      </c>
      <c r="AG46" s="34" t="str">
        <f ca="1">IF(AND('Riesgos de Gestión'!$Z$15="Muy Baja",'Riesgos de Gestión'!$AB$15="Mayor"),CONCATENATE("R1C",'Riesgos de Gestión'!$P$15),"")</f>
        <v/>
      </c>
      <c r="AH46" s="35" t="str">
        <f ca="1">IF(AND('Riesgos de Gestión'!$Z$10="Muy Baja",'Riesgos de Gestión'!$AB$10="Catastrófico"),CONCATENATE("R1C",'Riesgos de Gestión'!$P$10),"")</f>
        <v/>
      </c>
      <c r="AI46" s="36" t="str">
        <f ca="1">IF(AND('Riesgos de Gestión'!$Z$11="Muy Baja",'Riesgos de Gestión'!$AB$11="Catastrófico"),CONCATENATE("R1C",'Riesgos de Gestión'!$P$11),"")</f>
        <v/>
      </c>
      <c r="AJ46" s="36" t="str">
        <f ca="1">IF(AND('Riesgos de Gestión'!$Z$12="Muy Baja",'Riesgos de Gestión'!$AB$12="Catastrófico"),CONCATENATE("R1C",'Riesgos de Gestión'!$P$12),"")</f>
        <v/>
      </c>
      <c r="AK46" s="36" t="str">
        <f ca="1">IF(AND('Riesgos de Gestión'!$Z$13="Muy Baja",'Riesgos de Gestión'!$AB$13="Catastrófico"),CONCATENATE("R1C",'Riesgos de Gestión'!$P$13),"")</f>
        <v/>
      </c>
      <c r="AL46" s="36" t="str">
        <f ca="1">IF(AND('Riesgos de Gestión'!$Z$14="Muy Baja",'Riesgos de Gestión'!$AB$14="Catastrófico"),CONCATENATE("R1C",'Riesgos de Gestión'!$P$14),"")</f>
        <v/>
      </c>
      <c r="AM46" s="37" t="str">
        <f ca="1">IF(AND('Riesgos de Gestión'!$Z$15="Muy Baja",'Riesgos de Gestión'!$AB$15="Catastrófico"),CONCATENATE("R1C",'Riesgos de Gestión'!$P$15),"")</f>
        <v/>
      </c>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row>
    <row r="47" spans="1:80" ht="46.5" customHeight="1" x14ac:dyDescent="0.25">
      <c r="A47" s="69"/>
      <c r="B47" s="447"/>
      <c r="C47" s="447"/>
      <c r="D47" s="448"/>
      <c r="E47" s="544"/>
      <c r="F47" s="545"/>
      <c r="G47" s="545"/>
      <c r="H47" s="545"/>
      <c r="I47" s="561"/>
      <c r="J47" s="62" t="str">
        <f ca="1">IF(AND('Riesgos de Gestión'!$Z$16="Muy Baja",'Riesgos de Gestión'!$AB$16="Leve"),CONCATENATE("R2C",'Riesgos de Gestión'!$P$16),"")</f>
        <v/>
      </c>
      <c r="K47" s="63" t="str">
        <f ca="1">IF(AND('Riesgos de Gestión'!$Z$17="Muy Baja",'Riesgos de Gestión'!$AB$17="Leve"),CONCATENATE("R2C",'Riesgos de Gestión'!$P$17),"")</f>
        <v/>
      </c>
      <c r="L47" s="63" t="str">
        <f ca="1">IF(AND('Riesgos de Gestión'!$Z$18="Muy Baja",'Riesgos de Gestión'!$AB$18="Leve"),CONCATENATE("R2C",'Riesgos de Gestión'!$P$18),"")</f>
        <v/>
      </c>
      <c r="M47" s="63" t="str">
        <f ca="1">IF(AND('Riesgos de Gestión'!$Z$19="Muy Baja",'Riesgos de Gestión'!$AB$19="Leve"),CONCATENATE("R2C",'Riesgos de Gestión'!$P$19),"")</f>
        <v/>
      </c>
      <c r="N47" s="63" t="str">
        <f ca="1">IF(AND('Riesgos de Gestión'!$Z$20="Muy Baja",'Riesgos de Gestión'!$AB$20="Leve"),CONCATENATE("R2C",'Riesgos de Gestión'!$P$20),"")</f>
        <v/>
      </c>
      <c r="O47" s="64" t="str">
        <f ca="1">IF(AND('Riesgos de Gestión'!$Z$21="Muy Baja",'Riesgos de Gestión'!$AB$21="Leve"),CONCATENATE("R2C",'Riesgos de Gestión'!$P$21),"")</f>
        <v/>
      </c>
      <c r="P47" s="62" t="str">
        <f ca="1">IF(AND('Riesgos de Gestión'!$Z$16="Muy Baja",'Riesgos de Gestión'!$AB$16="Menor"),CONCATENATE("R2C",'Riesgos de Gestión'!$P$16),"")</f>
        <v/>
      </c>
      <c r="Q47" s="63" t="str">
        <f ca="1">IF(AND('Riesgos de Gestión'!$Z$17="Muy Baja",'Riesgos de Gestión'!$AB$17="Menor"),CONCATENATE("R2C",'Riesgos de Gestión'!$P$17),"")</f>
        <v/>
      </c>
      <c r="R47" s="63" t="str">
        <f ca="1">IF(AND('Riesgos de Gestión'!$Z$18="Muy Baja",'Riesgos de Gestión'!$AB$18="Menor"),CONCATENATE("R2C",'Riesgos de Gestión'!$P$18),"")</f>
        <v/>
      </c>
      <c r="S47" s="63" t="str">
        <f ca="1">IF(AND('Riesgos de Gestión'!$Z$19="Muy Baja",'Riesgos de Gestión'!$AB$19="Menor"),CONCATENATE("R2C",'Riesgos de Gestión'!$P$19),"")</f>
        <v/>
      </c>
      <c r="T47" s="63" t="str">
        <f ca="1">IF(AND('Riesgos de Gestión'!$Z$20="Muy Baja",'Riesgos de Gestión'!$AB$20="Menor"),CONCATENATE("R2C",'Riesgos de Gestión'!$P$20),"")</f>
        <v/>
      </c>
      <c r="U47" s="64" t="str">
        <f ca="1">IF(AND('Riesgos de Gestión'!$Z$21="Muy Baja",'Riesgos de Gestión'!$AB$21="Menor"),CONCATENATE("R2C",'Riesgos de Gestión'!$P$21),"")</f>
        <v/>
      </c>
      <c r="V47" s="53" t="str">
        <f ca="1">IF(AND('Riesgos de Gestión'!$Z$16="Muy Baja",'Riesgos de Gestión'!$AB$16="Moderado"),CONCATENATE("R2C",'Riesgos de Gestión'!$P$16),"")</f>
        <v/>
      </c>
      <c r="W47" s="54" t="str">
        <f ca="1">IF(AND('Riesgos de Gestión'!$Z$17="Muy Baja",'Riesgos de Gestión'!$AB$17="Moderado"),CONCATENATE("R2C",'Riesgos de Gestión'!$P$17),"")</f>
        <v/>
      </c>
      <c r="X47" s="54" t="str">
        <f ca="1">IF(AND('Riesgos de Gestión'!$Z$18="Muy Baja",'Riesgos de Gestión'!$AB$18="Moderado"),CONCATENATE("R2C",'Riesgos de Gestión'!$P$18),"")</f>
        <v>R2C1</v>
      </c>
      <c r="Y47" s="54" t="str">
        <f ca="1">IF(AND('Riesgos de Gestión'!$Z$19="Muy Baja",'Riesgos de Gestión'!$AB$19="Moderado"),CONCATENATE("R2C",'Riesgos de Gestión'!$P$19),"")</f>
        <v/>
      </c>
      <c r="Z47" s="54" t="str">
        <f ca="1">IF(AND('Riesgos de Gestión'!$Z$20="Muy Baja",'Riesgos de Gestión'!$AB$20="Moderado"),CONCATENATE("R2C",'Riesgos de Gestión'!$P$20),"")</f>
        <v/>
      </c>
      <c r="AA47" s="55" t="str">
        <f ca="1">IF(AND('Riesgos de Gestión'!$Z$21="Muy Baja",'Riesgos de Gestión'!$AB$21="Moderado"),CONCATENATE("R2C",'Riesgos de Gestión'!$P$21),"")</f>
        <v/>
      </c>
      <c r="AB47" s="38" t="str">
        <f ca="1">IF(AND('Riesgos de Gestión'!$Z$16="Muy Baja",'Riesgos de Gestión'!$AB$16="Mayor"),CONCATENATE("R2C",'Riesgos de Gestión'!$P$16),"")</f>
        <v/>
      </c>
      <c r="AC47" s="39" t="str">
        <f ca="1">IF(AND('Riesgos de Gestión'!$Z$17="Muy Baja",'Riesgos de Gestión'!$AB$17="Mayor"),CONCATENATE("R2C",'Riesgos de Gestión'!$P$17),"")</f>
        <v/>
      </c>
      <c r="AD47" s="39" t="str">
        <f ca="1">IF(AND('Riesgos de Gestión'!$Z$18="Muy Baja",'Riesgos de Gestión'!$AB$18="Mayor"),CONCATENATE("R2C",'Riesgos de Gestión'!$P$18),"")</f>
        <v/>
      </c>
      <c r="AE47" s="39" t="str">
        <f ca="1">IF(AND('Riesgos de Gestión'!$Z$19="Muy Baja",'Riesgos de Gestión'!$AB$19="Mayor"),CONCATENATE("R2C",'Riesgos de Gestión'!$P$19),"")</f>
        <v>R2C1</v>
      </c>
      <c r="AF47" s="39" t="str">
        <f ca="1">IF(AND('Riesgos de Gestión'!$Z$20="Muy Baja",'Riesgos de Gestión'!$AB$20="Mayor"),CONCATENATE("R2C",'Riesgos de Gestión'!$P$20),"")</f>
        <v>R2C2</v>
      </c>
      <c r="AG47" s="40" t="str">
        <f ca="1">IF(AND('Riesgos de Gestión'!$Z$21="Muy Baja",'Riesgos de Gestión'!$AB$21="Mayor"),CONCATENATE("R2C",'Riesgos de Gestión'!$P$21),"")</f>
        <v/>
      </c>
      <c r="AH47" s="41" t="str">
        <f ca="1">IF(AND('Riesgos de Gestión'!$Z$16="Muy Baja",'Riesgos de Gestión'!$AB$16="Catastrófico"),CONCATENATE("R2C",'Riesgos de Gestión'!$P$16),"")</f>
        <v/>
      </c>
      <c r="AI47" s="42" t="str">
        <f ca="1">IF(AND('Riesgos de Gestión'!$Z$17="Muy Baja",'Riesgos de Gestión'!$AB$17="Catastrófico"),CONCATENATE("R2C",'Riesgos de Gestión'!$P$17),"")</f>
        <v/>
      </c>
      <c r="AJ47" s="42" t="str">
        <f ca="1">IF(AND('Riesgos de Gestión'!$Z$18="Muy Baja",'Riesgos de Gestión'!$AB$18="Catastrófico"),CONCATENATE("R2C",'Riesgos de Gestión'!$P$18),"")</f>
        <v/>
      </c>
      <c r="AK47" s="42" t="str">
        <f ca="1">IF(AND('Riesgos de Gestión'!$Z$19="Muy Baja",'Riesgos de Gestión'!$AB$19="Catastrófico"),CONCATENATE("R2C",'Riesgos de Gestión'!$P$19),"")</f>
        <v/>
      </c>
      <c r="AL47" s="42" t="str">
        <f ca="1">IF(AND('Riesgos de Gestión'!$Z$20="Muy Baja",'Riesgos de Gestión'!$AB$20="Catastrófico"),CONCATENATE("R2C",'Riesgos de Gestión'!$P$20),"")</f>
        <v/>
      </c>
      <c r="AM47" s="43" t="str">
        <f ca="1">IF(AND('Riesgos de Gestión'!$Z$21="Muy Baja",'Riesgos de Gestión'!$AB$21="Catastrófico"),CONCATENATE("R2C",'Riesgos de Gestión'!$P$21),"")</f>
        <v/>
      </c>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row>
    <row r="48" spans="1:80" ht="15" customHeight="1" x14ac:dyDescent="0.25">
      <c r="A48" s="69"/>
      <c r="B48" s="447"/>
      <c r="C48" s="447"/>
      <c r="D48" s="448"/>
      <c r="E48" s="544"/>
      <c r="F48" s="545"/>
      <c r="G48" s="545"/>
      <c r="H48" s="545"/>
      <c r="I48" s="561"/>
      <c r="J48" s="62" t="str">
        <f ca="1">IF(AND('Riesgos de Gestión'!$Z$22="Muy Baja",'Riesgos de Gestión'!$AB$22="Leve"),CONCATENATE("R3C",'Riesgos de Gestión'!$P$22),"")</f>
        <v/>
      </c>
      <c r="K48" s="63" t="str">
        <f ca="1">IF(AND('Riesgos de Gestión'!$Z$23="Muy Baja",'Riesgos de Gestión'!$AB$23="Leve"),CONCATENATE("R3C",'Riesgos de Gestión'!$P$23),"")</f>
        <v/>
      </c>
      <c r="L48" s="63" t="str">
        <f ca="1">IF(AND('Riesgos de Gestión'!$Z$24="Muy Baja",'Riesgos de Gestión'!$AB$24="Leve"),CONCATENATE("R3C",'Riesgos de Gestión'!$P$24),"")</f>
        <v/>
      </c>
      <c r="M48" s="63" t="str">
        <f ca="1">IF(AND('Riesgos de Gestión'!$Z$25="Muy Baja",'Riesgos de Gestión'!$AB$25="Leve"),CONCATENATE("R3C",'Riesgos de Gestión'!$P$25),"")</f>
        <v/>
      </c>
      <c r="N48" s="63" t="str">
        <f ca="1">IF(AND('Riesgos de Gestión'!$Z$26="Muy Baja",'Riesgos de Gestión'!$AB$26="Leve"),CONCATENATE("R3C",'Riesgos de Gestión'!$P$26),"")</f>
        <v/>
      </c>
      <c r="O48" s="64" t="str">
        <f ca="1">IF(AND('Riesgos de Gestión'!$Z$27="Muy Baja",'Riesgos de Gestión'!$AB$27="Leve"),CONCATENATE("R3C",'Riesgos de Gestión'!$P$27),"")</f>
        <v/>
      </c>
      <c r="P48" s="62" t="str">
        <f ca="1">IF(AND('Riesgos de Gestión'!$Z$22="Muy Baja",'Riesgos de Gestión'!$AB$22="Menor"),CONCATENATE("R3C",'Riesgos de Gestión'!$P$22),"")</f>
        <v/>
      </c>
      <c r="Q48" s="63" t="str">
        <f ca="1">IF(AND('Riesgos de Gestión'!$Z$23="Muy Baja",'Riesgos de Gestión'!$AB$23="Menor"),CONCATENATE("R3C",'Riesgos de Gestión'!$P$23),"")</f>
        <v/>
      </c>
      <c r="R48" s="63" t="str">
        <f ca="1">IF(AND('Riesgos de Gestión'!$Z$24="Muy Baja",'Riesgos de Gestión'!$AB$24="Menor"),CONCATENATE("R3C",'Riesgos de Gestión'!$P$24),"")</f>
        <v/>
      </c>
      <c r="S48" s="63" t="str">
        <f ca="1">IF(AND('Riesgos de Gestión'!$Z$25="Muy Baja",'Riesgos de Gestión'!$AB$25="Menor"),CONCATENATE("R3C",'Riesgos de Gestión'!$P$25),"")</f>
        <v/>
      </c>
      <c r="T48" s="63" t="str">
        <f ca="1">IF(AND('Riesgos de Gestión'!$Z$26="Muy Baja",'Riesgos de Gestión'!$AB$26="Menor"),CONCATENATE("R3C",'Riesgos de Gestión'!$P$26),"")</f>
        <v/>
      </c>
      <c r="U48" s="64" t="str">
        <f ca="1">IF(AND('Riesgos de Gestión'!$Z$27="Muy Baja",'Riesgos de Gestión'!$AB$27="Menor"),CONCATENATE("R3C",'Riesgos de Gestión'!$P$27),"")</f>
        <v/>
      </c>
      <c r="V48" s="53" t="str">
        <f ca="1">IF(AND('Riesgos de Gestión'!$Z$22="Muy Baja",'Riesgos de Gestión'!$AB$22="Moderado"),CONCATENATE("R3C",'Riesgos de Gestión'!$P$22),"")</f>
        <v/>
      </c>
      <c r="W48" s="54" t="str">
        <f ca="1">IF(AND('Riesgos de Gestión'!$Z$23="Muy Baja",'Riesgos de Gestión'!$AB$23="Moderado"),CONCATENATE("R3C",'Riesgos de Gestión'!$P$23),"")</f>
        <v/>
      </c>
      <c r="X48" s="54" t="str">
        <f ca="1">IF(AND('Riesgos de Gestión'!$Z$24="Muy Baja",'Riesgos de Gestión'!$AB$24="Moderado"),CONCATENATE("R3C",'Riesgos de Gestión'!$P$24),"")</f>
        <v/>
      </c>
      <c r="Y48" s="54" t="str">
        <f ca="1">IF(AND('Riesgos de Gestión'!$Z$25="Muy Baja",'Riesgos de Gestión'!$AB$25="Moderado"),CONCATENATE("R3C",'Riesgos de Gestión'!$P$25),"")</f>
        <v/>
      </c>
      <c r="Z48" s="54" t="str">
        <f ca="1">IF(AND('Riesgos de Gestión'!$Z$26="Muy Baja",'Riesgos de Gestión'!$AB$26="Moderado"),CONCATENATE("R3C",'Riesgos de Gestión'!$P$26),"")</f>
        <v/>
      </c>
      <c r="AA48" s="55" t="str">
        <f ca="1">IF(AND('Riesgos de Gestión'!$Z$27="Muy Baja",'Riesgos de Gestión'!$AB$27="Moderado"),CONCATENATE("R3C",'Riesgos de Gestión'!$P$27),"")</f>
        <v/>
      </c>
      <c r="AB48" s="38" t="str">
        <f ca="1">IF(AND('Riesgos de Gestión'!$Z$22="Muy Baja",'Riesgos de Gestión'!$AB$22="Mayor"),CONCATENATE("R3C",'Riesgos de Gestión'!$P$22),"")</f>
        <v/>
      </c>
      <c r="AC48" s="39" t="str">
        <f ca="1">IF(AND('Riesgos de Gestión'!$Z$23="Muy Baja",'Riesgos de Gestión'!$AB$23="Mayor"),CONCATENATE("R3C",'Riesgos de Gestión'!$P$23),"")</f>
        <v/>
      </c>
      <c r="AD48" s="39" t="str">
        <f ca="1">IF(AND('Riesgos de Gestión'!$Z$24="Muy Baja",'Riesgos de Gestión'!$AB$24="Mayor"),CONCATENATE("R3C",'Riesgos de Gestión'!$P$24),"")</f>
        <v/>
      </c>
      <c r="AE48" s="39" t="str">
        <f ca="1">IF(AND('Riesgos de Gestión'!$Z$25="Muy Baja",'Riesgos de Gestión'!$AB$25="Mayor"),CONCATENATE("R3C",'Riesgos de Gestión'!$P$25),"")</f>
        <v/>
      </c>
      <c r="AF48" s="39" t="str">
        <f ca="1">IF(AND('Riesgos de Gestión'!$Z$26="Muy Baja",'Riesgos de Gestión'!$AB$26="Mayor"),CONCATENATE("R3C",'Riesgos de Gestión'!$P$26),"")</f>
        <v/>
      </c>
      <c r="AG48" s="40" t="str">
        <f ca="1">IF(AND('Riesgos de Gestión'!$Z$27="Muy Baja",'Riesgos de Gestión'!$AB$27="Mayor"),CONCATENATE("R3C",'Riesgos de Gestión'!$P$27),"")</f>
        <v/>
      </c>
      <c r="AH48" s="41" t="str">
        <f ca="1">IF(AND('Riesgos de Gestión'!$Z$22="Muy Baja",'Riesgos de Gestión'!$AB$22="Catastrófico"),CONCATENATE("R3C",'Riesgos de Gestión'!$P$22),"")</f>
        <v/>
      </c>
      <c r="AI48" s="42" t="str">
        <f ca="1">IF(AND('Riesgos de Gestión'!$Z$23="Muy Baja",'Riesgos de Gestión'!$AB$23="Catastrófico"),CONCATENATE("R3C",'Riesgos de Gestión'!$P$23),"")</f>
        <v/>
      </c>
      <c r="AJ48" s="42" t="str">
        <f ca="1">IF(AND('Riesgos de Gestión'!$Z$24="Muy Baja",'Riesgos de Gestión'!$AB$24="Catastrófico"),CONCATENATE("R3C",'Riesgos de Gestión'!$P$24),"")</f>
        <v/>
      </c>
      <c r="AK48" s="42" t="str">
        <f ca="1">IF(AND('Riesgos de Gestión'!$Z$25="Muy Baja",'Riesgos de Gestión'!$AB$25="Catastrófico"),CONCATENATE("R3C",'Riesgos de Gestión'!$P$25),"")</f>
        <v/>
      </c>
      <c r="AL48" s="42" t="str">
        <f ca="1">IF(AND('Riesgos de Gestión'!$Z$26="Muy Baja",'Riesgos de Gestión'!$AB$26="Catastrófico"),CONCATENATE("R3C",'Riesgos de Gestión'!$P$26),"")</f>
        <v/>
      </c>
      <c r="AM48" s="43" t="str">
        <f ca="1">IF(AND('Riesgos de Gestión'!$Z$27="Muy Baja",'Riesgos de Gestión'!$AB$27="Catastrófico"),CONCATENATE("R3C",'Riesgos de Gestión'!$P$27),"")</f>
        <v/>
      </c>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row>
    <row r="49" spans="1:80" ht="15" customHeight="1" x14ac:dyDescent="0.25">
      <c r="A49" s="69"/>
      <c r="B49" s="447"/>
      <c r="C49" s="447"/>
      <c r="D49" s="448"/>
      <c r="E49" s="546"/>
      <c r="F49" s="545"/>
      <c r="G49" s="545"/>
      <c r="H49" s="545"/>
      <c r="I49" s="561"/>
      <c r="J49" s="62" t="str">
        <f ca="1">IF(AND('Riesgos de Gestión'!$Z$28="Muy Baja",'Riesgos de Gestión'!$AB$28="Leve"),CONCATENATE("R4C",'Riesgos de Gestión'!$P$28),"")</f>
        <v/>
      </c>
      <c r="K49" s="63" t="str">
        <f ca="1">IF(AND('Riesgos de Gestión'!$Z$29="Muy Baja",'Riesgos de Gestión'!$AB$29="Leve"),CONCATENATE("R4C",'Riesgos de Gestión'!$P$29),"")</f>
        <v/>
      </c>
      <c r="L49" s="63" t="str">
        <f ca="1">IF(AND('Riesgos de Gestión'!$Z$30="Muy Baja",'Riesgos de Gestión'!$AB$30="Leve"),CONCATENATE("R4C",'Riesgos de Gestión'!$P$30),"")</f>
        <v/>
      </c>
      <c r="M49" s="63" t="str">
        <f ca="1">IF(AND('Riesgos de Gestión'!$Z$31="Muy Baja",'Riesgos de Gestión'!$AB$31="Leve"),CONCATENATE("R4C",'Riesgos de Gestión'!$P$31),"")</f>
        <v/>
      </c>
      <c r="N49" s="63" t="str">
        <f ca="1">IF(AND('Riesgos de Gestión'!$Z$32="Muy Baja",'Riesgos de Gestión'!$AB$32="Leve"),CONCATENATE("R4C",'Riesgos de Gestión'!$P$32),"")</f>
        <v/>
      </c>
      <c r="O49" s="64" t="str">
        <f ca="1">IF(AND('Riesgos de Gestión'!$Z$33="Muy Baja",'Riesgos de Gestión'!$AB$33="Leve"),CONCATENATE("R4C",'Riesgos de Gestión'!$P$33),"")</f>
        <v/>
      </c>
      <c r="P49" s="62" t="str">
        <f ca="1">IF(AND('Riesgos de Gestión'!$Z$28="Muy Baja",'Riesgos de Gestión'!$AB$28="Menor"),CONCATENATE("R4C",'Riesgos de Gestión'!$P$28),"")</f>
        <v/>
      </c>
      <c r="Q49" s="63" t="str">
        <f ca="1">IF(AND('Riesgos de Gestión'!$Z$29="Muy Baja",'Riesgos de Gestión'!$AB$29="Menor"),CONCATENATE("R4C",'Riesgos de Gestión'!$P$29),"")</f>
        <v/>
      </c>
      <c r="R49" s="63" t="str">
        <f ca="1">IF(AND('Riesgos de Gestión'!$Z$30="Muy Baja",'Riesgos de Gestión'!$AB$30="Menor"),CONCATENATE("R4C",'Riesgos de Gestión'!$P$30),"")</f>
        <v/>
      </c>
      <c r="S49" s="63" t="str">
        <f ca="1">IF(AND('Riesgos de Gestión'!$Z$31="Muy Baja",'Riesgos de Gestión'!$AB$31="Menor"),CONCATENATE("R4C",'Riesgos de Gestión'!$P$31),"")</f>
        <v/>
      </c>
      <c r="T49" s="63" t="str">
        <f ca="1">IF(AND('Riesgos de Gestión'!$Z$32="Muy Baja",'Riesgos de Gestión'!$AB$32="Menor"),CONCATENATE("R4C",'Riesgos de Gestión'!$P$32),"")</f>
        <v/>
      </c>
      <c r="U49" s="64" t="str">
        <f ca="1">IF(AND('Riesgos de Gestión'!$Z$33="Muy Baja",'Riesgos de Gestión'!$AB$33="Menor"),CONCATENATE("R4C",'Riesgos de Gestión'!$P$33),"")</f>
        <v/>
      </c>
      <c r="V49" s="53" t="str">
        <f ca="1">IF(AND('Riesgos de Gestión'!$Z$28="Muy Baja",'Riesgos de Gestión'!$AB$28="Moderado"),CONCATENATE("R4C",'Riesgos de Gestión'!$P$28),"")</f>
        <v/>
      </c>
      <c r="W49" s="54" t="str">
        <f ca="1">IF(AND('Riesgos de Gestión'!$Z$29="Muy Baja",'Riesgos de Gestión'!$AB$29="Moderado"),CONCATENATE("R4C",'Riesgos de Gestión'!$P$29),"")</f>
        <v/>
      </c>
      <c r="X49" s="54" t="str">
        <f ca="1">IF(AND('Riesgos de Gestión'!$Z$30="Muy Baja",'Riesgos de Gestión'!$AB$30="Moderado"),CONCATENATE("R4C",'Riesgos de Gestión'!$P$30),"")</f>
        <v/>
      </c>
      <c r="Y49" s="54" t="str">
        <f ca="1">IF(AND('Riesgos de Gestión'!$Z$31="Muy Baja",'Riesgos de Gestión'!$AB$31="Moderado"),CONCATENATE("R4C",'Riesgos de Gestión'!$P$31),"")</f>
        <v/>
      </c>
      <c r="Z49" s="54" t="str">
        <f ca="1">IF(AND('Riesgos de Gestión'!$Z$32="Muy Baja",'Riesgos de Gestión'!$AB$32="Moderado"),CONCATENATE("R4C",'Riesgos de Gestión'!$P$32),"")</f>
        <v/>
      </c>
      <c r="AA49" s="55" t="str">
        <f ca="1">IF(AND('Riesgos de Gestión'!$Z$33="Muy Baja",'Riesgos de Gestión'!$AB$33="Moderado"),CONCATENATE("R4C",'Riesgos de Gestión'!$P$33),"")</f>
        <v/>
      </c>
      <c r="AB49" s="38" t="str">
        <f ca="1">IF(AND('Riesgos de Gestión'!$Z$28="Muy Baja",'Riesgos de Gestión'!$AB$28="Mayor"),CONCATENATE("R4C",'Riesgos de Gestión'!$P$28),"")</f>
        <v/>
      </c>
      <c r="AC49" s="39" t="str">
        <f ca="1">IF(AND('Riesgos de Gestión'!$Z$29="Muy Baja",'Riesgos de Gestión'!$AB$29="Mayor"),CONCATENATE("R4C",'Riesgos de Gestión'!$P$29),"")</f>
        <v/>
      </c>
      <c r="AD49" s="39" t="str">
        <f ca="1">IF(AND('Riesgos de Gestión'!$Z$30="Muy Baja",'Riesgos de Gestión'!$AB$30="Mayor"),CONCATENATE("R4C",'Riesgos de Gestión'!$P$30),"")</f>
        <v/>
      </c>
      <c r="AE49" s="39" t="str">
        <f ca="1">IF(AND('Riesgos de Gestión'!$Z$31="Muy Baja",'Riesgos de Gestión'!$AB$31="Mayor"),CONCATENATE("R4C",'Riesgos de Gestión'!$P$31),"")</f>
        <v/>
      </c>
      <c r="AF49" s="39" t="str">
        <f ca="1">IF(AND('Riesgos de Gestión'!$Z$32="Muy Baja",'Riesgos de Gestión'!$AB$32="Mayor"),CONCATENATE("R4C",'Riesgos de Gestión'!$P$32),"")</f>
        <v/>
      </c>
      <c r="AG49" s="40" t="str">
        <f ca="1">IF(AND('Riesgos de Gestión'!$Z$33="Muy Baja",'Riesgos de Gestión'!$AB$33="Mayor"),CONCATENATE("R4C",'Riesgos de Gestión'!$P$33),"")</f>
        <v/>
      </c>
      <c r="AH49" s="41" t="str">
        <f ca="1">IF(AND('Riesgos de Gestión'!$Z$28="Muy Baja",'Riesgos de Gestión'!$AB$28="Catastrófico"),CONCATENATE("R4C",'Riesgos de Gestión'!$P$28),"")</f>
        <v/>
      </c>
      <c r="AI49" s="42" t="str">
        <f ca="1">IF(AND('Riesgos de Gestión'!$Z$29="Muy Baja",'Riesgos de Gestión'!$AB$29="Catastrófico"),CONCATENATE("R4C",'Riesgos de Gestión'!$P$29),"")</f>
        <v/>
      </c>
      <c r="AJ49" s="42" t="str">
        <f ca="1">IF(AND('Riesgos de Gestión'!$Z$30="Muy Baja",'Riesgos de Gestión'!$AB$30="Catastrófico"),CONCATENATE("R4C",'Riesgos de Gestión'!$P$30),"")</f>
        <v/>
      </c>
      <c r="AK49" s="42" t="str">
        <f ca="1">IF(AND('Riesgos de Gestión'!$Z$31="Muy Baja",'Riesgos de Gestión'!$AB$31="Catastrófico"),CONCATENATE("R4C",'Riesgos de Gestión'!$P$31),"")</f>
        <v/>
      </c>
      <c r="AL49" s="42" t="str">
        <f ca="1">IF(AND('Riesgos de Gestión'!$Z$32="Muy Baja",'Riesgos de Gestión'!$AB$32="Catastrófico"),CONCATENATE("R4C",'Riesgos de Gestión'!$P$32),"")</f>
        <v/>
      </c>
      <c r="AM49" s="43" t="str">
        <f ca="1">IF(AND('Riesgos de Gestión'!$Z$33="Muy Baja",'Riesgos de Gestión'!$AB$33="Catastrófico"),CONCATENATE("R4C",'Riesgos de Gestión'!$P$33),"")</f>
        <v/>
      </c>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row>
    <row r="50" spans="1:80" ht="15" customHeight="1" x14ac:dyDescent="0.25">
      <c r="A50" s="69"/>
      <c r="B50" s="447"/>
      <c r="C50" s="447"/>
      <c r="D50" s="448"/>
      <c r="E50" s="546"/>
      <c r="F50" s="545"/>
      <c r="G50" s="545"/>
      <c r="H50" s="545"/>
      <c r="I50" s="561"/>
      <c r="J50" s="62" t="str">
        <f ca="1">IF(AND('Riesgos de Gestión'!$Z$34="Muy Baja",'Riesgos de Gestión'!$AB$34="Leve"),CONCATENATE("R5C",'Riesgos de Gestión'!$P$34),"")</f>
        <v/>
      </c>
      <c r="K50" s="63" t="str">
        <f ca="1">IF(AND('Riesgos de Gestión'!$Z$35="Muy Baja",'Riesgos de Gestión'!$AB$35="Leve"),CONCATENATE("R5C",'Riesgos de Gestión'!$P$35),"")</f>
        <v/>
      </c>
      <c r="L50" s="63" t="str">
        <f ca="1">IF(AND('Riesgos de Gestión'!$Z$36="Muy Baja",'Riesgos de Gestión'!$AB$36="Leve"),CONCATENATE("R5C",'Riesgos de Gestión'!$P$36),"")</f>
        <v/>
      </c>
      <c r="M50" s="63" t="str">
        <f ca="1">IF(AND('Riesgos de Gestión'!$Z$37="Muy Baja",'Riesgos de Gestión'!$AB$37="Leve"),CONCATENATE("R5C",'Riesgos de Gestión'!$P$37),"")</f>
        <v/>
      </c>
      <c r="N50" s="63" t="str">
        <f ca="1">IF(AND('Riesgos de Gestión'!$Z$38="Muy Baja",'Riesgos de Gestión'!$AB$38="Leve"),CONCATENATE("R5C",'Riesgos de Gestión'!$P$38),"")</f>
        <v/>
      </c>
      <c r="O50" s="64" t="str">
        <f ca="1">IF(AND('Riesgos de Gestión'!$Z$39="Muy Baja",'Riesgos de Gestión'!$AB$39="Leve"),CONCATENATE("R5C",'Riesgos de Gestión'!$P$39),"")</f>
        <v/>
      </c>
      <c r="P50" s="62" t="str">
        <f ca="1">IF(AND('Riesgos de Gestión'!$Z$34="Muy Baja",'Riesgos de Gestión'!$AB$34="Menor"),CONCATENATE("R5C",'Riesgos de Gestión'!$P$34),"")</f>
        <v/>
      </c>
      <c r="Q50" s="63" t="str">
        <f ca="1">IF(AND('Riesgos de Gestión'!$Z$35="Muy Baja",'Riesgos de Gestión'!$AB$35="Menor"),CONCATENATE("R5C",'Riesgos de Gestión'!$P$35),"")</f>
        <v/>
      </c>
      <c r="R50" s="63" t="str">
        <f ca="1">IF(AND('Riesgos de Gestión'!$Z$36="Muy Baja",'Riesgos de Gestión'!$AB$36="Menor"),CONCATENATE("R5C",'Riesgos de Gestión'!$P$36),"")</f>
        <v/>
      </c>
      <c r="S50" s="63" t="str">
        <f ca="1">IF(AND('Riesgos de Gestión'!$Z$37="Muy Baja",'Riesgos de Gestión'!$AB$37="Menor"),CONCATENATE("R5C",'Riesgos de Gestión'!$P$37),"")</f>
        <v/>
      </c>
      <c r="T50" s="63" t="str">
        <f ca="1">IF(AND('Riesgos de Gestión'!$Z$38="Muy Baja",'Riesgos de Gestión'!$AB$38="Menor"),CONCATENATE("R5C",'Riesgos de Gestión'!$P$38),"")</f>
        <v/>
      </c>
      <c r="U50" s="64" t="str">
        <f ca="1">IF(AND('Riesgos de Gestión'!$Z$39="Muy Baja",'Riesgos de Gestión'!$AB$39="Menor"),CONCATENATE("R5C",'Riesgos de Gestión'!$P$39),"")</f>
        <v>R5C1</v>
      </c>
      <c r="V50" s="53" t="str">
        <f ca="1">IF(AND('Riesgos de Gestión'!$Z$34="Muy Baja",'Riesgos de Gestión'!$AB$34="Moderado"),CONCATENATE("R5C",'Riesgos de Gestión'!$P$34),"")</f>
        <v/>
      </c>
      <c r="W50" s="54" t="str">
        <f ca="1">IF(AND('Riesgos de Gestión'!$Z$35="Muy Baja",'Riesgos de Gestión'!$AB$35="Moderado"),CONCATENATE("R5C",'Riesgos de Gestión'!$P$35),"")</f>
        <v/>
      </c>
      <c r="X50" s="54" t="str">
        <f ca="1">IF(AND('Riesgos de Gestión'!$Z$36="Muy Baja",'Riesgos de Gestión'!$AB$36="Moderado"),CONCATENATE("R5C",'Riesgos de Gestión'!$P$36),"")</f>
        <v/>
      </c>
      <c r="Y50" s="54" t="str">
        <f ca="1">IF(AND('Riesgos de Gestión'!$Z$37="Muy Baja",'Riesgos de Gestión'!$AB$37="Moderado"),CONCATENATE("R5C",'Riesgos de Gestión'!$P$37),"")</f>
        <v/>
      </c>
      <c r="Z50" s="54" t="str">
        <f ca="1">IF(AND('Riesgos de Gestión'!$Z$38="Muy Baja",'Riesgos de Gestión'!$AB$38="Moderado"),CONCATENATE("R5C",'Riesgos de Gestión'!$P$38),"")</f>
        <v/>
      </c>
      <c r="AA50" s="55" t="str">
        <f ca="1">IF(AND('Riesgos de Gestión'!$Z$39="Muy Baja",'Riesgos de Gestión'!$AB$39="Moderado"),CONCATENATE("R5C",'Riesgos de Gestión'!$P$39),"")</f>
        <v/>
      </c>
      <c r="AB50" s="38" t="str">
        <f ca="1">IF(AND('Riesgos de Gestión'!$Z$34="Muy Baja",'Riesgos de Gestión'!$AB$34="Mayor"),CONCATENATE("R5C",'Riesgos de Gestión'!$P$34),"")</f>
        <v/>
      </c>
      <c r="AC50" s="39" t="str">
        <f ca="1">IF(AND('Riesgos de Gestión'!$Z$35="Muy Baja",'Riesgos de Gestión'!$AB$35="Mayor"),CONCATENATE("R5C",'Riesgos de Gestión'!$P$35),"")</f>
        <v/>
      </c>
      <c r="AD50" s="39" t="str">
        <f ca="1">IF(AND('Riesgos de Gestión'!$Z$36="Muy Baja",'Riesgos de Gestión'!$AB$36="Mayor"),CONCATENATE("R5C",'Riesgos de Gestión'!$P$36),"")</f>
        <v/>
      </c>
      <c r="AE50" s="39" t="str">
        <f ca="1">IF(AND('Riesgos de Gestión'!$Z$37="Muy Baja",'Riesgos de Gestión'!$AB$37="Mayor"),CONCATENATE("R5C",'Riesgos de Gestión'!$P$37),"")</f>
        <v/>
      </c>
      <c r="AF50" s="39" t="str">
        <f ca="1">IF(AND('Riesgos de Gestión'!$Z$38="Muy Baja",'Riesgos de Gestión'!$AB$38="Mayor"),CONCATENATE("R5C",'Riesgos de Gestión'!$P$38),"")</f>
        <v/>
      </c>
      <c r="AG50" s="40" t="str">
        <f ca="1">IF(AND('Riesgos de Gestión'!$Z$39="Muy Baja",'Riesgos de Gestión'!$AB$39="Mayor"),CONCATENATE("R5C",'Riesgos de Gestión'!$P$39),"")</f>
        <v/>
      </c>
      <c r="AH50" s="41" t="str">
        <f ca="1">IF(AND('Riesgos de Gestión'!$Z$34="Muy Baja",'Riesgos de Gestión'!$AB$34="Catastrófico"),CONCATENATE("R5C",'Riesgos de Gestión'!$P$34),"")</f>
        <v/>
      </c>
      <c r="AI50" s="42" t="str">
        <f ca="1">IF(AND('Riesgos de Gestión'!$Z$35="Muy Baja",'Riesgos de Gestión'!$AB$35="Catastrófico"),CONCATENATE("R5C",'Riesgos de Gestión'!$P$35),"")</f>
        <v/>
      </c>
      <c r="AJ50" s="42" t="str">
        <f ca="1">IF(AND('Riesgos de Gestión'!$Z$36="Muy Baja",'Riesgos de Gestión'!$AB$36="Catastrófico"),CONCATENATE("R5C",'Riesgos de Gestión'!$P$36),"")</f>
        <v/>
      </c>
      <c r="AK50" s="42" t="str">
        <f ca="1">IF(AND('Riesgos de Gestión'!$Z$37="Muy Baja",'Riesgos de Gestión'!$AB$37="Catastrófico"),CONCATENATE("R5C",'Riesgos de Gestión'!$P$37),"")</f>
        <v/>
      </c>
      <c r="AL50" s="42" t="str">
        <f ca="1">IF(AND('Riesgos de Gestión'!$Z$38="Muy Baja",'Riesgos de Gestión'!$AB$38="Catastrófico"),CONCATENATE("R5C",'Riesgos de Gestión'!$P$38),"")</f>
        <v/>
      </c>
      <c r="AM50" s="43" t="str">
        <f ca="1">IF(AND('Riesgos de Gestión'!$Z$39="Muy Baja",'Riesgos de Gestión'!$AB$39="Catastrófico"),CONCATENATE("R5C",'Riesgos de Gestión'!$P$39),"")</f>
        <v/>
      </c>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row>
    <row r="51" spans="1:80" ht="15" customHeight="1" x14ac:dyDescent="0.25">
      <c r="A51" s="69"/>
      <c r="B51" s="447"/>
      <c r="C51" s="447"/>
      <c r="D51" s="448"/>
      <c r="E51" s="546"/>
      <c r="F51" s="545"/>
      <c r="G51" s="545"/>
      <c r="H51" s="545"/>
      <c r="I51" s="561"/>
      <c r="J51" s="62" t="str">
        <f ca="1">IF(AND('Riesgos de Gestión'!$Z$40="Muy Baja",'Riesgos de Gestión'!$AB$40="Leve"),CONCATENATE("R6C",'Riesgos de Gestión'!$P$40),"")</f>
        <v/>
      </c>
      <c r="K51" s="63" t="str">
        <f ca="1">IF(AND('Riesgos de Gestión'!$Z$41="Muy Baja",'Riesgos de Gestión'!$AB$41="Leve"),CONCATENATE("R6C",'Riesgos de Gestión'!$P$41),"")</f>
        <v/>
      </c>
      <c r="L51" s="63" t="str">
        <f ca="1">IF(AND('Riesgos de Gestión'!$Z$42="Muy Baja",'Riesgos de Gestión'!$AB$42="Leve"),CONCATENATE("R6C",'Riesgos de Gestión'!$P$42),"")</f>
        <v/>
      </c>
      <c r="M51" s="63" t="str">
        <f ca="1">IF(AND('Riesgos de Gestión'!$Z$43="Muy Baja",'Riesgos de Gestión'!$AB$43="Leve"),CONCATENATE("R6C",'Riesgos de Gestión'!$P$43),"")</f>
        <v/>
      </c>
      <c r="N51" s="63" t="str">
        <f ca="1">IF(AND('Riesgos de Gestión'!$Z$44="Muy Baja",'Riesgos de Gestión'!$AB$44="Leve"),CONCATENATE("R6C",'Riesgos de Gestión'!$P$44),"")</f>
        <v/>
      </c>
      <c r="O51" s="64" t="str">
        <f ca="1">IF(AND('Riesgos de Gestión'!$Z$45="Muy Baja",'Riesgos de Gestión'!$AB$45="Leve"),CONCATENATE("R6C",'Riesgos de Gestión'!$P$45),"")</f>
        <v/>
      </c>
      <c r="P51" s="62" t="str">
        <f ca="1">IF(AND('Riesgos de Gestión'!$Z$40="Muy Baja",'Riesgos de Gestión'!$AB$40="Menor"),CONCATENATE("R6C",'Riesgos de Gestión'!$P$40),"")</f>
        <v/>
      </c>
      <c r="Q51" s="63" t="str">
        <f ca="1">IF(AND('Riesgos de Gestión'!$Z$41="Muy Baja",'Riesgos de Gestión'!$AB$41="Menor"),CONCATENATE("R6C",'Riesgos de Gestión'!$P$41),"")</f>
        <v/>
      </c>
      <c r="R51" s="63" t="str">
        <f ca="1">IF(AND('Riesgos de Gestión'!$Z$42="Muy Baja",'Riesgos de Gestión'!$AB$42="Menor"),CONCATENATE("R6C",'Riesgos de Gestión'!$P$42),"")</f>
        <v/>
      </c>
      <c r="S51" s="63" t="str">
        <f ca="1">IF(AND('Riesgos de Gestión'!$Z$43="Muy Baja",'Riesgos de Gestión'!$AB$43="Menor"),CONCATENATE("R6C",'Riesgos de Gestión'!$P$43),"")</f>
        <v/>
      </c>
      <c r="T51" s="63" t="str">
        <f ca="1">IF(AND('Riesgos de Gestión'!$Z$44="Muy Baja",'Riesgos de Gestión'!$AB$44="Menor"),CONCATENATE("R6C",'Riesgos de Gestión'!$P$44),"")</f>
        <v/>
      </c>
      <c r="U51" s="64" t="str">
        <f ca="1">IF(AND('Riesgos de Gestión'!$Z$45="Muy Baja",'Riesgos de Gestión'!$AB$45="Menor"),CONCATENATE("R6C",'Riesgos de Gestión'!$P$45),"")</f>
        <v/>
      </c>
      <c r="V51" s="53" t="str">
        <f ca="1">IF(AND('Riesgos de Gestión'!$Z$40="Muy Baja",'Riesgos de Gestión'!$AB$40="Moderado"),CONCATENATE("R6C",'Riesgos de Gestión'!$P$40),"")</f>
        <v/>
      </c>
      <c r="W51" s="54" t="str">
        <f ca="1">IF(AND('Riesgos de Gestión'!$Z$41="Muy Baja",'Riesgos de Gestión'!$AB$41="Moderado"),CONCATENATE("R6C",'Riesgos de Gestión'!$P$41),"")</f>
        <v/>
      </c>
      <c r="X51" s="54" t="str">
        <f ca="1">IF(AND('Riesgos de Gestión'!$Z$42="Muy Baja",'Riesgos de Gestión'!$AB$42="Moderado"),CONCATENATE("R6C",'Riesgos de Gestión'!$P$42),"")</f>
        <v/>
      </c>
      <c r="Y51" s="54" t="str">
        <f ca="1">IF(AND('Riesgos de Gestión'!$Z$43="Muy Baja",'Riesgos de Gestión'!$AB$43="Moderado"),CONCATENATE("R6C",'Riesgos de Gestión'!$P$43),"")</f>
        <v/>
      </c>
      <c r="Z51" s="54" t="str">
        <f ca="1">IF(AND('Riesgos de Gestión'!$Z$44="Muy Baja",'Riesgos de Gestión'!$AB$44="Moderado"),CONCATENATE("R6C",'Riesgos de Gestión'!$P$44),"")</f>
        <v/>
      </c>
      <c r="AA51" s="55" t="str">
        <f ca="1">IF(AND('Riesgos de Gestión'!$Z$45="Muy Baja",'Riesgos de Gestión'!$AB$45="Moderado"),CONCATENATE("R6C",'Riesgos de Gestión'!$P$45),"")</f>
        <v/>
      </c>
      <c r="AB51" s="38" t="str">
        <f ca="1">IF(AND('Riesgos de Gestión'!$Z$40="Muy Baja",'Riesgos de Gestión'!$AB$40="Mayor"),CONCATENATE("R6C",'Riesgos de Gestión'!$P$40),"")</f>
        <v/>
      </c>
      <c r="AC51" s="39" t="str">
        <f ca="1">IF(AND('Riesgos de Gestión'!$Z$41="Muy Baja",'Riesgos de Gestión'!$AB$41="Mayor"),CONCATENATE("R6C",'Riesgos de Gestión'!$P$41),"")</f>
        <v/>
      </c>
      <c r="AD51" s="39" t="str">
        <f ca="1">IF(AND('Riesgos de Gestión'!$Z$42="Muy Baja",'Riesgos de Gestión'!$AB$42="Mayor"),CONCATENATE("R6C",'Riesgos de Gestión'!$P$42),"")</f>
        <v/>
      </c>
      <c r="AE51" s="39" t="str">
        <f ca="1">IF(AND('Riesgos de Gestión'!$Z$43="Muy Baja",'Riesgos de Gestión'!$AB$43="Mayor"),CONCATENATE("R6C",'Riesgos de Gestión'!$P$43),"")</f>
        <v/>
      </c>
      <c r="AF51" s="39" t="str">
        <f ca="1">IF(AND('Riesgos de Gestión'!$Z$44="Muy Baja",'Riesgos de Gestión'!$AB$44="Mayor"),CONCATENATE("R6C",'Riesgos de Gestión'!$P$44),"")</f>
        <v/>
      </c>
      <c r="AG51" s="40" t="str">
        <f ca="1">IF(AND('Riesgos de Gestión'!$Z$45="Muy Baja",'Riesgos de Gestión'!$AB$45="Mayor"),CONCATENATE("R6C",'Riesgos de Gestión'!$P$45),"")</f>
        <v/>
      </c>
      <c r="AH51" s="41" t="str">
        <f ca="1">IF(AND('Riesgos de Gestión'!$Z$40="Muy Baja",'Riesgos de Gestión'!$AB$40="Catastrófico"),CONCATENATE("R6C",'Riesgos de Gestión'!$P$40),"")</f>
        <v/>
      </c>
      <c r="AI51" s="42" t="str">
        <f ca="1">IF(AND('Riesgos de Gestión'!$Z$41="Muy Baja",'Riesgos de Gestión'!$AB$41="Catastrófico"),CONCATENATE("R6C",'Riesgos de Gestión'!$P$41),"")</f>
        <v/>
      </c>
      <c r="AJ51" s="42" t="str">
        <f ca="1">IF(AND('Riesgos de Gestión'!$Z$42="Muy Baja",'Riesgos de Gestión'!$AB$42="Catastrófico"),CONCATENATE("R6C",'Riesgos de Gestión'!$P$42),"")</f>
        <v/>
      </c>
      <c r="AK51" s="42" t="str">
        <f ca="1">IF(AND('Riesgos de Gestión'!$Z$43="Muy Baja",'Riesgos de Gestión'!$AB$43="Catastrófico"),CONCATENATE("R6C",'Riesgos de Gestión'!$P$43),"")</f>
        <v/>
      </c>
      <c r="AL51" s="42" t="str">
        <f ca="1">IF(AND('Riesgos de Gestión'!$Z$44="Muy Baja",'Riesgos de Gestión'!$AB$44="Catastrófico"),CONCATENATE("R6C",'Riesgos de Gestión'!$P$44),"")</f>
        <v/>
      </c>
      <c r="AM51" s="43" t="str">
        <f ca="1">IF(AND('Riesgos de Gestión'!$Z$45="Muy Baja",'Riesgos de Gestión'!$AB$45="Catastrófico"),CONCATENATE("R6C",'Riesgos de Gestión'!$P$45),"")</f>
        <v/>
      </c>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row>
    <row r="52" spans="1:80" ht="15" customHeight="1" x14ac:dyDescent="0.25">
      <c r="A52" s="69"/>
      <c r="B52" s="447"/>
      <c r="C52" s="447"/>
      <c r="D52" s="448"/>
      <c r="E52" s="546"/>
      <c r="F52" s="545"/>
      <c r="G52" s="545"/>
      <c r="H52" s="545"/>
      <c r="I52" s="561"/>
      <c r="J52" s="62" t="str">
        <f ca="1">IF(AND('Riesgos de Gestión'!$Z$46="Muy Baja",'Riesgos de Gestión'!$AB$46="Leve"),CONCATENATE("R7C",'Riesgos de Gestión'!$P$46),"")</f>
        <v/>
      </c>
      <c r="K52" s="63" t="str">
        <f ca="1">IF(AND('Riesgos de Gestión'!$Z$47="Muy Baja",'Riesgos de Gestión'!$AB$47="Leve"),CONCATENATE("R7C",'Riesgos de Gestión'!$P$47),"")</f>
        <v/>
      </c>
      <c r="L52" s="63" t="str">
        <f ca="1">IF(AND('Riesgos de Gestión'!$Z$48="Muy Baja",'Riesgos de Gestión'!$AB$48="Leve"),CONCATENATE("R7C",'Riesgos de Gestión'!$P$48),"")</f>
        <v/>
      </c>
      <c r="M52" s="63" t="str">
        <f ca="1">IF(AND('Riesgos de Gestión'!$Z$49="Muy Baja",'Riesgos de Gestión'!$AB$49="Leve"),CONCATENATE("R7C",'Riesgos de Gestión'!$P$49),"")</f>
        <v/>
      </c>
      <c r="N52" s="63" t="str">
        <f ca="1">IF(AND('Riesgos de Gestión'!$Z$50="Muy Baja",'Riesgos de Gestión'!$AB$50="Leve"),CONCATENATE("R7C",'Riesgos de Gestión'!$P$50),"")</f>
        <v/>
      </c>
      <c r="O52" s="64" t="str">
        <f ca="1">IF(AND('Riesgos de Gestión'!$Z$51="Muy Baja",'Riesgos de Gestión'!$AB$51="Leve"),CONCATENATE("R7C",'Riesgos de Gestión'!$P$51),"")</f>
        <v/>
      </c>
      <c r="P52" s="62" t="str">
        <f ca="1">IF(AND('Riesgos de Gestión'!$Z$46="Muy Baja",'Riesgos de Gestión'!$AB$46="Menor"),CONCATENATE("R7C",'Riesgos de Gestión'!$P$46),"")</f>
        <v/>
      </c>
      <c r="Q52" s="63" t="str">
        <f ca="1">IF(AND('Riesgos de Gestión'!$Z$47="Muy Baja",'Riesgos de Gestión'!$AB$47="Menor"),CONCATENATE("R7C",'Riesgos de Gestión'!$P$47),"")</f>
        <v/>
      </c>
      <c r="R52" s="63" t="str">
        <f ca="1">IF(AND('Riesgos de Gestión'!$Z$48="Muy Baja",'Riesgos de Gestión'!$AB$48="Menor"),CONCATENATE("R7C",'Riesgos de Gestión'!$P$48),"")</f>
        <v/>
      </c>
      <c r="S52" s="63" t="str">
        <f ca="1">IF(AND('Riesgos de Gestión'!$Z$49="Muy Baja",'Riesgos de Gestión'!$AB$49="Menor"),CONCATENATE("R7C",'Riesgos de Gestión'!$P$49),"")</f>
        <v/>
      </c>
      <c r="T52" s="63" t="str">
        <f ca="1">IF(AND('Riesgos de Gestión'!$Z$50="Muy Baja",'Riesgos de Gestión'!$AB$50="Menor"),CONCATENATE("R7C",'Riesgos de Gestión'!$P$50),"")</f>
        <v/>
      </c>
      <c r="U52" s="64" t="str">
        <f ca="1">IF(AND('Riesgos de Gestión'!$Z$51="Muy Baja",'Riesgos de Gestión'!$AB$51="Menor"),CONCATENATE("R7C",'Riesgos de Gestión'!$P$51),"")</f>
        <v/>
      </c>
      <c r="V52" s="53" t="str">
        <f ca="1">IF(AND('Riesgos de Gestión'!$Z$46="Muy Baja",'Riesgos de Gestión'!$AB$46="Moderado"),CONCATENATE("R7C",'Riesgos de Gestión'!$P$46),"")</f>
        <v/>
      </c>
      <c r="W52" s="54" t="str">
        <f ca="1">IF(AND('Riesgos de Gestión'!$Z$47="Muy Baja",'Riesgos de Gestión'!$AB$47="Moderado"),CONCATENATE("R7C",'Riesgos de Gestión'!$P$47),"")</f>
        <v/>
      </c>
      <c r="X52" s="54" t="str">
        <f ca="1">IF(AND('Riesgos de Gestión'!$Z$48="Muy Baja",'Riesgos de Gestión'!$AB$48="Moderado"),CONCATENATE("R7C",'Riesgos de Gestión'!$P$48),"")</f>
        <v/>
      </c>
      <c r="Y52" s="54" t="str">
        <f ca="1">IF(AND('Riesgos de Gestión'!$Z$49="Muy Baja",'Riesgos de Gestión'!$AB$49="Moderado"),CONCATENATE("R7C",'Riesgos de Gestión'!$P$49),"")</f>
        <v/>
      </c>
      <c r="Z52" s="54" t="str">
        <f ca="1">IF(AND('Riesgos de Gestión'!$Z$50="Muy Baja",'Riesgos de Gestión'!$AB$50="Moderado"),CONCATENATE("R7C",'Riesgos de Gestión'!$P$50),"")</f>
        <v/>
      </c>
      <c r="AA52" s="55" t="str">
        <f ca="1">IF(AND('Riesgos de Gestión'!$Z$51="Muy Baja",'Riesgos de Gestión'!$AB$51="Moderado"),CONCATENATE("R7C",'Riesgos de Gestión'!$P$51),"")</f>
        <v/>
      </c>
      <c r="AB52" s="38" t="str">
        <f ca="1">IF(AND('Riesgos de Gestión'!$Z$46="Muy Baja",'Riesgos de Gestión'!$AB$46="Mayor"),CONCATENATE("R7C",'Riesgos de Gestión'!$P$46),"")</f>
        <v/>
      </c>
      <c r="AC52" s="39" t="str">
        <f ca="1">IF(AND('Riesgos de Gestión'!$Z$47="Muy Baja",'Riesgos de Gestión'!$AB$47="Mayor"),CONCATENATE("R7C",'Riesgos de Gestión'!$P$47),"")</f>
        <v/>
      </c>
      <c r="AD52" s="39" t="str">
        <f ca="1">IF(AND('Riesgos de Gestión'!$Z$48="Muy Baja",'Riesgos de Gestión'!$AB$48="Mayor"),CONCATENATE("R7C",'Riesgos de Gestión'!$P$48),"")</f>
        <v/>
      </c>
      <c r="AE52" s="39" t="str">
        <f ca="1">IF(AND('Riesgos de Gestión'!$Z$49="Muy Baja",'Riesgos de Gestión'!$AB$49="Mayor"),CONCATENATE("R7C",'Riesgos de Gestión'!$P$49),"")</f>
        <v/>
      </c>
      <c r="AF52" s="39" t="str">
        <f ca="1">IF(AND('Riesgos de Gestión'!$Z$50="Muy Baja",'Riesgos de Gestión'!$AB$50="Mayor"),CONCATENATE("R7C",'Riesgos de Gestión'!$P$50),"")</f>
        <v/>
      </c>
      <c r="AG52" s="40" t="str">
        <f ca="1">IF(AND('Riesgos de Gestión'!$Z$51="Muy Baja",'Riesgos de Gestión'!$AB$51="Mayor"),CONCATENATE("R7C",'Riesgos de Gestión'!$P$51),"")</f>
        <v/>
      </c>
      <c r="AH52" s="41" t="str">
        <f ca="1">IF(AND('Riesgos de Gestión'!$Z$46="Muy Baja",'Riesgos de Gestión'!$AB$46="Catastrófico"),CONCATENATE("R7C",'Riesgos de Gestión'!$P$46),"")</f>
        <v/>
      </c>
      <c r="AI52" s="42" t="str">
        <f ca="1">IF(AND('Riesgos de Gestión'!$Z$47="Muy Baja",'Riesgos de Gestión'!$AB$47="Catastrófico"),CONCATENATE("R7C",'Riesgos de Gestión'!$P$47),"")</f>
        <v/>
      </c>
      <c r="AJ52" s="42" t="str">
        <f ca="1">IF(AND('Riesgos de Gestión'!$Z$48="Muy Baja",'Riesgos de Gestión'!$AB$48="Catastrófico"),CONCATENATE("R7C",'Riesgos de Gestión'!$P$48),"")</f>
        <v/>
      </c>
      <c r="AK52" s="42" t="str">
        <f ca="1">IF(AND('Riesgos de Gestión'!$Z$49="Muy Baja",'Riesgos de Gestión'!$AB$49="Catastrófico"),CONCATENATE("R7C",'Riesgos de Gestión'!$P$49),"")</f>
        <v/>
      </c>
      <c r="AL52" s="42" t="str">
        <f ca="1">IF(AND('Riesgos de Gestión'!$Z$50="Muy Baja",'Riesgos de Gestión'!$AB$50="Catastrófico"),CONCATENATE("R7C",'Riesgos de Gestión'!$P$50),"")</f>
        <v/>
      </c>
      <c r="AM52" s="43" t="str">
        <f ca="1">IF(AND('Riesgos de Gestión'!$Z$51="Muy Baja",'Riesgos de Gestión'!$AB$51="Catastrófico"),CONCATENATE("R7C",'Riesgos de Gestión'!$P$51),"")</f>
        <v/>
      </c>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row>
    <row r="53" spans="1:80" ht="15" customHeight="1" x14ac:dyDescent="0.25">
      <c r="A53" s="69"/>
      <c r="B53" s="447"/>
      <c r="C53" s="447"/>
      <c r="D53" s="448"/>
      <c r="E53" s="546"/>
      <c r="F53" s="545"/>
      <c r="G53" s="545"/>
      <c r="H53" s="545"/>
      <c r="I53" s="561"/>
      <c r="J53" s="62" t="str">
        <f ca="1">IF(AND('Riesgos de Gestión'!$Z$52="Muy Baja",'Riesgos de Gestión'!$AB$52="Leve"),CONCATENATE("R8C",'Riesgos de Gestión'!$P$52),"")</f>
        <v/>
      </c>
      <c r="K53" s="63" t="str">
        <f>IF(AND('Riesgos de Gestión'!$Z$53="Muy Baja",'Riesgos de Gestión'!$AB$53="Leve"),CONCATENATE("R8C",'Riesgos de Gestión'!$P$53),"")</f>
        <v/>
      </c>
      <c r="L53" s="63" t="str">
        <f>IF(AND('Riesgos de Gestión'!$Z$54="Muy Baja",'Riesgos de Gestión'!$AB$54="Leve"),CONCATENATE("R8C",'Riesgos de Gestión'!$P$54),"")</f>
        <v/>
      </c>
      <c r="M53" s="63" t="str">
        <f>IF(AND('Riesgos de Gestión'!$Z$55="Muy Baja",'Riesgos de Gestión'!$AB$55="Leve"),CONCATENATE("R8C",'Riesgos de Gestión'!$P$55),"")</f>
        <v/>
      </c>
      <c r="N53" s="63" t="str">
        <f>IF(AND('Riesgos de Gestión'!$Z$56="Muy Baja",'Riesgos de Gestión'!$AB$56="Leve"),CONCATENATE("R8C",'Riesgos de Gestión'!$P$56),"")</f>
        <v/>
      </c>
      <c r="O53" s="64" t="str">
        <f>IF(AND('Riesgos de Gestión'!$Z$57="Muy Baja",'Riesgos de Gestión'!$AB$57="Leve"),CONCATENATE("R8C",'Riesgos de Gestión'!$P$57),"")</f>
        <v/>
      </c>
      <c r="P53" s="62" t="str">
        <f ca="1">IF(AND('Riesgos de Gestión'!$Z$52="Muy Baja",'Riesgos de Gestión'!$AB$52="Menor"),CONCATENATE("R8C",'Riesgos de Gestión'!$P$52),"")</f>
        <v/>
      </c>
      <c r="Q53" s="63" t="str">
        <f>IF(AND('Riesgos de Gestión'!$Z$53="Muy Baja",'Riesgos de Gestión'!$AB$53="Menor"),CONCATENATE("R8C",'Riesgos de Gestión'!$P$53),"")</f>
        <v/>
      </c>
      <c r="R53" s="63" t="str">
        <f>IF(AND('Riesgos de Gestión'!$Z$54="Muy Baja",'Riesgos de Gestión'!$AB$54="Menor"),CONCATENATE("R8C",'Riesgos de Gestión'!$P$54),"")</f>
        <v/>
      </c>
      <c r="S53" s="63" t="str">
        <f>IF(AND('Riesgos de Gestión'!$Z$55="Muy Baja",'Riesgos de Gestión'!$AB$55="Menor"),CONCATENATE("R8C",'Riesgos de Gestión'!$P$55),"")</f>
        <v/>
      </c>
      <c r="T53" s="63" t="str">
        <f>IF(AND('Riesgos de Gestión'!$Z$56="Muy Baja",'Riesgos de Gestión'!$AB$56="Menor"),CONCATENATE("R8C",'Riesgos de Gestión'!$P$56),"")</f>
        <v/>
      </c>
      <c r="U53" s="64" t="str">
        <f>IF(AND('Riesgos de Gestión'!$Z$57="Muy Baja",'Riesgos de Gestión'!$AB$57="Menor"),CONCATENATE("R8C",'Riesgos de Gestión'!$P$57),"")</f>
        <v/>
      </c>
      <c r="V53" s="53" t="str">
        <f ca="1">IF(AND('Riesgos de Gestión'!$Z$52="Muy Baja",'Riesgos de Gestión'!$AB$52="Moderado"),CONCATENATE("R8C",'Riesgos de Gestión'!$P$52),"")</f>
        <v/>
      </c>
      <c r="W53" s="54" t="str">
        <f>IF(AND('Riesgos de Gestión'!$Z$53="Muy Baja",'Riesgos de Gestión'!$AB$53="Moderado"),CONCATENATE("R8C",'Riesgos de Gestión'!$P$53),"")</f>
        <v/>
      </c>
      <c r="X53" s="54" t="str">
        <f>IF(AND('Riesgos de Gestión'!$Z$54="Muy Baja",'Riesgos de Gestión'!$AB$54="Moderado"),CONCATENATE("R8C",'Riesgos de Gestión'!$P$54),"")</f>
        <v/>
      </c>
      <c r="Y53" s="54" t="str">
        <f>IF(AND('Riesgos de Gestión'!$Z$55="Muy Baja",'Riesgos de Gestión'!$AB$55="Moderado"),CONCATENATE("R8C",'Riesgos de Gestión'!$P$55),"")</f>
        <v/>
      </c>
      <c r="Z53" s="54" t="str">
        <f>IF(AND('Riesgos de Gestión'!$Z$56="Muy Baja",'Riesgos de Gestión'!$AB$56="Moderado"),CONCATENATE("R8C",'Riesgos de Gestión'!$P$56),"")</f>
        <v/>
      </c>
      <c r="AA53" s="55" t="str">
        <f>IF(AND('Riesgos de Gestión'!$Z$57="Muy Baja",'Riesgos de Gestión'!$AB$57="Moderado"),CONCATENATE("R8C",'Riesgos de Gestión'!$P$57),"")</f>
        <v/>
      </c>
      <c r="AB53" s="38" t="str">
        <f ca="1">IF(AND('Riesgos de Gestión'!$Z$52="Muy Baja",'Riesgos de Gestión'!$AB$52="Mayor"),CONCATENATE("R8C",'Riesgos de Gestión'!$P$52),"")</f>
        <v/>
      </c>
      <c r="AC53" s="39" t="str">
        <f>IF(AND('Riesgos de Gestión'!$Z$53="Muy Baja",'Riesgos de Gestión'!$AB$53="Mayor"),CONCATENATE("R8C",'Riesgos de Gestión'!$P$53),"")</f>
        <v/>
      </c>
      <c r="AD53" s="39" t="str">
        <f>IF(AND('Riesgos de Gestión'!$Z$54="Muy Baja",'Riesgos de Gestión'!$AB$54="Mayor"),CONCATENATE("R8C",'Riesgos de Gestión'!$P$54),"")</f>
        <v/>
      </c>
      <c r="AE53" s="39" t="str">
        <f>IF(AND('Riesgos de Gestión'!$Z$55="Muy Baja",'Riesgos de Gestión'!$AB$55="Mayor"),CONCATENATE("R8C",'Riesgos de Gestión'!$P$55),"")</f>
        <v/>
      </c>
      <c r="AF53" s="39" t="str">
        <f>IF(AND('Riesgos de Gestión'!$Z$56="Muy Baja",'Riesgos de Gestión'!$AB$56="Mayor"),CONCATENATE("R8C",'Riesgos de Gestión'!$P$56),"")</f>
        <v/>
      </c>
      <c r="AG53" s="40" t="str">
        <f>IF(AND('Riesgos de Gestión'!$Z$57="Muy Baja",'Riesgos de Gestión'!$AB$57="Mayor"),CONCATENATE("R8C",'Riesgos de Gestión'!$P$57),"")</f>
        <v/>
      </c>
      <c r="AH53" s="41" t="str">
        <f ca="1">IF(AND('Riesgos de Gestión'!$Z$52="Muy Baja",'Riesgos de Gestión'!$AB$52="Catastrófico"),CONCATENATE("R8C",'Riesgos de Gestión'!$P$52),"")</f>
        <v/>
      </c>
      <c r="AI53" s="42" t="str">
        <f>IF(AND('Riesgos de Gestión'!$Z$53="Muy Baja",'Riesgos de Gestión'!$AB$53="Catastrófico"),CONCATENATE("R8C",'Riesgos de Gestión'!$P$53),"")</f>
        <v/>
      </c>
      <c r="AJ53" s="42" t="str">
        <f>IF(AND('Riesgos de Gestión'!$Z$54="Muy Baja",'Riesgos de Gestión'!$AB$54="Catastrófico"),CONCATENATE("R8C",'Riesgos de Gestión'!$P$54),"")</f>
        <v/>
      </c>
      <c r="AK53" s="42" t="str">
        <f>IF(AND('Riesgos de Gestión'!$Z$55="Muy Baja",'Riesgos de Gestión'!$AB$55="Catastrófico"),CONCATENATE("R8C",'Riesgos de Gestión'!$P$55),"")</f>
        <v/>
      </c>
      <c r="AL53" s="42" t="str">
        <f>IF(AND('Riesgos de Gestión'!$Z$56="Muy Baja",'Riesgos de Gestión'!$AB$56="Catastrófico"),CONCATENATE("R8C",'Riesgos de Gestión'!$P$56),"")</f>
        <v/>
      </c>
      <c r="AM53" s="43" t="str">
        <f>IF(AND('Riesgos de Gestión'!$Z$57="Muy Baja",'Riesgos de Gestión'!$AB$57="Catastrófico"),CONCATENATE("R8C",'Riesgos de Gestión'!$P$57),"")</f>
        <v/>
      </c>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row>
    <row r="54" spans="1:80" ht="15" customHeight="1" x14ac:dyDescent="0.25">
      <c r="A54" s="69"/>
      <c r="B54" s="447"/>
      <c r="C54" s="447"/>
      <c r="D54" s="448"/>
      <c r="E54" s="546"/>
      <c r="F54" s="545"/>
      <c r="G54" s="545"/>
      <c r="H54" s="545"/>
      <c r="I54" s="561"/>
      <c r="J54" s="62" t="str">
        <f>IF(AND('Riesgos de Gestión'!$Z$58="Muy Baja",'Riesgos de Gestión'!$AB$58="Leve"),CONCATENATE("R9C",'Riesgos de Gestión'!$P$58),"")</f>
        <v/>
      </c>
      <c r="K54" s="63" t="str">
        <f>IF(AND('Riesgos de Gestión'!$Z$59="Muy Baja",'Riesgos de Gestión'!$AB$59="Leve"),CONCATENATE("R9C",'Riesgos de Gestión'!$P$59),"")</f>
        <v/>
      </c>
      <c r="L54" s="63" t="str">
        <f>IF(AND('Riesgos de Gestión'!$Z$60="Muy Baja",'Riesgos de Gestión'!$AB$60="Leve"),CONCATENATE("R9C",'Riesgos de Gestión'!$P$60),"")</f>
        <v/>
      </c>
      <c r="M54" s="63" t="str">
        <f>IF(AND('Riesgos de Gestión'!$Z$61="Muy Baja",'Riesgos de Gestión'!$AB$61="Leve"),CONCATENATE("R9C",'Riesgos de Gestión'!$P$61),"")</f>
        <v/>
      </c>
      <c r="N54" s="63" t="str">
        <f>IF(AND('Riesgos de Gestión'!$Z$62="Muy Baja",'Riesgos de Gestión'!$AB$62="Leve"),CONCATENATE("R9C",'Riesgos de Gestión'!$P$62),"")</f>
        <v/>
      </c>
      <c r="O54" s="64" t="str">
        <f>IF(AND('Riesgos de Gestión'!$Z$63="Muy Baja",'Riesgos de Gestión'!$AB$63="Leve"),CONCATENATE("R9C",'Riesgos de Gestión'!$P$63),"")</f>
        <v/>
      </c>
      <c r="P54" s="62" t="str">
        <f>IF(AND('Riesgos de Gestión'!$Z$58="Muy Baja",'Riesgos de Gestión'!$AB$58="Menor"),CONCATENATE("R9C",'Riesgos de Gestión'!$P$58),"")</f>
        <v/>
      </c>
      <c r="Q54" s="63" t="str">
        <f>IF(AND('Riesgos de Gestión'!$Z$59="Muy Baja",'Riesgos de Gestión'!$AB$59="Menor"),CONCATENATE("R9C",'Riesgos de Gestión'!$P$59),"")</f>
        <v/>
      </c>
      <c r="R54" s="63" t="str">
        <f>IF(AND('Riesgos de Gestión'!$Z$60="Muy Baja",'Riesgos de Gestión'!$AB$60="Menor"),CONCATENATE("R9C",'Riesgos de Gestión'!$P$60),"")</f>
        <v/>
      </c>
      <c r="S54" s="63" t="str">
        <f>IF(AND('Riesgos de Gestión'!$Z$61="Muy Baja",'Riesgos de Gestión'!$AB$61="Menor"),CONCATENATE("R9C",'Riesgos de Gestión'!$P$61),"")</f>
        <v/>
      </c>
      <c r="T54" s="63" t="str">
        <f>IF(AND('Riesgos de Gestión'!$Z$62="Muy Baja",'Riesgos de Gestión'!$AB$62="Menor"),CONCATENATE("R9C",'Riesgos de Gestión'!$P$62),"")</f>
        <v/>
      </c>
      <c r="U54" s="64" t="str">
        <f>IF(AND('Riesgos de Gestión'!$Z$63="Muy Baja",'Riesgos de Gestión'!$AB$63="Menor"),CONCATENATE("R9C",'Riesgos de Gestión'!$P$63),"")</f>
        <v/>
      </c>
      <c r="V54" s="53" t="str">
        <f>IF(AND('Riesgos de Gestión'!$Z$58="Muy Baja",'Riesgos de Gestión'!$AB$58="Moderado"),CONCATENATE("R9C",'Riesgos de Gestión'!$P$58),"")</f>
        <v/>
      </c>
      <c r="W54" s="54" t="str">
        <f>IF(AND('Riesgos de Gestión'!$Z$59="Muy Baja",'Riesgos de Gestión'!$AB$59="Moderado"),CONCATENATE("R9C",'Riesgos de Gestión'!$P$59),"")</f>
        <v/>
      </c>
      <c r="X54" s="54" t="str">
        <f>IF(AND('Riesgos de Gestión'!$Z$60="Muy Baja",'Riesgos de Gestión'!$AB$60="Moderado"),CONCATENATE("R9C",'Riesgos de Gestión'!$P$60),"")</f>
        <v/>
      </c>
      <c r="Y54" s="54" t="str">
        <f>IF(AND('Riesgos de Gestión'!$Z$61="Muy Baja",'Riesgos de Gestión'!$AB$61="Moderado"),CONCATENATE("R9C",'Riesgos de Gestión'!$P$61),"")</f>
        <v/>
      </c>
      <c r="Z54" s="54" t="str">
        <f>IF(AND('Riesgos de Gestión'!$Z$62="Muy Baja",'Riesgos de Gestión'!$AB$62="Moderado"),CONCATENATE("R9C",'Riesgos de Gestión'!$P$62),"")</f>
        <v/>
      </c>
      <c r="AA54" s="55" t="str">
        <f>IF(AND('Riesgos de Gestión'!$Z$63="Muy Baja",'Riesgos de Gestión'!$AB$63="Moderado"),CONCATENATE("R9C",'Riesgos de Gestión'!$P$63),"")</f>
        <v/>
      </c>
      <c r="AB54" s="38" t="str">
        <f>IF(AND('Riesgos de Gestión'!$Z$58="Muy Baja",'Riesgos de Gestión'!$AB$58="Mayor"),CONCATENATE("R9C",'Riesgos de Gestión'!$P$58),"")</f>
        <v/>
      </c>
      <c r="AC54" s="39" t="str">
        <f>IF(AND('Riesgos de Gestión'!$Z$59="Muy Baja",'Riesgos de Gestión'!$AB$59="Mayor"),CONCATENATE("R9C",'Riesgos de Gestión'!$P$59),"")</f>
        <v/>
      </c>
      <c r="AD54" s="39" t="str">
        <f>IF(AND('Riesgos de Gestión'!$Z$60="Muy Baja",'Riesgos de Gestión'!$AB$60="Mayor"),CONCATENATE("R9C",'Riesgos de Gestión'!$P$60),"")</f>
        <v/>
      </c>
      <c r="AE54" s="39" t="str">
        <f>IF(AND('Riesgos de Gestión'!$Z$61="Muy Baja",'Riesgos de Gestión'!$AB$61="Mayor"),CONCATENATE("R9C",'Riesgos de Gestión'!$P$61),"")</f>
        <v/>
      </c>
      <c r="AF54" s="39" t="str">
        <f>IF(AND('Riesgos de Gestión'!$Z$62="Muy Baja",'Riesgos de Gestión'!$AB$62="Mayor"),CONCATENATE("R9C",'Riesgos de Gestión'!$P$62),"")</f>
        <v/>
      </c>
      <c r="AG54" s="40" t="str">
        <f>IF(AND('Riesgos de Gestión'!$Z$63="Muy Baja",'Riesgos de Gestión'!$AB$63="Mayor"),CONCATENATE("R9C",'Riesgos de Gestión'!$P$63),"")</f>
        <v/>
      </c>
      <c r="AH54" s="41" t="str">
        <f>IF(AND('Riesgos de Gestión'!$Z$58="Muy Baja",'Riesgos de Gestión'!$AB$58="Catastrófico"),CONCATENATE("R9C",'Riesgos de Gestión'!$P$58),"")</f>
        <v/>
      </c>
      <c r="AI54" s="42" t="str">
        <f>IF(AND('Riesgos de Gestión'!$Z$59="Muy Baja",'Riesgos de Gestión'!$AB$59="Catastrófico"),CONCATENATE("R9C",'Riesgos de Gestión'!$P$59),"")</f>
        <v/>
      </c>
      <c r="AJ54" s="42" t="str">
        <f>IF(AND('Riesgos de Gestión'!$Z$60="Muy Baja",'Riesgos de Gestión'!$AB$60="Catastrófico"),CONCATENATE("R9C",'Riesgos de Gestión'!$P$60),"")</f>
        <v/>
      </c>
      <c r="AK54" s="42" t="str">
        <f>IF(AND('Riesgos de Gestión'!$Z$61="Muy Baja",'Riesgos de Gestión'!$AB$61="Catastrófico"),CONCATENATE("R9C",'Riesgos de Gestión'!$P$61),"")</f>
        <v/>
      </c>
      <c r="AL54" s="42" t="str">
        <f>IF(AND('Riesgos de Gestión'!$Z$62="Muy Baja",'Riesgos de Gestión'!$AB$62="Catastrófico"),CONCATENATE("R9C",'Riesgos de Gestión'!$P$62),"")</f>
        <v/>
      </c>
      <c r="AM54" s="43" t="str">
        <f>IF(AND('Riesgos de Gestión'!$Z$63="Muy Baja",'Riesgos de Gestión'!$AB$63="Catastrófico"),CONCATENATE("R9C",'Riesgos de Gestión'!$P$63),"")</f>
        <v/>
      </c>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row>
    <row r="55" spans="1:80" ht="15.75" customHeight="1" thickBot="1" x14ac:dyDescent="0.3">
      <c r="A55" s="69"/>
      <c r="B55" s="447"/>
      <c r="C55" s="447"/>
      <c r="D55" s="448"/>
      <c r="E55" s="547"/>
      <c r="F55" s="548"/>
      <c r="G55" s="548"/>
      <c r="H55" s="548"/>
      <c r="I55" s="562"/>
      <c r="J55" s="65" t="str">
        <f>IF(AND('Riesgos de Gestión'!$Z$64="Muy Baja",'Riesgos de Gestión'!$AB$64="Leve"),CONCATENATE("R10C",'Riesgos de Gestión'!$P$64),"")</f>
        <v/>
      </c>
      <c r="K55" s="66" t="str">
        <f>IF(AND('Riesgos de Gestión'!$Z$65="Muy Baja",'Riesgos de Gestión'!$AB$65="Leve"),CONCATENATE("R10C",'Riesgos de Gestión'!$P$65),"")</f>
        <v/>
      </c>
      <c r="L55" s="66" t="str">
        <f>IF(AND('Riesgos de Gestión'!$Z$66="Muy Baja",'Riesgos de Gestión'!$AB$66="Leve"),CONCATENATE("R10C",'Riesgos de Gestión'!$P$66),"")</f>
        <v/>
      </c>
      <c r="M55" s="66" t="str">
        <f>IF(AND('Riesgos de Gestión'!$Z$67="Muy Baja",'Riesgos de Gestión'!$AB$67="Leve"),CONCATENATE("R10C",'Riesgos de Gestión'!$P$67),"")</f>
        <v/>
      </c>
      <c r="N55" s="66" t="str">
        <f>IF(AND('Riesgos de Gestión'!$Z$68="Muy Baja",'Riesgos de Gestión'!$AB$68="Leve"),CONCATENATE("R10C",'Riesgos de Gestión'!$P$68),"")</f>
        <v/>
      </c>
      <c r="O55" s="67" t="str">
        <f>IF(AND('Riesgos de Gestión'!$Z$69="Muy Baja",'Riesgos de Gestión'!$AB$69="Leve"),CONCATENATE("R10C",'Riesgos de Gestión'!$P$69),"")</f>
        <v/>
      </c>
      <c r="P55" s="65" t="str">
        <f>IF(AND('Riesgos de Gestión'!$Z$64="Muy Baja",'Riesgos de Gestión'!$AB$64="Menor"),CONCATENATE("R10C",'Riesgos de Gestión'!$P$64),"")</f>
        <v/>
      </c>
      <c r="Q55" s="66" t="str">
        <f>IF(AND('Riesgos de Gestión'!$Z$65="Muy Baja",'Riesgos de Gestión'!$AB$65="Menor"),CONCATENATE("R10C",'Riesgos de Gestión'!$P$65),"")</f>
        <v/>
      </c>
      <c r="R55" s="66" t="str">
        <f>IF(AND('Riesgos de Gestión'!$Z$66="Muy Baja",'Riesgos de Gestión'!$AB$66="Menor"),CONCATENATE("R10C",'Riesgos de Gestión'!$P$66),"")</f>
        <v/>
      </c>
      <c r="S55" s="66" t="str">
        <f>IF(AND('Riesgos de Gestión'!$Z$67="Muy Baja",'Riesgos de Gestión'!$AB$67="Menor"),CONCATENATE("R10C",'Riesgos de Gestión'!$P$67),"")</f>
        <v/>
      </c>
      <c r="T55" s="66" t="str">
        <f>IF(AND('Riesgos de Gestión'!$Z$68="Muy Baja",'Riesgos de Gestión'!$AB$68="Menor"),CONCATENATE("R10C",'Riesgos de Gestión'!$P$68),"")</f>
        <v/>
      </c>
      <c r="U55" s="67" t="str">
        <f>IF(AND('Riesgos de Gestión'!$Z$69="Muy Baja",'Riesgos de Gestión'!$AB$69="Menor"),CONCATENATE("R10C",'Riesgos de Gestión'!$P$69),"")</f>
        <v/>
      </c>
      <c r="V55" s="56" t="str">
        <f>IF(AND('Riesgos de Gestión'!$Z$64="Muy Baja",'Riesgos de Gestión'!$AB$64="Moderado"),CONCATENATE("R10C",'Riesgos de Gestión'!$P$64),"")</f>
        <v/>
      </c>
      <c r="W55" s="57" t="str">
        <f>IF(AND('Riesgos de Gestión'!$Z$65="Muy Baja",'Riesgos de Gestión'!$AB$65="Moderado"),CONCATENATE("R10C",'Riesgos de Gestión'!$P$65),"")</f>
        <v/>
      </c>
      <c r="X55" s="57" t="str">
        <f>IF(AND('Riesgos de Gestión'!$Z$66="Muy Baja",'Riesgos de Gestión'!$AB$66="Moderado"),CONCATENATE("R10C",'Riesgos de Gestión'!$P$66),"")</f>
        <v/>
      </c>
      <c r="Y55" s="57" t="str">
        <f>IF(AND('Riesgos de Gestión'!$Z$67="Muy Baja",'Riesgos de Gestión'!$AB$67="Moderado"),CONCATENATE("R10C",'Riesgos de Gestión'!$P$67),"")</f>
        <v/>
      </c>
      <c r="Z55" s="57" t="str">
        <f>IF(AND('Riesgos de Gestión'!$Z$68="Muy Baja",'Riesgos de Gestión'!$AB$68="Moderado"),CONCATENATE("R10C",'Riesgos de Gestión'!$P$68),"")</f>
        <v/>
      </c>
      <c r="AA55" s="58" t="str">
        <f>IF(AND('Riesgos de Gestión'!$Z$69="Muy Baja",'Riesgos de Gestión'!$AB$69="Moderado"),CONCATENATE("R10C",'Riesgos de Gestión'!$P$69),"")</f>
        <v/>
      </c>
      <c r="AB55" s="44" t="str">
        <f>IF(AND('Riesgos de Gestión'!$Z$64="Muy Baja",'Riesgos de Gestión'!$AB$64="Mayor"),CONCATENATE("R10C",'Riesgos de Gestión'!$P$64),"")</f>
        <v/>
      </c>
      <c r="AC55" s="45" t="str">
        <f>IF(AND('Riesgos de Gestión'!$Z$65="Muy Baja",'Riesgos de Gestión'!$AB$65="Mayor"),CONCATENATE("R10C",'Riesgos de Gestión'!$P$65),"")</f>
        <v/>
      </c>
      <c r="AD55" s="45" t="str">
        <f>IF(AND('Riesgos de Gestión'!$Z$66="Muy Baja",'Riesgos de Gestión'!$AB$66="Mayor"),CONCATENATE("R10C",'Riesgos de Gestión'!$P$66),"")</f>
        <v/>
      </c>
      <c r="AE55" s="45" t="str">
        <f>IF(AND('Riesgos de Gestión'!$Z$67="Muy Baja",'Riesgos de Gestión'!$AB$67="Mayor"),CONCATENATE("R10C",'Riesgos de Gestión'!$P$67),"")</f>
        <v/>
      </c>
      <c r="AF55" s="45" t="str">
        <f>IF(AND('Riesgos de Gestión'!$Z$68="Muy Baja",'Riesgos de Gestión'!$AB$68="Mayor"),CONCATENATE("R10C",'Riesgos de Gestión'!$P$68),"")</f>
        <v/>
      </c>
      <c r="AG55" s="46" t="str">
        <f>IF(AND('Riesgos de Gestión'!$Z$69="Muy Baja",'Riesgos de Gestión'!$AB$69="Mayor"),CONCATENATE("R10C",'Riesgos de Gestión'!$P$69),"")</f>
        <v/>
      </c>
      <c r="AH55" s="47" t="str">
        <f>IF(AND('Riesgos de Gestión'!$Z$64="Muy Baja",'Riesgos de Gestión'!$AB$64="Catastrófico"),CONCATENATE("R10C",'Riesgos de Gestión'!$P$64),"")</f>
        <v/>
      </c>
      <c r="AI55" s="48" t="str">
        <f>IF(AND('Riesgos de Gestión'!$Z$65="Muy Baja",'Riesgos de Gestión'!$AB$65="Catastrófico"),CONCATENATE("R10C",'Riesgos de Gestión'!$P$65),"")</f>
        <v/>
      </c>
      <c r="AJ55" s="48" t="str">
        <f>IF(AND('Riesgos de Gestión'!$Z$66="Muy Baja",'Riesgos de Gestión'!$AB$66="Catastrófico"),CONCATENATE("R10C",'Riesgos de Gestión'!$P$66),"")</f>
        <v/>
      </c>
      <c r="AK55" s="48" t="str">
        <f>IF(AND('Riesgos de Gestión'!$Z$67="Muy Baja",'Riesgos de Gestión'!$AB$67="Catastrófico"),CONCATENATE("R10C",'Riesgos de Gestión'!$P$67),"")</f>
        <v/>
      </c>
      <c r="AL55" s="48" t="str">
        <f>IF(AND('Riesgos de Gestión'!$Z$68="Muy Baja",'Riesgos de Gestión'!$AB$68="Catastrófico"),CONCATENATE("R10C",'Riesgos de Gestión'!$P$68),"")</f>
        <v/>
      </c>
      <c r="AM55" s="49" t="str">
        <f>IF(AND('Riesgos de Gestión'!$Z$69="Muy Baja",'Riesgos de Gestión'!$AB$69="Catastrófico"),CONCATENATE("R10C",'Riesgos de Gestión'!$P$69),"")</f>
        <v/>
      </c>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row>
    <row r="56" spans="1:80" x14ac:dyDescent="0.25">
      <c r="A56" s="69"/>
      <c r="B56" s="69"/>
      <c r="C56" s="69"/>
      <c r="D56" s="69"/>
      <c r="E56" s="69"/>
      <c r="F56" s="69"/>
      <c r="G56" s="69"/>
      <c r="H56" s="69"/>
      <c r="I56" s="69"/>
      <c r="J56" s="542" t="s">
        <v>111</v>
      </c>
      <c r="K56" s="543"/>
      <c r="L56" s="543"/>
      <c r="M56" s="543"/>
      <c r="N56" s="543"/>
      <c r="O56" s="560"/>
      <c r="P56" s="542" t="s">
        <v>110</v>
      </c>
      <c r="Q56" s="543"/>
      <c r="R56" s="543"/>
      <c r="S56" s="543"/>
      <c r="T56" s="543"/>
      <c r="U56" s="560"/>
      <c r="V56" s="542" t="s">
        <v>109</v>
      </c>
      <c r="W56" s="543"/>
      <c r="X56" s="543"/>
      <c r="Y56" s="543"/>
      <c r="Z56" s="543"/>
      <c r="AA56" s="560"/>
      <c r="AB56" s="542" t="s">
        <v>108</v>
      </c>
      <c r="AC56" s="581"/>
      <c r="AD56" s="543"/>
      <c r="AE56" s="543"/>
      <c r="AF56" s="543"/>
      <c r="AG56" s="560"/>
      <c r="AH56" s="542" t="s">
        <v>107</v>
      </c>
      <c r="AI56" s="543"/>
      <c r="AJ56" s="543"/>
      <c r="AK56" s="543"/>
      <c r="AL56" s="543"/>
      <c r="AM56" s="560"/>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row>
    <row r="57" spans="1:80" x14ac:dyDescent="0.25">
      <c r="A57" s="69"/>
      <c r="B57" s="69"/>
      <c r="C57" s="69"/>
      <c r="D57" s="69"/>
      <c r="E57" s="69"/>
      <c r="F57" s="69"/>
      <c r="G57" s="69"/>
      <c r="H57" s="69"/>
      <c r="I57" s="69"/>
      <c r="J57" s="546"/>
      <c r="K57" s="545"/>
      <c r="L57" s="545"/>
      <c r="M57" s="545"/>
      <c r="N57" s="545"/>
      <c r="O57" s="561"/>
      <c r="P57" s="546"/>
      <c r="Q57" s="545"/>
      <c r="R57" s="545"/>
      <c r="S57" s="545"/>
      <c r="T57" s="545"/>
      <c r="U57" s="561"/>
      <c r="V57" s="546"/>
      <c r="W57" s="545"/>
      <c r="X57" s="545"/>
      <c r="Y57" s="545"/>
      <c r="Z57" s="545"/>
      <c r="AA57" s="561"/>
      <c r="AB57" s="546"/>
      <c r="AC57" s="545"/>
      <c r="AD57" s="545"/>
      <c r="AE57" s="545"/>
      <c r="AF57" s="545"/>
      <c r="AG57" s="561"/>
      <c r="AH57" s="546"/>
      <c r="AI57" s="545"/>
      <c r="AJ57" s="545"/>
      <c r="AK57" s="545"/>
      <c r="AL57" s="545"/>
      <c r="AM57" s="561"/>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row>
    <row r="58" spans="1:80" x14ac:dyDescent="0.25">
      <c r="A58" s="69"/>
      <c r="B58" s="69"/>
      <c r="C58" s="69"/>
      <c r="D58" s="69"/>
      <c r="E58" s="69"/>
      <c r="F58" s="69"/>
      <c r="G58" s="69"/>
      <c r="H58" s="69"/>
      <c r="I58" s="69"/>
      <c r="J58" s="546"/>
      <c r="K58" s="545"/>
      <c r="L58" s="545"/>
      <c r="M58" s="545"/>
      <c r="N58" s="545"/>
      <c r="O58" s="561"/>
      <c r="P58" s="546"/>
      <c r="Q58" s="545"/>
      <c r="R58" s="545"/>
      <c r="S58" s="545"/>
      <c r="T58" s="545"/>
      <c r="U58" s="561"/>
      <c r="V58" s="546"/>
      <c r="W58" s="545"/>
      <c r="X58" s="545"/>
      <c r="Y58" s="545"/>
      <c r="Z58" s="545"/>
      <c r="AA58" s="561"/>
      <c r="AB58" s="546"/>
      <c r="AC58" s="545"/>
      <c r="AD58" s="545"/>
      <c r="AE58" s="545"/>
      <c r="AF58" s="545"/>
      <c r="AG58" s="561"/>
      <c r="AH58" s="546"/>
      <c r="AI58" s="545"/>
      <c r="AJ58" s="545"/>
      <c r="AK58" s="545"/>
      <c r="AL58" s="545"/>
      <c r="AM58" s="561"/>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row>
    <row r="59" spans="1:80" x14ac:dyDescent="0.25">
      <c r="A59" s="69"/>
      <c r="B59" s="69"/>
      <c r="C59" s="69"/>
      <c r="D59" s="69"/>
      <c r="E59" s="69"/>
      <c r="F59" s="69"/>
      <c r="G59" s="69"/>
      <c r="H59" s="69"/>
      <c r="I59" s="69"/>
      <c r="J59" s="546"/>
      <c r="K59" s="545"/>
      <c r="L59" s="545"/>
      <c r="M59" s="545"/>
      <c r="N59" s="545"/>
      <c r="O59" s="561"/>
      <c r="P59" s="546"/>
      <c r="Q59" s="545"/>
      <c r="R59" s="545"/>
      <c r="S59" s="545"/>
      <c r="T59" s="545"/>
      <c r="U59" s="561"/>
      <c r="V59" s="546"/>
      <c r="W59" s="545"/>
      <c r="X59" s="545"/>
      <c r="Y59" s="545"/>
      <c r="Z59" s="545"/>
      <c r="AA59" s="561"/>
      <c r="AB59" s="546"/>
      <c r="AC59" s="545"/>
      <c r="AD59" s="545"/>
      <c r="AE59" s="545"/>
      <c r="AF59" s="545"/>
      <c r="AG59" s="561"/>
      <c r="AH59" s="546"/>
      <c r="AI59" s="545"/>
      <c r="AJ59" s="545"/>
      <c r="AK59" s="545"/>
      <c r="AL59" s="545"/>
      <c r="AM59" s="561"/>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row>
    <row r="60" spans="1:80" x14ac:dyDescent="0.25">
      <c r="A60" s="69"/>
      <c r="B60" s="69"/>
      <c r="C60" s="69"/>
      <c r="D60" s="69"/>
      <c r="E60" s="69"/>
      <c r="F60" s="69"/>
      <c r="G60" s="69"/>
      <c r="H60" s="69"/>
      <c r="I60" s="69"/>
      <c r="J60" s="546"/>
      <c r="K60" s="545"/>
      <c r="L60" s="545"/>
      <c r="M60" s="545"/>
      <c r="N60" s="545"/>
      <c r="O60" s="561"/>
      <c r="P60" s="546"/>
      <c r="Q60" s="545"/>
      <c r="R60" s="545"/>
      <c r="S60" s="545"/>
      <c r="T60" s="545"/>
      <c r="U60" s="561"/>
      <c r="V60" s="546"/>
      <c r="W60" s="545"/>
      <c r="X60" s="545"/>
      <c r="Y60" s="545"/>
      <c r="Z60" s="545"/>
      <c r="AA60" s="561"/>
      <c r="AB60" s="546"/>
      <c r="AC60" s="545"/>
      <c r="AD60" s="545"/>
      <c r="AE60" s="545"/>
      <c r="AF60" s="545"/>
      <c r="AG60" s="561"/>
      <c r="AH60" s="546"/>
      <c r="AI60" s="545"/>
      <c r="AJ60" s="545"/>
      <c r="AK60" s="545"/>
      <c r="AL60" s="545"/>
      <c r="AM60" s="561"/>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row>
    <row r="61" spans="1:80" ht="15.75" thickBot="1" x14ac:dyDescent="0.3">
      <c r="A61" s="69"/>
      <c r="B61" s="69"/>
      <c r="C61" s="69"/>
      <c r="D61" s="69"/>
      <c r="E61" s="69"/>
      <c r="F61" s="69"/>
      <c r="G61" s="69"/>
      <c r="H61" s="69"/>
      <c r="I61" s="69"/>
      <c r="J61" s="547"/>
      <c r="K61" s="548"/>
      <c r="L61" s="548"/>
      <c r="M61" s="548"/>
      <c r="N61" s="548"/>
      <c r="O61" s="562"/>
      <c r="P61" s="547"/>
      <c r="Q61" s="548"/>
      <c r="R61" s="548"/>
      <c r="S61" s="548"/>
      <c r="T61" s="548"/>
      <c r="U61" s="562"/>
      <c r="V61" s="547"/>
      <c r="W61" s="548"/>
      <c r="X61" s="548"/>
      <c r="Y61" s="548"/>
      <c r="Z61" s="548"/>
      <c r="AA61" s="562"/>
      <c r="AB61" s="547"/>
      <c r="AC61" s="548"/>
      <c r="AD61" s="548"/>
      <c r="AE61" s="548"/>
      <c r="AF61" s="548"/>
      <c r="AG61" s="562"/>
      <c r="AH61" s="547"/>
      <c r="AI61" s="548"/>
      <c r="AJ61" s="548"/>
      <c r="AK61" s="548"/>
      <c r="AL61" s="548"/>
      <c r="AM61" s="562"/>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row>
    <row r="62" spans="1:80" x14ac:dyDescent="0.25">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row>
    <row r="63" spans="1:80" ht="15" customHeight="1" x14ac:dyDescent="0.25">
      <c r="A63" s="69"/>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69"/>
      <c r="AV63" s="69"/>
      <c r="AW63" s="69"/>
      <c r="AX63" s="69"/>
      <c r="AY63" s="69"/>
      <c r="AZ63" s="69"/>
      <c r="BA63" s="69"/>
      <c r="BB63" s="69"/>
      <c r="BC63" s="69"/>
      <c r="BD63" s="69"/>
      <c r="BE63" s="69"/>
      <c r="BF63" s="69"/>
      <c r="BG63" s="69"/>
      <c r="BH63" s="69"/>
    </row>
    <row r="64" spans="1:80" ht="15" customHeight="1" x14ac:dyDescent="0.25">
      <c r="A64" s="69"/>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69"/>
      <c r="AV64" s="69"/>
      <c r="AW64" s="69"/>
      <c r="AX64" s="69"/>
      <c r="AY64" s="69"/>
      <c r="AZ64" s="69"/>
      <c r="BA64" s="69"/>
      <c r="BB64" s="69"/>
      <c r="BC64" s="69"/>
      <c r="BD64" s="69"/>
      <c r="BE64" s="69"/>
      <c r="BF64" s="69"/>
      <c r="BG64" s="69"/>
      <c r="BH64" s="69"/>
    </row>
    <row r="65" spans="1:60" x14ac:dyDescent="0.25">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row>
    <row r="66" spans="1:60" x14ac:dyDescent="0.25">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row>
    <row r="67" spans="1:60" x14ac:dyDescent="0.25">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row>
    <row r="68" spans="1:60" x14ac:dyDescent="0.25">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row>
    <row r="69" spans="1:60" x14ac:dyDescent="0.25">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row>
    <row r="70" spans="1:60" x14ac:dyDescent="0.25">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row>
    <row r="71" spans="1:60" x14ac:dyDescent="0.25">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row>
    <row r="72" spans="1:60" x14ac:dyDescent="0.25">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row>
    <row r="73" spans="1:60" x14ac:dyDescent="0.25">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row>
    <row r="74" spans="1:60" x14ac:dyDescent="0.25">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row>
    <row r="75" spans="1:60" x14ac:dyDescent="0.25">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row>
    <row r="76" spans="1:60" x14ac:dyDescent="0.25">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row>
    <row r="77" spans="1:60" x14ac:dyDescent="0.25">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row>
    <row r="78" spans="1:60" x14ac:dyDescent="0.25">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row>
    <row r="79" spans="1:60" x14ac:dyDescent="0.25">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row>
    <row r="80" spans="1:60" x14ac:dyDescent="0.25">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row>
    <row r="81" spans="1:60" x14ac:dyDescent="0.25">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row>
    <row r="82" spans="1:60" x14ac:dyDescent="0.25">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row>
    <row r="83" spans="1:60" x14ac:dyDescent="0.25">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row>
    <row r="84" spans="1:60" x14ac:dyDescent="0.25">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row>
    <row r="85" spans="1:60" x14ac:dyDescent="0.25">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row>
    <row r="86" spans="1:60" x14ac:dyDescent="0.25">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row>
    <row r="87" spans="1:60" x14ac:dyDescent="0.25">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row>
    <row r="88" spans="1:60" x14ac:dyDescent="0.25">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row>
    <row r="89" spans="1:60" x14ac:dyDescent="0.25">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row>
    <row r="90" spans="1:60" x14ac:dyDescent="0.25">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row>
    <row r="91" spans="1:60" x14ac:dyDescent="0.25">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row>
    <row r="92" spans="1:60" x14ac:dyDescent="0.25">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row>
    <row r="93" spans="1:60" x14ac:dyDescent="0.25">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row>
    <row r="94" spans="1:60" x14ac:dyDescent="0.25">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row>
    <row r="95" spans="1:60" x14ac:dyDescent="0.25">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row>
    <row r="96" spans="1:60" x14ac:dyDescent="0.25">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row>
    <row r="97" spans="1:60" x14ac:dyDescent="0.25">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row>
    <row r="98" spans="1:60" x14ac:dyDescent="0.25">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row>
    <row r="99" spans="1:60" x14ac:dyDescent="0.25">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row>
    <row r="100" spans="1:60" x14ac:dyDescent="0.25">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row>
    <row r="101" spans="1:60" x14ac:dyDescent="0.25">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row>
    <row r="102" spans="1:60" x14ac:dyDescent="0.25">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row>
    <row r="103" spans="1:60" x14ac:dyDescent="0.25">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row>
    <row r="104" spans="1:60" x14ac:dyDescent="0.25">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row>
    <row r="105" spans="1:60" x14ac:dyDescent="0.25">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row>
    <row r="106" spans="1:60" x14ac:dyDescent="0.25">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row>
    <row r="107" spans="1:60" x14ac:dyDescent="0.25">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row>
    <row r="108" spans="1:60" x14ac:dyDescent="0.25">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row>
    <row r="109" spans="1:60" x14ac:dyDescent="0.25">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row>
    <row r="110" spans="1:60" x14ac:dyDescent="0.25">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row>
    <row r="111" spans="1:60" x14ac:dyDescent="0.25">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row>
    <row r="112" spans="1:60" x14ac:dyDescent="0.25">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row>
    <row r="113" spans="1:60" x14ac:dyDescent="0.25">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row>
    <row r="114" spans="1:60" x14ac:dyDescent="0.25">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row>
    <row r="115" spans="1:60" x14ac:dyDescent="0.25">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row>
    <row r="116" spans="1:60" x14ac:dyDescent="0.25">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row>
    <row r="117" spans="1:60" x14ac:dyDescent="0.25">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row>
    <row r="118" spans="1:60" x14ac:dyDescent="0.25">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row>
    <row r="119" spans="1:60" x14ac:dyDescent="0.25">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row>
    <row r="120" spans="1:60" x14ac:dyDescent="0.25">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row>
    <row r="121" spans="1:60" x14ac:dyDescent="0.25">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row>
    <row r="122" spans="1:60" x14ac:dyDescent="0.25">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row>
    <row r="123" spans="1:60" x14ac:dyDescent="0.25">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row>
    <row r="124" spans="1:60" x14ac:dyDescent="0.25">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row>
    <row r="125" spans="1:60" x14ac:dyDescent="0.25">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row>
    <row r="126" spans="1:60" x14ac:dyDescent="0.25">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row>
    <row r="127" spans="1:60" x14ac:dyDescent="0.25">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row>
    <row r="128" spans="1:60" x14ac:dyDescent="0.25">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row>
    <row r="129" spans="1:60" x14ac:dyDescent="0.25">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row>
    <row r="130" spans="1:60" x14ac:dyDescent="0.25">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row>
    <row r="131" spans="1:60" x14ac:dyDescent="0.25">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row>
    <row r="132" spans="1:60" x14ac:dyDescent="0.25">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row>
    <row r="133" spans="1:60" x14ac:dyDescent="0.25">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row>
    <row r="134" spans="1:60" x14ac:dyDescent="0.25">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row>
    <row r="135" spans="1:60" x14ac:dyDescent="0.25">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row>
    <row r="136" spans="1:60" x14ac:dyDescent="0.25">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row>
    <row r="137" spans="1:60" x14ac:dyDescent="0.25">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row>
    <row r="138" spans="1:60" x14ac:dyDescent="0.25">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c r="BE138" s="69"/>
      <c r="BF138" s="69"/>
      <c r="BG138" s="69"/>
      <c r="BH138" s="69"/>
    </row>
    <row r="139" spans="1:60" x14ac:dyDescent="0.25">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c r="BG139" s="69"/>
      <c r="BH139" s="69"/>
    </row>
    <row r="140" spans="1:60" x14ac:dyDescent="0.25">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row>
    <row r="141" spans="1:60" x14ac:dyDescent="0.25">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c r="BG141" s="69"/>
      <c r="BH141" s="69"/>
    </row>
    <row r="142" spans="1:60" x14ac:dyDescent="0.25">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c r="AX142" s="69"/>
      <c r="AY142" s="69"/>
      <c r="AZ142" s="69"/>
      <c r="BA142" s="69"/>
      <c r="BB142" s="69"/>
      <c r="BC142" s="69"/>
      <c r="BD142" s="69"/>
      <c r="BE142" s="69"/>
      <c r="BF142" s="69"/>
      <c r="BG142" s="69"/>
      <c r="BH142" s="69"/>
    </row>
    <row r="143" spans="1:60" x14ac:dyDescent="0.25">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c r="AV143" s="69"/>
      <c r="AW143" s="69"/>
      <c r="AX143" s="69"/>
      <c r="AY143" s="69"/>
      <c r="AZ143" s="69"/>
      <c r="BA143" s="69"/>
      <c r="BB143" s="69"/>
      <c r="BC143" s="69"/>
      <c r="BD143" s="69"/>
      <c r="BE143" s="69"/>
      <c r="BF143" s="69"/>
      <c r="BG143" s="69"/>
      <c r="BH143" s="69"/>
    </row>
    <row r="144" spans="1:60" x14ac:dyDescent="0.25">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c r="AV144" s="69"/>
      <c r="AW144" s="69"/>
      <c r="AX144" s="69"/>
      <c r="AY144" s="69"/>
      <c r="AZ144" s="69"/>
      <c r="BA144" s="69"/>
      <c r="BB144" s="69"/>
      <c r="BC144" s="69"/>
      <c r="BD144" s="69"/>
      <c r="BE144" s="69"/>
      <c r="BF144" s="69"/>
      <c r="BG144" s="69"/>
      <c r="BH144" s="69"/>
    </row>
    <row r="145" spans="1:60" x14ac:dyDescent="0.25">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c r="AX145" s="69"/>
      <c r="AY145" s="69"/>
      <c r="AZ145" s="69"/>
      <c r="BA145" s="69"/>
      <c r="BB145" s="69"/>
      <c r="BC145" s="69"/>
      <c r="BD145" s="69"/>
      <c r="BE145" s="69"/>
      <c r="BF145" s="69"/>
      <c r="BG145" s="69"/>
      <c r="BH145" s="69"/>
    </row>
    <row r="146" spans="1:60" x14ac:dyDescent="0.25">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c r="AP146" s="69"/>
      <c r="AQ146" s="69"/>
      <c r="AR146" s="69"/>
      <c r="AS146" s="69"/>
      <c r="AT146" s="69"/>
      <c r="AU146" s="69"/>
      <c r="AV146" s="69"/>
      <c r="AW146" s="69"/>
      <c r="AX146" s="69"/>
      <c r="AY146" s="69"/>
      <c r="AZ146" s="69"/>
      <c r="BA146" s="69"/>
      <c r="BB146" s="69"/>
      <c r="BC146" s="69"/>
      <c r="BD146" s="69"/>
      <c r="BE146" s="69"/>
      <c r="BF146" s="69"/>
      <c r="BG146" s="69"/>
      <c r="BH146" s="69"/>
    </row>
    <row r="147" spans="1:60" x14ac:dyDescent="0.25">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9"/>
      <c r="AR147" s="69"/>
      <c r="AS147" s="69"/>
      <c r="AT147" s="69"/>
      <c r="AU147" s="69"/>
      <c r="AV147" s="69"/>
      <c r="AW147" s="69"/>
      <c r="AX147" s="69"/>
      <c r="AY147" s="69"/>
      <c r="AZ147" s="69"/>
      <c r="BA147" s="69"/>
      <c r="BB147" s="69"/>
      <c r="BC147" s="69"/>
      <c r="BD147" s="69"/>
      <c r="BE147" s="69"/>
      <c r="BF147" s="69"/>
      <c r="BG147" s="69"/>
      <c r="BH147" s="69"/>
    </row>
    <row r="148" spans="1:60" x14ac:dyDescent="0.25">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69"/>
      <c r="AV148" s="69"/>
      <c r="AW148" s="69"/>
      <c r="AX148" s="69"/>
      <c r="AY148" s="69"/>
      <c r="AZ148" s="69"/>
      <c r="BA148" s="69"/>
      <c r="BB148" s="69"/>
      <c r="BC148" s="69"/>
      <c r="BD148" s="69"/>
      <c r="BE148" s="69"/>
      <c r="BF148" s="69"/>
      <c r="BG148" s="69"/>
      <c r="BH148" s="69"/>
    </row>
    <row r="149" spans="1:60" x14ac:dyDescent="0.25">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69"/>
      <c r="AQ149" s="69"/>
      <c r="AR149" s="69"/>
      <c r="AS149" s="69"/>
      <c r="AT149" s="69"/>
      <c r="AU149" s="69"/>
      <c r="AV149" s="69"/>
      <c r="AW149" s="69"/>
      <c r="AX149" s="69"/>
      <c r="AY149" s="69"/>
      <c r="AZ149" s="69"/>
      <c r="BA149" s="69"/>
      <c r="BB149" s="69"/>
      <c r="BC149" s="69"/>
      <c r="BD149" s="69"/>
      <c r="BE149" s="69"/>
      <c r="BF149" s="69"/>
      <c r="BG149" s="69"/>
      <c r="BH149" s="69"/>
    </row>
    <row r="150" spans="1:60" x14ac:dyDescent="0.25">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c r="AV150" s="69"/>
      <c r="AW150" s="69"/>
      <c r="AX150" s="69"/>
      <c r="AY150" s="69"/>
      <c r="AZ150" s="69"/>
      <c r="BA150" s="69"/>
      <c r="BB150" s="69"/>
      <c r="BC150" s="69"/>
      <c r="BD150" s="69"/>
      <c r="BE150" s="69"/>
      <c r="BF150" s="69"/>
      <c r="BG150" s="69"/>
      <c r="BH150" s="69"/>
    </row>
    <row r="151" spans="1:60" x14ac:dyDescent="0.25">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69"/>
      <c r="AT151" s="69"/>
      <c r="AU151" s="69"/>
      <c r="AV151" s="69"/>
      <c r="AW151" s="69"/>
      <c r="AX151" s="69"/>
      <c r="AY151" s="69"/>
      <c r="AZ151" s="69"/>
      <c r="BA151" s="69"/>
      <c r="BB151" s="69"/>
      <c r="BC151" s="69"/>
      <c r="BD151" s="69"/>
      <c r="BE151" s="69"/>
      <c r="BF151" s="69"/>
      <c r="BG151" s="69"/>
      <c r="BH151" s="69"/>
    </row>
    <row r="152" spans="1:60" x14ac:dyDescent="0.25">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c r="AV152" s="69"/>
      <c r="AW152" s="69"/>
      <c r="AX152" s="69"/>
      <c r="AY152" s="69"/>
      <c r="AZ152" s="69"/>
      <c r="BA152" s="69"/>
      <c r="BB152" s="69"/>
      <c r="BC152" s="69"/>
      <c r="BD152" s="69"/>
      <c r="BE152" s="69"/>
      <c r="BF152" s="69"/>
      <c r="BG152" s="69"/>
      <c r="BH152" s="69"/>
    </row>
    <row r="153" spans="1:60" x14ac:dyDescent="0.25">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c r="AV153" s="69"/>
      <c r="AW153" s="69"/>
      <c r="AX153" s="69"/>
      <c r="AY153" s="69"/>
      <c r="AZ153" s="69"/>
      <c r="BA153" s="69"/>
      <c r="BB153" s="69"/>
      <c r="BC153" s="69"/>
      <c r="BD153" s="69"/>
      <c r="BE153" s="69"/>
      <c r="BF153" s="69"/>
      <c r="BG153" s="69"/>
      <c r="BH153" s="69"/>
    </row>
    <row r="154" spans="1:60" x14ac:dyDescent="0.25">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c r="AV154" s="69"/>
      <c r="AW154" s="69"/>
      <c r="AX154" s="69"/>
      <c r="AY154" s="69"/>
      <c r="AZ154" s="69"/>
      <c r="BA154" s="69"/>
      <c r="BB154" s="69"/>
      <c r="BC154" s="69"/>
      <c r="BD154" s="69"/>
      <c r="BE154" s="69"/>
      <c r="BF154" s="69"/>
      <c r="BG154" s="69"/>
      <c r="BH154" s="69"/>
    </row>
    <row r="155" spans="1:60" x14ac:dyDescent="0.25">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c r="AX155" s="69"/>
      <c r="AY155" s="69"/>
      <c r="AZ155" s="69"/>
      <c r="BA155" s="69"/>
      <c r="BB155" s="69"/>
      <c r="BC155" s="69"/>
      <c r="BD155" s="69"/>
      <c r="BE155" s="69"/>
      <c r="BF155" s="69"/>
      <c r="BG155" s="69"/>
      <c r="BH155" s="69"/>
    </row>
    <row r="156" spans="1:60" x14ac:dyDescent="0.25">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69"/>
      <c r="AY156" s="69"/>
      <c r="AZ156" s="69"/>
      <c r="BA156" s="69"/>
      <c r="BB156" s="69"/>
      <c r="BC156" s="69"/>
      <c r="BD156" s="69"/>
      <c r="BE156" s="69"/>
      <c r="BF156" s="69"/>
      <c r="BG156" s="69"/>
      <c r="BH156" s="69"/>
    </row>
    <row r="157" spans="1:60" x14ac:dyDescent="0.25">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c r="AV157" s="69"/>
      <c r="AW157" s="69"/>
      <c r="AX157" s="69"/>
      <c r="AY157" s="69"/>
      <c r="AZ157" s="69"/>
      <c r="BA157" s="69"/>
      <c r="BB157" s="69"/>
      <c r="BC157" s="69"/>
      <c r="BD157" s="69"/>
      <c r="BE157" s="69"/>
      <c r="BF157" s="69"/>
      <c r="BG157" s="69"/>
      <c r="BH157" s="69"/>
    </row>
    <row r="158" spans="1:60" x14ac:dyDescent="0.25">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69"/>
      <c r="AV158" s="69"/>
      <c r="AW158" s="69"/>
      <c r="AX158" s="69"/>
      <c r="AY158" s="69"/>
      <c r="AZ158" s="69"/>
      <c r="BA158" s="69"/>
      <c r="BB158" s="69"/>
      <c r="BC158" s="69"/>
      <c r="BD158" s="69"/>
      <c r="BE158" s="69"/>
      <c r="BF158" s="69"/>
      <c r="BG158" s="69"/>
      <c r="BH158" s="69"/>
    </row>
    <row r="159" spans="1:60" x14ac:dyDescent="0.25">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69"/>
      <c r="AY159" s="69"/>
      <c r="AZ159" s="69"/>
      <c r="BA159" s="69"/>
      <c r="BB159" s="69"/>
      <c r="BC159" s="69"/>
      <c r="BD159" s="69"/>
      <c r="BE159" s="69"/>
      <c r="BF159" s="69"/>
      <c r="BG159" s="69"/>
      <c r="BH159" s="69"/>
    </row>
    <row r="160" spans="1:60" x14ac:dyDescent="0.25">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69"/>
      <c r="AV160" s="69"/>
      <c r="AW160" s="69"/>
      <c r="AX160" s="69"/>
      <c r="AY160" s="69"/>
      <c r="AZ160" s="69"/>
      <c r="BA160" s="69"/>
      <c r="BB160" s="69"/>
      <c r="BC160" s="69"/>
      <c r="BD160" s="69"/>
      <c r="BE160" s="69"/>
      <c r="BF160" s="69"/>
      <c r="BG160" s="69"/>
      <c r="BH160" s="69"/>
    </row>
    <row r="161" spans="1:60" x14ac:dyDescent="0.25">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c r="AV161" s="69"/>
      <c r="AW161" s="69"/>
      <c r="AX161" s="69"/>
      <c r="AY161" s="69"/>
      <c r="AZ161" s="69"/>
      <c r="BA161" s="69"/>
      <c r="BB161" s="69"/>
      <c r="BC161" s="69"/>
      <c r="BD161" s="69"/>
      <c r="BE161" s="69"/>
      <c r="BF161" s="69"/>
      <c r="BG161" s="69"/>
      <c r="BH161" s="69"/>
    </row>
    <row r="162" spans="1:60" x14ac:dyDescent="0.25">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69"/>
      <c r="AT162" s="69"/>
      <c r="AU162" s="69"/>
      <c r="AV162" s="69"/>
      <c r="AW162" s="69"/>
      <c r="AX162" s="69"/>
      <c r="AY162" s="69"/>
      <c r="AZ162" s="69"/>
      <c r="BA162" s="69"/>
      <c r="BB162" s="69"/>
      <c r="BC162" s="69"/>
      <c r="BD162" s="69"/>
      <c r="BE162" s="69"/>
      <c r="BF162" s="69"/>
      <c r="BG162" s="69"/>
      <c r="BH162" s="69"/>
    </row>
    <row r="163" spans="1:60" x14ac:dyDescent="0.25">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c r="AS163" s="69"/>
      <c r="AT163" s="69"/>
      <c r="AU163" s="69"/>
      <c r="AV163" s="69"/>
      <c r="AW163" s="69"/>
      <c r="AX163" s="69"/>
      <c r="AY163" s="69"/>
      <c r="AZ163" s="69"/>
      <c r="BA163" s="69"/>
      <c r="BB163" s="69"/>
      <c r="BC163" s="69"/>
      <c r="BD163" s="69"/>
      <c r="BE163" s="69"/>
      <c r="BF163" s="69"/>
      <c r="BG163" s="69"/>
      <c r="BH163" s="69"/>
    </row>
    <row r="164" spans="1:60" x14ac:dyDescent="0.25">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69"/>
      <c r="AV164" s="69"/>
      <c r="AW164" s="69"/>
      <c r="AX164" s="69"/>
      <c r="AY164" s="69"/>
      <c r="AZ164" s="69"/>
      <c r="BA164" s="69"/>
      <c r="BB164" s="69"/>
      <c r="BC164" s="69"/>
      <c r="BD164" s="69"/>
      <c r="BE164" s="69"/>
      <c r="BF164" s="69"/>
      <c r="BG164" s="69"/>
      <c r="BH164" s="69"/>
    </row>
    <row r="165" spans="1:60" x14ac:dyDescent="0.25">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69"/>
      <c r="AV165" s="69"/>
      <c r="AW165" s="69"/>
      <c r="AX165" s="69"/>
      <c r="AY165" s="69"/>
      <c r="AZ165" s="69"/>
      <c r="BA165" s="69"/>
      <c r="BB165" s="69"/>
      <c r="BC165" s="69"/>
      <c r="BD165" s="69"/>
      <c r="BE165" s="69"/>
      <c r="BF165" s="69"/>
      <c r="BG165" s="69"/>
      <c r="BH165" s="69"/>
    </row>
    <row r="166" spans="1:60" x14ac:dyDescent="0.25">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69"/>
      <c r="AV166" s="69"/>
      <c r="AW166" s="69"/>
      <c r="AX166" s="69"/>
      <c r="AY166" s="69"/>
      <c r="AZ166" s="69"/>
      <c r="BA166" s="69"/>
      <c r="BB166" s="69"/>
      <c r="BC166" s="69"/>
      <c r="BD166" s="69"/>
      <c r="BE166" s="69"/>
      <c r="BF166" s="69"/>
      <c r="BG166" s="69"/>
      <c r="BH166" s="69"/>
    </row>
    <row r="167" spans="1:60" x14ac:dyDescent="0.25">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9"/>
      <c r="AR167" s="69"/>
      <c r="AS167" s="69"/>
      <c r="AT167" s="69"/>
      <c r="AU167" s="69"/>
      <c r="AV167" s="69"/>
      <c r="AW167" s="69"/>
      <c r="AX167" s="69"/>
      <c r="AY167" s="69"/>
      <c r="AZ167" s="69"/>
      <c r="BA167" s="69"/>
      <c r="BB167" s="69"/>
      <c r="BC167" s="69"/>
      <c r="BD167" s="69"/>
      <c r="BE167" s="69"/>
      <c r="BF167" s="69"/>
      <c r="BG167" s="69"/>
      <c r="BH167" s="69"/>
    </row>
    <row r="168" spans="1:60" x14ac:dyDescent="0.25">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69"/>
      <c r="AV168" s="69"/>
      <c r="AW168" s="69"/>
      <c r="AX168" s="69"/>
      <c r="AY168" s="69"/>
      <c r="AZ168" s="69"/>
      <c r="BA168" s="69"/>
      <c r="BB168" s="69"/>
      <c r="BC168" s="69"/>
      <c r="BD168" s="69"/>
      <c r="BE168" s="69"/>
      <c r="BF168" s="69"/>
      <c r="BG168" s="69"/>
      <c r="BH168" s="69"/>
    </row>
    <row r="169" spans="1:60" x14ac:dyDescent="0.25">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c r="AX169" s="69"/>
      <c r="AY169" s="69"/>
      <c r="AZ169" s="69"/>
      <c r="BA169" s="69"/>
      <c r="BB169" s="69"/>
      <c r="BC169" s="69"/>
      <c r="BD169" s="69"/>
      <c r="BE169" s="69"/>
      <c r="BF169" s="69"/>
      <c r="BG169" s="69"/>
      <c r="BH169" s="69"/>
    </row>
    <row r="170" spans="1:60" x14ac:dyDescent="0.25">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c r="AP170" s="69"/>
      <c r="AQ170" s="69"/>
      <c r="AR170" s="69"/>
      <c r="AS170" s="69"/>
      <c r="AT170" s="69"/>
      <c r="AU170" s="69"/>
      <c r="AV170" s="69"/>
      <c r="AW170" s="69"/>
      <c r="AX170" s="69"/>
      <c r="AY170" s="69"/>
      <c r="AZ170" s="69"/>
      <c r="BA170" s="69"/>
      <c r="BB170" s="69"/>
      <c r="BC170" s="69"/>
      <c r="BD170" s="69"/>
      <c r="BE170" s="69"/>
      <c r="BF170" s="69"/>
      <c r="BG170" s="69"/>
      <c r="BH170" s="69"/>
    </row>
    <row r="171" spans="1:60" x14ac:dyDescent="0.25">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69"/>
      <c r="AV171" s="69"/>
      <c r="AW171" s="69"/>
      <c r="AX171" s="69"/>
      <c r="AY171" s="69"/>
      <c r="AZ171" s="69"/>
      <c r="BA171" s="69"/>
      <c r="BB171" s="69"/>
      <c r="BC171" s="69"/>
      <c r="BD171" s="69"/>
      <c r="BE171" s="69"/>
      <c r="BF171" s="69"/>
      <c r="BG171" s="69"/>
      <c r="BH171" s="69"/>
    </row>
    <row r="172" spans="1:60" x14ac:dyDescent="0.25">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c r="AP172" s="69"/>
      <c r="AQ172" s="69"/>
      <c r="AR172" s="69"/>
      <c r="AS172" s="69"/>
      <c r="AT172" s="69"/>
      <c r="AU172" s="69"/>
      <c r="AV172" s="69"/>
      <c r="AW172" s="69"/>
      <c r="AX172" s="69"/>
      <c r="AY172" s="69"/>
      <c r="AZ172" s="69"/>
      <c r="BA172" s="69"/>
      <c r="BB172" s="69"/>
      <c r="BC172" s="69"/>
      <c r="BD172" s="69"/>
      <c r="BE172" s="69"/>
      <c r="BF172" s="69"/>
      <c r="BG172" s="69"/>
      <c r="BH172" s="69"/>
    </row>
    <row r="173" spans="1:60" x14ac:dyDescent="0.25">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69"/>
      <c r="AW173" s="69"/>
      <c r="AX173" s="69"/>
      <c r="AY173" s="69"/>
      <c r="AZ173" s="69"/>
      <c r="BA173" s="69"/>
      <c r="BB173" s="69"/>
      <c r="BC173" s="69"/>
      <c r="BD173" s="69"/>
      <c r="BE173" s="69"/>
      <c r="BF173" s="69"/>
      <c r="BG173" s="69"/>
      <c r="BH173" s="69"/>
    </row>
    <row r="174" spans="1:60" x14ac:dyDescent="0.25">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c r="AP174" s="69"/>
      <c r="AQ174" s="69"/>
      <c r="AR174" s="69"/>
      <c r="AS174" s="69"/>
      <c r="AT174" s="69"/>
      <c r="AU174" s="69"/>
      <c r="AV174" s="69"/>
      <c r="AW174" s="69"/>
      <c r="AX174" s="69"/>
      <c r="AY174" s="69"/>
      <c r="AZ174" s="69"/>
      <c r="BA174" s="69"/>
      <c r="BB174" s="69"/>
      <c r="BC174" s="69"/>
      <c r="BD174" s="69"/>
      <c r="BE174" s="69"/>
      <c r="BF174" s="69"/>
      <c r="BG174" s="69"/>
      <c r="BH174" s="69"/>
    </row>
    <row r="175" spans="1:60" x14ac:dyDescent="0.25">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69"/>
      <c r="AQ175" s="69"/>
      <c r="AR175" s="69"/>
      <c r="AS175" s="69"/>
      <c r="AT175" s="69"/>
      <c r="AU175" s="69"/>
      <c r="AV175" s="69"/>
      <c r="AW175" s="69"/>
      <c r="AX175" s="69"/>
      <c r="AY175" s="69"/>
      <c r="AZ175" s="69"/>
      <c r="BA175" s="69"/>
      <c r="BB175" s="69"/>
      <c r="BC175" s="69"/>
      <c r="BD175" s="69"/>
      <c r="BE175" s="69"/>
      <c r="BF175" s="69"/>
      <c r="BG175" s="69"/>
      <c r="BH175" s="69"/>
    </row>
    <row r="176" spans="1:60" x14ac:dyDescent="0.25">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69"/>
      <c r="AS176" s="69"/>
      <c r="AT176" s="69"/>
      <c r="AU176" s="69"/>
      <c r="AV176" s="69"/>
      <c r="AW176" s="69"/>
      <c r="AX176" s="69"/>
      <c r="AY176" s="69"/>
      <c r="AZ176" s="69"/>
      <c r="BA176" s="69"/>
      <c r="BB176" s="69"/>
      <c r="BC176" s="69"/>
      <c r="BD176" s="69"/>
      <c r="BE176" s="69"/>
      <c r="BF176" s="69"/>
      <c r="BG176" s="69"/>
      <c r="BH176" s="69"/>
    </row>
    <row r="177" spans="1:60" x14ac:dyDescent="0.25">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c r="AS177" s="69"/>
      <c r="AT177" s="69"/>
      <c r="AU177" s="69"/>
      <c r="AV177" s="69"/>
      <c r="AW177" s="69"/>
      <c r="AX177" s="69"/>
      <c r="AY177" s="69"/>
      <c r="AZ177" s="69"/>
      <c r="BA177" s="69"/>
      <c r="BB177" s="69"/>
      <c r="BC177" s="69"/>
      <c r="BD177" s="69"/>
      <c r="BE177" s="69"/>
      <c r="BF177" s="69"/>
      <c r="BG177" s="69"/>
      <c r="BH177" s="69"/>
    </row>
    <row r="178" spans="1:60" x14ac:dyDescent="0.25">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69"/>
      <c r="AQ178" s="69"/>
      <c r="AR178" s="69"/>
      <c r="AS178" s="69"/>
      <c r="AT178" s="69"/>
      <c r="AU178" s="69"/>
      <c r="AV178" s="69"/>
      <c r="AW178" s="69"/>
      <c r="AX178" s="69"/>
      <c r="AY178" s="69"/>
      <c r="AZ178" s="69"/>
      <c r="BA178" s="69"/>
      <c r="BB178" s="69"/>
      <c r="BC178" s="69"/>
      <c r="BD178" s="69"/>
      <c r="BE178" s="69"/>
      <c r="BF178" s="69"/>
      <c r="BG178" s="69"/>
      <c r="BH178" s="69"/>
    </row>
    <row r="179" spans="1:60" x14ac:dyDescent="0.25">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c r="AP179" s="69"/>
      <c r="AQ179" s="69"/>
      <c r="AR179" s="69"/>
      <c r="AS179" s="69"/>
      <c r="AT179" s="69"/>
      <c r="AU179" s="69"/>
      <c r="AV179" s="69"/>
      <c r="AW179" s="69"/>
      <c r="AX179" s="69"/>
      <c r="AY179" s="69"/>
      <c r="AZ179" s="69"/>
      <c r="BA179" s="69"/>
      <c r="BB179" s="69"/>
      <c r="BC179" s="69"/>
      <c r="BD179" s="69"/>
      <c r="BE179" s="69"/>
      <c r="BF179" s="69"/>
      <c r="BG179" s="69"/>
      <c r="BH179" s="69"/>
    </row>
    <row r="180" spans="1:60" x14ac:dyDescent="0.25">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69"/>
      <c r="AV180" s="69"/>
      <c r="AW180" s="69"/>
      <c r="AX180" s="69"/>
      <c r="AY180" s="69"/>
      <c r="AZ180" s="69"/>
      <c r="BA180" s="69"/>
      <c r="BB180" s="69"/>
      <c r="BC180" s="69"/>
      <c r="BD180" s="69"/>
      <c r="BE180" s="69"/>
      <c r="BF180" s="69"/>
      <c r="BG180" s="69"/>
      <c r="BH180" s="69"/>
    </row>
    <row r="181" spans="1:60" x14ac:dyDescent="0.25">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c r="AS181" s="69"/>
      <c r="AT181" s="69"/>
      <c r="AU181" s="69"/>
      <c r="AV181" s="69"/>
      <c r="AW181" s="69"/>
      <c r="AX181" s="69"/>
      <c r="AY181" s="69"/>
      <c r="AZ181" s="69"/>
      <c r="BA181" s="69"/>
      <c r="BB181" s="69"/>
      <c r="BC181" s="69"/>
      <c r="BD181" s="69"/>
      <c r="BE181" s="69"/>
      <c r="BF181" s="69"/>
      <c r="BG181" s="69"/>
      <c r="BH181" s="69"/>
    </row>
    <row r="182" spans="1:60" x14ac:dyDescent="0.25">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c r="AP182" s="69"/>
      <c r="AQ182" s="69"/>
      <c r="AR182" s="69"/>
      <c r="AS182" s="69"/>
      <c r="AT182" s="69"/>
      <c r="AU182" s="69"/>
      <c r="AV182" s="69"/>
      <c r="AW182" s="69"/>
      <c r="AX182" s="69"/>
      <c r="AY182" s="69"/>
      <c r="AZ182" s="69"/>
      <c r="BA182" s="69"/>
      <c r="BB182" s="69"/>
      <c r="BC182" s="69"/>
      <c r="BD182" s="69"/>
      <c r="BE182" s="69"/>
      <c r="BF182" s="69"/>
      <c r="BG182" s="69"/>
      <c r="BH182" s="69"/>
    </row>
    <row r="183" spans="1:60" x14ac:dyDescent="0.25">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69"/>
      <c r="AV183" s="69"/>
      <c r="AW183" s="69"/>
      <c r="AX183" s="69"/>
      <c r="AY183" s="69"/>
      <c r="AZ183" s="69"/>
      <c r="BA183" s="69"/>
      <c r="BB183" s="69"/>
      <c r="BC183" s="69"/>
      <c r="BD183" s="69"/>
      <c r="BE183" s="69"/>
      <c r="BF183" s="69"/>
      <c r="BG183" s="69"/>
      <c r="BH183" s="69"/>
    </row>
    <row r="184" spans="1:60" x14ac:dyDescent="0.25">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c r="AP184" s="69"/>
      <c r="AQ184" s="69"/>
      <c r="AR184" s="69"/>
      <c r="AS184" s="69"/>
      <c r="AT184" s="69"/>
      <c r="AU184" s="69"/>
      <c r="AV184" s="69"/>
      <c r="AW184" s="69"/>
      <c r="AX184" s="69"/>
      <c r="AY184" s="69"/>
      <c r="AZ184" s="69"/>
      <c r="BA184" s="69"/>
      <c r="BB184" s="69"/>
      <c r="BC184" s="69"/>
      <c r="BD184" s="69"/>
      <c r="BE184" s="69"/>
      <c r="BF184" s="69"/>
      <c r="BG184" s="69"/>
      <c r="BH184" s="69"/>
    </row>
    <row r="185" spans="1:60" x14ac:dyDescent="0.25">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c r="AP185" s="69"/>
      <c r="AQ185" s="69"/>
      <c r="AR185" s="69"/>
      <c r="AS185" s="69"/>
      <c r="AT185" s="69"/>
      <c r="AU185" s="69"/>
      <c r="AV185" s="69"/>
      <c r="AW185" s="69"/>
      <c r="AX185" s="69"/>
      <c r="AY185" s="69"/>
      <c r="AZ185" s="69"/>
      <c r="BA185" s="69"/>
      <c r="BB185" s="69"/>
      <c r="BC185" s="69"/>
      <c r="BD185" s="69"/>
      <c r="BE185" s="69"/>
      <c r="BF185" s="69"/>
      <c r="BG185" s="69"/>
      <c r="BH185" s="69"/>
    </row>
    <row r="186" spans="1:60" x14ac:dyDescent="0.25">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c r="AP186" s="69"/>
      <c r="AQ186" s="69"/>
      <c r="AR186" s="69"/>
      <c r="AS186" s="69"/>
      <c r="AT186" s="69"/>
      <c r="AU186" s="69"/>
      <c r="AV186" s="69"/>
      <c r="AW186" s="69"/>
      <c r="AX186" s="69"/>
      <c r="AY186" s="69"/>
      <c r="AZ186" s="69"/>
      <c r="BA186" s="69"/>
      <c r="BB186" s="69"/>
      <c r="BC186" s="69"/>
      <c r="BD186" s="69"/>
      <c r="BE186" s="69"/>
      <c r="BF186" s="69"/>
      <c r="BG186" s="69"/>
      <c r="BH186" s="69"/>
    </row>
    <row r="187" spans="1:60" x14ac:dyDescent="0.25">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c r="AP187" s="69"/>
      <c r="AQ187" s="69"/>
      <c r="AR187" s="69"/>
      <c r="AS187" s="69"/>
      <c r="AT187" s="69"/>
      <c r="AU187" s="69"/>
      <c r="AV187" s="69"/>
      <c r="AW187" s="69"/>
      <c r="AX187" s="69"/>
      <c r="AY187" s="69"/>
      <c r="AZ187" s="69"/>
      <c r="BA187" s="69"/>
      <c r="BB187" s="69"/>
      <c r="BC187" s="69"/>
      <c r="BD187" s="69"/>
      <c r="BE187" s="69"/>
      <c r="BF187" s="69"/>
      <c r="BG187" s="69"/>
      <c r="BH187" s="69"/>
    </row>
    <row r="188" spans="1:60" x14ac:dyDescent="0.25">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c r="AP188" s="69"/>
      <c r="AQ188" s="69"/>
      <c r="AR188" s="69"/>
      <c r="AS188" s="69"/>
      <c r="AT188" s="69"/>
      <c r="AU188" s="69"/>
      <c r="AV188" s="69"/>
      <c r="AW188" s="69"/>
      <c r="AX188" s="69"/>
      <c r="AY188" s="69"/>
      <c r="AZ188" s="69"/>
      <c r="BA188" s="69"/>
      <c r="BB188" s="69"/>
      <c r="BC188" s="69"/>
      <c r="BD188" s="69"/>
      <c r="BE188" s="69"/>
      <c r="BF188" s="69"/>
      <c r="BG188" s="69"/>
      <c r="BH188" s="69"/>
    </row>
    <row r="189" spans="1:60" x14ac:dyDescent="0.25">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c r="AP189" s="69"/>
      <c r="AQ189" s="69"/>
      <c r="AR189" s="69"/>
      <c r="AS189" s="69"/>
      <c r="AT189" s="69"/>
      <c r="AU189" s="69"/>
      <c r="AV189" s="69"/>
      <c r="AW189" s="69"/>
      <c r="AX189" s="69"/>
      <c r="AY189" s="69"/>
      <c r="AZ189" s="69"/>
      <c r="BA189" s="69"/>
      <c r="BB189" s="69"/>
      <c r="BC189" s="69"/>
      <c r="BD189" s="69"/>
      <c r="BE189" s="69"/>
      <c r="BF189" s="69"/>
      <c r="BG189" s="69"/>
      <c r="BH189" s="69"/>
    </row>
    <row r="190" spans="1:60" x14ac:dyDescent="0.25">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c r="AP190" s="69"/>
      <c r="AQ190" s="69"/>
      <c r="AR190" s="69"/>
      <c r="AS190" s="69"/>
      <c r="AT190" s="69"/>
      <c r="AU190" s="69"/>
      <c r="AV190" s="69"/>
      <c r="AW190" s="69"/>
      <c r="AX190" s="69"/>
      <c r="AY190" s="69"/>
      <c r="AZ190" s="69"/>
      <c r="BA190" s="69"/>
      <c r="BB190" s="69"/>
      <c r="BC190" s="69"/>
      <c r="BD190" s="69"/>
      <c r="BE190" s="69"/>
      <c r="BF190" s="69"/>
      <c r="BG190" s="69"/>
      <c r="BH190" s="69"/>
    </row>
    <row r="191" spans="1:60" x14ac:dyDescent="0.25">
      <c r="A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c r="AP191" s="69"/>
      <c r="AQ191" s="69"/>
      <c r="AR191" s="69"/>
      <c r="AS191" s="69"/>
      <c r="AT191" s="69"/>
      <c r="AU191" s="69"/>
      <c r="AV191" s="69"/>
      <c r="AW191" s="69"/>
      <c r="AX191" s="69"/>
      <c r="AY191" s="69"/>
      <c r="AZ191" s="69"/>
      <c r="BA191" s="69"/>
      <c r="BB191" s="69"/>
      <c r="BC191" s="69"/>
      <c r="BD191" s="69"/>
      <c r="BE191" s="69"/>
      <c r="BF191" s="69"/>
      <c r="BG191" s="69"/>
      <c r="BH191" s="69"/>
    </row>
    <row r="192" spans="1:60" x14ac:dyDescent="0.25">
      <c r="A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c r="AP192" s="69"/>
      <c r="AQ192" s="69"/>
      <c r="AR192" s="69"/>
      <c r="AS192" s="69"/>
      <c r="AT192" s="69"/>
      <c r="AU192" s="69"/>
      <c r="AV192" s="69"/>
      <c r="AW192" s="69"/>
      <c r="AX192" s="69"/>
      <c r="AY192" s="69"/>
      <c r="AZ192" s="69"/>
      <c r="BA192" s="69"/>
      <c r="BB192" s="69"/>
      <c r="BC192" s="69"/>
      <c r="BD192" s="69"/>
      <c r="BE192" s="69"/>
      <c r="BF192" s="69"/>
      <c r="BG192" s="69"/>
      <c r="BH192" s="69"/>
    </row>
    <row r="193" spans="1:60" x14ac:dyDescent="0.25">
      <c r="A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c r="AP193" s="69"/>
      <c r="AQ193" s="69"/>
      <c r="AR193" s="69"/>
      <c r="AS193" s="69"/>
      <c r="AT193" s="69"/>
      <c r="AU193" s="69"/>
      <c r="AV193" s="69"/>
      <c r="AW193" s="69"/>
      <c r="AX193" s="69"/>
      <c r="AY193" s="69"/>
      <c r="AZ193" s="69"/>
      <c r="BA193" s="69"/>
      <c r="BB193" s="69"/>
      <c r="BC193" s="69"/>
      <c r="BD193" s="69"/>
      <c r="BE193" s="69"/>
      <c r="BF193" s="69"/>
      <c r="BG193" s="69"/>
      <c r="BH193" s="69"/>
    </row>
    <row r="194" spans="1:60" x14ac:dyDescent="0.25">
      <c r="A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c r="AP194" s="69"/>
      <c r="AQ194" s="69"/>
      <c r="AR194" s="69"/>
      <c r="AS194" s="69"/>
      <c r="AT194" s="69"/>
      <c r="AU194" s="69"/>
      <c r="AV194" s="69"/>
      <c r="AW194" s="69"/>
      <c r="AX194" s="69"/>
      <c r="AY194" s="69"/>
      <c r="AZ194" s="69"/>
      <c r="BA194" s="69"/>
      <c r="BB194" s="69"/>
      <c r="BC194" s="69"/>
      <c r="BD194" s="69"/>
      <c r="BE194" s="69"/>
      <c r="BF194" s="69"/>
      <c r="BG194" s="69"/>
      <c r="BH194" s="69"/>
    </row>
    <row r="195" spans="1:60" x14ac:dyDescent="0.25">
      <c r="A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c r="AP195" s="69"/>
      <c r="AQ195" s="69"/>
      <c r="AR195" s="69"/>
      <c r="AS195" s="69"/>
      <c r="AT195" s="69"/>
      <c r="AU195" s="69"/>
      <c r="AV195" s="69"/>
      <c r="AW195" s="69"/>
      <c r="AX195" s="69"/>
      <c r="AY195" s="69"/>
      <c r="AZ195" s="69"/>
      <c r="BA195" s="69"/>
      <c r="BB195" s="69"/>
      <c r="BC195" s="69"/>
      <c r="BD195" s="69"/>
      <c r="BE195" s="69"/>
      <c r="BF195" s="69"/>
      <c r="BG195" s="69"/>
      <c r="BH195" s="69"/>
    </row>
    <row r="196" spans="1:60" x14ac:dyDescent="0.25">
      <c r="A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c r="AP196" s="69"/>
      <c r="AQ196" s="69"/>
      <c r="AR196" s="69"/>
      <c r="AS196" s="69"/>
      <c r="AT196" s="69"/>
      <c r="AU196" s="69"/>
      <c r="AV196" s="69"/>
      <c r="AW196" s="69"/>
      <c r="AX196" s="69"/>
      <c r="AY196" s="69"/>
      <c r="AZ196" s="69"/>
      <c r="BA196" s="69"/>
      <c r="BB196" s="69"/>
      <c r="BC196" s="69"/>
      <c r="BD196" s="69"/>
      <c r="BE196" s="69"/>
      <c r="BF196" s="69"/>
      <c r="BG196" s="69"/>
      <c r="BH196" s="69"/>
    </row>
    <row r="197" spans="1:60" x14ac:dyDescent="0.25">
      <c r="A197" s="69"/>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c r="AP197" s="69"/>
      <c r="AQ197" s="69"/>
      <c r="AR197" s="69"/>
      <c r="AS197" s="69"/>
      <c r="AT197" s="69"/>
      <c r="AU197" s="69"/>
      <c r="AV197" s="69"/>
      <c r="AW197" s="69"/>
      <c r="AX197" s="69"/>
      <c r="AY197" s="69"/>
      <c r="AZ197" s="69"/>
      <c r="BA197" s="69"/>
      <c r="BB197" s="69"/>
      <c r="BC197" s="69"/>
      <c r="BD197" s="69"/>
      <c r="BE197" s="69"/>
      <c r="BF197" s="69"/>
      <c r="BG197" s="69"/>
      <c r="BH197" s="69"/>
    </row>
    <row r="198" spans="1:60" x14ac:dyDescent="0.25">
      <c r="A198" s="69"/>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c r="AP198" s="69"/>
      <c r="AQ198" s="69"/>
      <c r="AR198" s="69"/>
      <c r="AS198" s="69"/>
      <c r="AT198" s="69"/>
      <c r="AU198" s="69"/>
      <c r="AV198" s="69"/>
      <c r="AW198" s="69"/>
      <c r="AX198" s="69"/>
      <c r="AY198" s="69"/>
      <c r="AZ198" s="69"/>
      <c r="BA198" s="69"/>
      <c r="BB198" s="69"/>
      <c r="BC198" s="69"/>
      <c r="BD198" s="69"/>
      <c r="BE198" s="69"/>
      <c r="BF198" s="69"/>
      <c r="BG198" s="69"/>
      <c r="BH198" s="69"/>
    </row>
    <row r="199" spans="1:60" x14ac:dyDescent="0.25">
      <c r="A199" s="69"/>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c r="AP199" s="69"/>
      <c r="AQ199" s="69"/>
      <c r="AR199" s="69"/>
      <c r="AS199" s="69"/>
      <c r="AT199" s="69"/>
      <c r="AU199" s="69"/>
      <c r="AV199" s="69"/>
      <c r="AW199" s="69"/>
      <c r="AX199" s="69"/>
      <c r="AY199" s="69"/>
      <c r="AZ199" s="69"/>
      <c r="BA199" s="69"/>
      <c r="BB199" s="69"/>
      <c r="BC199" s="69"/>
      <c r="BD199" s="69"/>
      <c r="BE199" s="69"/>
      <c r="BF199" s="69"/>
      <c r="BG199" s="69"/>
      <c r="BH199" s="69"/>
    </row>
    <row r="200" spans="1:60" x14ac:dyDescent="0.25">
      <c r="A200" s="69"/>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c r="AP200" s="69"/>
      <c r="AQ200" s="69"/>
      <c r="AR200" s="69"/>
      <c r="AS200" s="69"/>
      <c r="AT200" s="69"/>
      <c r="AU200" s="69"/>
      <c r="AV200" s="69"/>
      <c r="AW200" s="69"/>
      <c r="AX200" s="69"/>
      <c r="AY200" s="69"/>
      <c r="AZ200" s="69"/>
      <c r="BA200" s="69"/>
      <c r="BB200" s="69"/>
      <c r="BC200" s="69"/>
      <c r="BD200" s="69"/>
      <c r="BE200" s="69"/>
      <c r="BF200" s="69"/>
      <c r="BG200" s="69"/>
      <c r="BH200" s="69"/>
    </row>
    <row r="201" spans="1:60" x14ac:dyDescent="0.25">
      <c r="A201" s="69"/>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c r="AP201" s="69"/>
      <c r="AQ201" s="69"/>
      <c r="AR201" s="69"/>
      <c r="AS201" s="69"/>
      <c r="AT201" s="69"/>
      <c r="AU201" s="69"/>
      <c r="AV201" s="69"/>
      <c r="AW201" s="69"/>
      <c r="AX201" s="69"/>
      <c r="AY201" s="69"/>
      <c r="AZ201" s="69"/>
      <c r="BA201" s="69"/>
      <c r="BB201" s="69"/>
      <c r="BC201" s="69"/>
      <c r="BD201" s="69"/>
      <c r="BE201" s="69"/>
      <c r="BF201" s="69"/>
      <c r="BG201" s="69"/>
      <c r="BH201" s="69"/>
    </row>
    <row r="202" spans="1:60" x14ac:dyDescent="0.25">
      <c r="A202" s="69"/>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c r="AP202" s="69"/>
      <c r="AQ202" s="69"/>
      <c r="AR202" s="69"/>
      <c r="AS202" s="69"/>
      <c r="AT202" s="69"/>
      <c r="AU202" s="69"/>
      <c r="AV202" s="69"/>
      <c r="AW202" s="69"/>
      <c r="AX202" s="69"/>
      <c r="AY202" s="69"/>
      <c r="AZ202" s="69"/>
      <c r="BA202" s="69"/>
      <c r="BB202" s="69"/>
      <c r="BC202" s="69"/>
      <c r="BD202" s="69"/>
      <c r="BE202" s="69"/>
      <c r="BF202" s="69"/>
      <c r="BG202" s="69"/>
      <c r="BH202" s="69"/>
    </row>
    <row r="203" spans="1:60" x14ac:dyDescent="0.25">
      <c r="A203" s="69"/>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c r="AP203" s="69"/>
      <c r="AQ203" s="69"/>
      <c r="AR203" s="69"/>
      <c r="AS203" s="69"/>
      <c r="AT203" s="69"/>
      <c r="AU203" s="69"/>
      <c r="AV203" s="69"/>
      <c r="AW203" s="69"/>
      <c r="AX203" s="69"/>
      <c r="AY203" s="69"/>
      <c r="AZ203" s="69"/>
      <c r="BA203" s="69"/>
      <c r="BB203" s="69"/>
      <c r="BC203" s="69"/>
      <c r="BD203" s="69"/>
      <c r="BE203" s="69"/>
      <c r="BF203" s="69"/>
      <c r="BG203" s="69"/>
      <c r="BH203" s="69"/>
    </row>
    <row r="204" spans="1:60" x14ac:dyDescent="0.25">
      <c r="A204" s="69"/>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c r="AP204" s="69"/>
      <c r="AQ204" s="69"/>
      <c r="AR204" s="69"/>
      <c r="AS204" s="69"/>
      <c r="AT204" s="69"/>
      <c r="AU204" s="69"/>
      <c r="AV204" s="69"/>
      <c r="AW204" s="69"/>
      <c r="AX204" s="69"/>
      <c r="AY204" s="69"/>
      <c r="AZ204" s="69"/>
      <c r="BA204" s="69"/>
      <c r="BB204" s="69"/>
      <c r="BC204" s="69"/>
      <c r="BD204" s="69"/>
      <c r="BE204" s="69"/>
      <c r="BF204" s="69"/>
      <c r="BG204" s="69"/>
      <c r="BH204" s="69"/>
    </row>
    <row r="205" spans="1:60" x14ac:dyDescent="0.25">
      <c r="A205" s="69"/>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c r="AP205" s="69"/>
      <c r="AQ205" s="69"/>
      <c r="AR205" s="69"/>
      <c r="AS205" s="69"/>
      <c r="AT205" s="69"/>
      <c r="AU205" s="69"/>
      <c r="AV205" s="69"/>
      <c r="AW205" s="69"/>
      <c r="AX205" s="69"/>
      <c r="AY205" s="69"/>
      <c r="AZ205" s="69"/>
      <c r="BA205" s="69"/>
      <c r="BB205" s="69"/>
      <c r="BC205" s="69"/>
      <c r="BD205" s="69"/>
      <c r="BE205" s="69"/>
      <c r="BF205" s="69"/>
      <c r="BG205" s="69"/>
      <c r="BH205" s="69"/>
    </row>
    <row r="206" spans="1:60" x14ac:dyDescent="0.25">
      <c r="A206" s="69"/>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c r="AP206" s="69"/>
      <c r="AQ206" s="69"/>
      <c r="AR206" s="69"/>
      <c r="AS206" s="69"/>
      <c r="AT206" s="69"/>
      <c r="AU206" s="69"/>
      <c r="AV206" s="69"/>
      <c r="AW206" s="69"/>
      <c r="AX206" s="69"/>
      <c r="AY206" s="69"/>
      <c r="AZ206" s="69"/>
      <c r="BA206" s="69"/>
      <c r="BB206" s="69"/>
      <c r="BC206" s="69"/>
      <c r="BD206" s="69"/>
      <c r="BE206" s="69"/>
      <c r="BF206" s="69"/>
      <c r="BG206" s="69"/>
      <c r="BH206" s="69"/>
    </row>
    <row r="207" spans="1:60" x14ac:dyDescent="0.25">
      <c r="A207" s="69"/>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c r="AP207" s="69"/>
      <c r="AQ207" s="69"/>
      <c r="AR207" s="69"/>
      <c r="AS207" s="69"/>
      <c r="AT207" s="69"/>
      <c r="AU207" s="69"/>
      <c r="AV207" s="69"/>
      <c r="AW207" s="69"/>
      <c r="AX207" s="69"/>
      <c r="AY207" s="69"/>
      <c r="AZ207" s="69"/>
      <c r="BA207" s="69"/>
      <c r="BB207" s="69"/>
      <c r="BC207" s="69"/>
      <c r="BD207" s="69"/>
      <c r="BE207" s="69"/>
      <c r="BF207" s="69"/>
      <c r="BG207" s="69"/>
      <c r="BH207" s="69"/>
    </row>
    <row r="208" spans="1:60" x14ac:dyDescent="0.25">
      <c r="A208" s="69"/>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c r="AP208" s="69"/>
      <c r="AQ208" s="69"/>
      <c r="AR208" s="69"/>
      <c r="AS208" s="69"/>
      <c r="AT208" s="69"/>
      <c r="AU208" s="69"/>
      <c r="AV208" s="69"/>
      <c r="AW208" s="69"/>
      <c r="AX208" s="69"/>
      <c r="AY208" s="69"/>
      <c r="AZ208" s="69"/>
      <c r="BA208" s="69"/>
      <c r="BB208" s="69"/>
      <c r="BC208" s="69"/>
      <c r="BD208" s="69"/>
      <c r="BE208" s="69"/>
      <c r="BF208" s="69"/>
      <c r="BG208" s="69"/>
      <c r="BH208" s="69"/>
    </row>
    <row r="209" spans="1:60" x14ac:dyDescent="0.25">
      <c r="A209" s="69"/>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c r="AP209" s="69"/>
      <c r="AQ209" s="69"/>
      <c r="AR209" s="69"/>
      <c r="AS209" s="69"/>
      <c r="AT209" s="69"/>
      <c r="AU209" s="69"/>
      <c r="AV209" s="69"/>
      <c r="AW209" s="69"/>
      <c r="AX209" s="69"/>
      <c r="AY209" s="69"/>
      <c r="AZ209" s="69"/>
      <c r="BA209" s="69"/>
      <c r="BB209" s="69"/>
      <c r="BC209" s="69"/>
      <c r="BD209" s="69"/>
      <c r="BE209" s="69"/>
      <c r="BF209" s="69"/>
      <c r="BG209" s="69"/>
      <c r="BH209" s="69"/>
    </row>
    <row r="210" spans="1:60" x14ac:dyDescent="0.25">
      <c r="A210" s="69"/>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c r="AP210" s="69"/>
      <c r="AQ210" s="69"/>
      <c r="AR210" s="69"/>
      <c r="AS210" s="69"/>
      <c r="AT210" s="69"/>
      <c r="AU210" s="69"/>
      <c r="AV210" s="69"/>
      <c r="AW210" s="69"/>
      <c r="AX210" s="69"/>
      <c r="AY210" s="69"/>
      <c r="AZ210" s="69"/>
      <c r="BA210" s="69"/>
      <c r="BB210" s="69"/>
      <c r="BC210" s="69"/>
      <c r="BD210" s="69"/>
      <c r="BE210" s="69"/>
      <c r="BF210" s="69"/>
      <c r="BG210" s="69"/>
      <c r="BH210" s="69"/>
    </row>
    <row r="211" spans="1:60" x14ac:dyDescent="0.25">
      <c r="A211" s="69"/>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c r="AP211" s="69"/>
      <c r="AQ211" s="69"/>
      <c r="AR211" s="69"/>
      <c r="AS211" s="69"/>
      <c r="AT211" s="69"/>
      <c r="AU211" s="69"/>
      <c r="AV211" s="69"/>
      <c r="AW211" s="69"/>
      <c r="AX211" s="69"/>
      <c r="AY211" s="69"/>
      <c r="AZ211" s="69"/>
      <c r="BA211" s="69"/>
      <c r="BB211" s="69"/>
      <c r="BC211" s="69"/>
      <c r="BD211" s="69"/>
      <c r="BE211" s="69"/>
      <c r="BF211" s="69"/>
      <c r="BG211" s="69"/>
      <c r="BH211" s="69"/>
    </row>
    <row r="212" spans="1:60" x14ac:dyDescent="0.25">
      <c r="A212" s="69"/>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c r="AP212" s="69"/>
      <c r="AQ212" s="69"/>
      <c r="AR212" s="69"/>
      <c r="AS212" s="69"/>
      <c r="AT212" s="69"/>
      <c r="AU212" s="69"/>
      <c r="AV212" s="69"/>
      <c r="AW212" s="69"/>
      <c r="AX212" s="69"/>
      <c r="AY212" s="69"/>
      <c r="AZ212" s="69"/>
      <c r="BA212" s="69"/>
      <c r="BB212" s="69"/>
      <c r="BC212" s="69"/>
      <c r="BD212" s="69"/>
      <c r="BE212" s="69"/>
      <c r="BF212" s="69"/>
      <c r="BG212" s="69"/>
      <c r="BH212" s="69"/>
    </row>
    <row r="213" spans="1:60" x14ac:dyDescent="0.25">
      <c r="A213" s="69"/>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c r="AP213" s="69"/>
      <c r="AQ213" s="69"/>
      <c r="AR213" s="69"/>
      <c r="AS213" s="69"/>
      <c r="AT213" s="69"/>
      <c r="AU213" s="69"/>
      <c r="AV213" s="69"/>
      <c r="AW213" s="69"/>
      <c r="AX213" s="69"/>
      <c r="AY213" s="69"/>
      <c r="AZ213" s="69"/>
      <c r="BA213" s="69"/>
      <c r="BB213" s="69"/>
      <c r="BC213" s="69"/>
      <c r="BD213" s="69"/>
      <c r="BE213" s="69"/>
      <c r="BF213" s="69"/>
      <c r="BG213" s="69"/>
      <c r="BH213" s="69"/>
    </row>
    <row r="214" spans="1:60" x14ac:dyDescent="0.25">
      <c r="A214" s="69"/>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c r="AP214" s="69"/>
      <c r="AQ214" s="69"/>
      <c r="AR214" s="69"/>
      <c r="AS214" s="69"/>
      <c r="AT214" s="69"/>
      <c r="AU214" s="69"/>
      <c r="AV214" s="69"/>
      <c r="AW214" s="69"/>
      <c r="AX214" s="69"/>
      <c r="AY214" s="69"/>
      <c r="AZ214" s="69"/>
      <c r="BA214" s="69"/>
      <c r="BB214" s="69"/>
      <c r="BC214" s="69"/>
      <c r="BD214" s="69"/>
      <c r="BE214" s="69"/>
      <c r="BF214" s="69"/>
      <c r="BG214" s="69"/>
      <c r="BH214" s="69"/>
    </row>
    <row r="215" spans="1:60" x14ac:dyDescent="0.25">
      <c r="A215" s="69"/>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c r="AP215" s="69"/>
      <c r="AQ215" s="69"/>
      <c r="AR215" s="69"/>
      <c r="AS215" s="69"/>
      <c r="AT215" s="69"/>
      <c r="AU215" s="69"/>
      <c r="AV215" s="69"/>
      <c r="AW215" s="69"/>
      <c r="AX215" s="69"/>
      <c r="AY215" s="69"/>
      <c r="AZ215" s="69"/>
      <c r="BA215" s="69"/>
      <c r="BB215" s="69"/>
      <c r="BC215" s="69"/>
      <c r="BD215" s="69"/>
      <c r="BE215" s="69"/>
      <c r="BF215" s="69"/>
      <c r="BG215" s="69"/>
      <c r="BH215" s="69"/>
    </row>
    <row r="216" spans="1:60" x14ac:dyDescent="0.25">
      <c r="A216" s="69"/>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c r="AP216" s="69"/>
      <c r="AQ216" s="69"/>
      <c r="AR216" s="69"/>
      <c r="AS216" s="69"/>
      <c r="AT216" s="69"/>
      <c r="AU216" s="69"/>
      <c r="AV216" s="69"/>
      <c r="AW216" s="69"/>
      <c r="AX216" s="69"/>
      <c r="AY216" s="69"/>
      <c r="AZ216" s="69"/>
      <c r="BA216" s="69"/>
      <c r="BB216" s="69"/>
      <c r="BC216" s="69"/>
      <c r="BD216" s="69"/>
      <c r="BE216" s="69"/>
      <c r="BF216" s="69"/>
      <c r="BG216" s="69"/>
      <c r="BH216" s="69"/>
    </row>
    <row r="217" spans="1:60" x14ac:dyDescent="0.25">
      <c r="A217" s="69"/>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c r="AP217" s="69"/>
      <c r="AQ217" s="69"/>
      <c r="AR217" s="69"/>
      <c r="AS217" s="69"/>
      <c r="AT217" s="69"/>
      <c r="AU217" s="69"/>
      <c r="AV217" s="69"/>
      <c r="AW217" s="69"/>
      <c r="AX217" s="69"/>
      <c r="AY217" s="69"/>
      <c r="AZ217" s="69"/>
      <c r="BA217" s="69"/>
      <c r="BB217" s="69"/>
      <c r="BC217" s="69"/>
      <c r="BD217" s="69"/>
      <c r="BE217" s="69"/>
      <c r="BF217" s="69"/>
      <c r="BG217" s="69"/>
      <c r="BH217" s="69"/>
    </row>
    <row r="218" spans="1:60" x14ac:dyDescent="0.25">
      <c r="A218" s="69"/>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c r="AP218" s="69"/>
      <c r="AQ218" s="69"/>
      <c r="AR218" s="69"/>
      <c r="AS218" s="69"/>
      <c r="AT218" s="69"/>
      <c r="AU218" s="69"/>
      <c r="AV218" s="69"/>
      <c r="AW218" s="69"/>
      <c r="AX218" s="69"/>
      <c r="AY218" s="69"/>
      <c r="AZ218" s="69"/>
      <c r="BA218" s="69"/>
      <c r="BB218" s="69"/>
      <c r="BC218" s="69"/>
      <c r="BD218" s="69"/>
      <c r="BE218" s="69"/>
      <c r="BF218" s="69"/>
      <c r="BG218" s="69"/>
      <c r="BH218" s="69"/>
    </row>
    <row r="219" spans="1:60" x14ac:dyDescent="0.25">
      <c r="A219" s="69"/>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c r="AP219" s="69"/>
      <c r="AQ219" s="69"/>
      <c r="AR219" s="69"/>
      <c r="AS219" s="69"/>
      <c r="AT219" s="69"/>
      <c r="AU219" s="69"/>
      <c r="AV219" s="69"/>
      <c r="AW219" s="69"/>
      <c r="AX219" s="69"/>
      <c r="AY219" s="69"/>
      <c r="AZ219" s="69"/>
      <c r="BA219" s="69"/>
      <c r="BB219" s="69"/>
      <c r="BC219" s="69"/>
      <c r="BD219" s="69"/>
      <c r="BE219" s="69"/>
      <c r="BF219" s="69"/>
      <c r="BG219" s="69"/>
      <c r="BH219" s="69"/>
    </row>
    <row r="220" spans="1:60" x14ac:dyDescent="0.25">
      <c r="A220" s="69"/>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c r="AP220" s="69"/>
      <c r="AQ220" s="69"/>
      <c r="AR220" s="69"/>
      <c r="AS220" s="69"/>
      <c r="AT220" s="69"/>
      <c r="AU220" s="69"/>
      <c r="AV220" s="69"/>
      <c r="AW220" s="69"/>
      <c r="AX220" s="69"/>
      <c r="AY220" s="69"/>
      <c r="AZ220" s="69"/>
      <c r="BA220" s="69"/>
      <c r="BB220" s="69"/>
      <c r="BC220" s="69"/>
      <c r="BD220" s="69"/>
      <c r="BE220" s="69"/>
      <c r="BF220" s="69"/>
      <c r="BG220" s="69"/>
      <c r="BH220" s="69"/>
    </row>
    <row r="221" spans="1:60" x14ac:dyDescent="0.25">
      <c r="A221" s="69"/>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c r="AP221" s="69"/>
      <c r="AQ221" s="69"/>
      <c r="AR221" s="69"/>
      <c r="AS221" s="69"/>
      <c r="AT221" s="69"/>
      <c r="AU221" s="69"/>
      <c r="AV221" s="69"/>
      <c r="AW221" s="69"/>
      <c r="AX221" s="69"/>
      <c r="AY221" s="69"/>
      <c r="AZ221" s="69"/>
      <c r="BA221" s="69"/>
      <c r="BB221" s="69"/>
      <c r="BC221" s="69"/>
      <c r="BD221" s="69"/>
      <c r="BE221" s="69"/>
      <c r="BF221" s="69"/>
      <c r="BG221" s="69"/>
      <c r="BH221" s="69"/>
    </row>
    <row r="222" spans="1:60" x14ac:dyDescent="0.25">
      <c r="A222" s="69"/>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c r="AP222" s="69"/>
      <c r="AQ222" s="69"/>
      <c r="AR222" s="69"/>
      <c r="AS222" s="69"/>
      <c r="AT222" s="69"/>
      <c r="AU222" s="69"/>
      <c r="AV222" s="69"/>
      <c r="AW222" s="69"/>
      <c r="AX222" s="69"/>
      <c r="AY222" s="69"/>
      <c r="AZ222" s="69"/>
      <c r="BA222" s="69"/>
      <c r="BB222" s="69"/>
      <c r="BC222" s="69"/>
      <c r="BD222" s="69"/>
      <c r="BE222" s="69"/>
      <c r="BF222" s="69"/>
      <c r="BG222" s="69"/>
      <c r="BH222" s="69"/>
    </row>
    <row r="223" spans="1:60" x14ac:dyDescent="0.25">
      <c r="A223" s="69"/>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c r="AP223" s="69"/>
      <c r="AQ223" s="69"/>
      <c r="AR223" s="69"/>
      <c r="AS223" s="69"/>
      <c r="AT223" s="69"/>
      <c r="AU223" s="69"/>
      <c r="AV223" s="69"/>
      <c r="AW223" s="69"/>
      <c r="AX223" s="69"/>
      <c r="AY223" s="69"/>
      <c r="AZ223" s="69"/>
      <c r="BA223" s="69"/>
      <c r="BB223" s="69"/>
      <c r="BC223" s="69"/>
      <c r="BD223" s="69"/>
      <c r="BE223" s="69"/>
      <c r="BF223" s="69"/>
      <c r="BG223" s="69"/>
      <c r="BH223" s="69"/>
    </row>
    <row r="224" spans="1:60" x14ac:dyDescent="0.25">
      <c r="A224" s="69"/>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c r="AP224" s="69"/>
      <c r="AQ224" s="69"/>
      <c r="AR224" s="69"/>
      <c r="AS224" s="69"/>
      <c r="AT224" s="69"/>
      <c r="AU224" s="69"/>
      <c r="AV224" s="69"/>
      <c r="AW224" s="69"/>
      <c r="AX224" s="69"/>
      <c r="AY224" s="69"/>
      <c r="AZ224" s="69"/>
      <c r="BA224" s="69"/>
      <c r="BB224" s="69"/>
      <c r="BC224" s="69"/>
      <c r="BD224" s="69"/>
      <c r="BE224" s="69"/>
      <c r="BF224" s="69"/>
      <c r="BG224" s="69"/>
      <c r="BH224" s="69"/>
    </row>
    <row r="225" spans="1:60" x14ac:dyDescent="0.25">
      <c r="A225" s="69"/>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c r="AP225" s="69"/>
      <c r="AQ225" s="69"/>
      <c r="AR225" s="69"/>
      <c r="AS225" s="69"/>
      <c r="AT225" s="69"/>
      <c r="AU225" s="69"/>
      <c r="AV225" s="69"/>
      <c r="AW225" s="69"/>
      <c r="AX225" s="69"/>
      <c r="AY225" s="69"/>
      <c r="AZ225" s="69"/>
      <c r="BA225" s="69"/>
      <c r="BB225" s="69"/>
      <c r="BC225" s="69"/>
      <c r="BD225" s="69"/>
      <c r="BE225" s="69"/>
      <c r="BF225" s="69"/>
      <c r="BG225" s="69"/>
      <c r="BH225" s="69"/>
    </row>
    <row r="226" spans="1:60" x14ac:dyDescent="0.25">
      <c r="A226" s="69"/>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c r="AP226" s="69"/>
      <c r="AQ226" s="69"/>
      <c r="AR226" s="69"/>
      <c r="AS226" s="69"/>
      <c r="AT226" s="69"/>
      <c r="AU226" s="69"/>
      <c r="AV226" s="69"/>
      <c r="AW226" s="69"/>
      <c r="AX226" s="69"/>
      <c r="AY226" s="69"/>
      <c r="AZ226" s="69"/>
      <c r="BA226" s="69"/>
      <c r="BB226" s="69"/>
      <c r="BC226" s="69"/>
      <c r="BD226" s="69"/>
      <c r="BE226" s="69"/>
      <c r="BF226" s="69"/>
      <c r="BG226" s="69"/>
      <c r="BH226" s="69"/>
    </row>
    <row r="227" spans="1:60" x14ac:dyDescent="0.25">
      <c r="A227" s="69"/>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c r="AO227" s="69"/>
      <c r="AP227" s="69"/>
      <c r="AQ227" s="69"/>
      <c r="AR227" s="69"/>
      <c r="AS227" s="69"/>
      <c r="AT227" s="69"/>
      <c r="AU227" s="69"/>
      <c r="AV227" s="69"/>
      <c r="AW227" s="69"/>
      <c r="AX227" s="69"/>
      <c r="AY227" s="69"/>
      <c r="AZ227" s="69"/>
      <c r="BA227" s="69"/>
      <c r="BB227" s="69"/>
      <c r="BC227" s="69"/>
      <c r="BD227" s="69"/>
      <c r="BE227" s="69"/>
      <c r="BF227" s="69"/>
      <c r="BG227" s="69"/>
      <c r="BH227" s="69"/>
    </row>
    <row r="228" spans="1:60" x14ac:dyDescent="0.25">
      <c r="A228" s="69"/>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c r="AP228" s="69"/>
      <c r="AQ228" s="69"/>
      <c r="AR228" s="69"/>
      <c r="AS228" s="69"/>
      <c r="AT228" s="69"/>
      <c r="AU228" s="69"/>
      <c r="AV228" s="69"/>
      <c r="AW228" s="69"/>
      <c r="AX228" s="69"/>
      <c r="AY228" s="69"/>
      <c r="AZ228" s="69"/>
      <c r="BA228" s="69"/>
      <c r="BB228" s="69"/>
      <c r="BC228" s="69"/>
      <c r="BD228" s="69"/>
      <c r="BE228" s="69"/>
      <c r="BF228" s="69"/>
      <c r="BG228" s="69"/>
      <c r="BH228" s="69"/>
    </row>
    <row r="229" spans="1:60" x14ac:dyDescent="0.25">
      <c r="A229" s="69"/>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c r="AP229" s="69"/>
      <c r="AQ229" s="69"/>
      <c r="AR229" s="69"/>
      <c r="AS229" s="69"/>
      <c r="AT229" s="69"/>
      <c r="AU229" s="69"/>
      <c r="AV229" s="69"/>
      <c r="AW229" s="69"/>
      <c r="AX229" s="69"/>
      <c r="AY229" s="69"/>
      <c r="AZ229" s="69"/>
      <c r="BA229" s="69"/>
      <c r="BB229" s="69"/>
      <c r="BC229" s="69"/>
      <c r="BD229" s="69"/>
      <c r="BE229" s="69"/>
      <c r="BF229" s="69"/>
      <c r="BG229" s="69"/>
      <c r="BH229" s="69"/>
    </row>
    <row r="230" spans="1:60" x14ac:dyDescent="0.25">
      <c r="A230" s="69"/>
      <c r="J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c r="AP230" s="69"/>
      <c r="AQ230" s="69"/>
      <c r="AR230" s="69"/>
      <c r="AS230" s="69"/>
      <c r="AT230" s="69"/>
      <c r="AU230" s="69"/>
      <c r="AV230" s="69"/>
      <c r="AW230" s="69"/>
      <c r="AX230" s="69"/>
      <c r="AY230" s="69"/>
      <c r="AZ230" s="69"/>
      <c r="BA230" s="69"/>
      <c r="BB230" s="69"/>
      <c r="BC230" s="69"/>
      <c r="BD230" s="69"/>
      <c r="BE230" s="69"/>
      <c r="BF230" s="69"/>
      <c r="BG230" s="69"/>
      <c r="BH230" s="69"/>
    </row>
    <row r="231" spans="1:60" x14ac:dyDescent="0.25">
      <c r="A231" s="69"/>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c r="AP231" s="69"/>
      <c r="AQ231" s="69"/>
      <c r="AR231" s="69"/>
      <c r="AS231" s="69"/>
      <c r="AT231" s="69"/>
      <c r="AU231" s="69"/>
      <c r="AV231" s="69"/>
      <c r="AW231" s="69"/>
      <c r="AX231" s="69"/>
      <c r="AY231" s="69"/>
      <c r="AZ231" s="69"/>
      <c r="BA231" s="69"/>
      <c r="BB231" s="69"/>
      <c r="BC231" s="69"/>
      <c r="BD231" s="69"/>
      <c r="BE231" s="69"/>
      <c r="BF231" s="69"/>
      <c r="BG231" s="69"/>
      <c r="BH231" s="69"/>
    </row>
    <row r="232" spans="1:60" x14ac:dyDescent="0.25">
      <c r="A232" s="69"/>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c r="AP232" s="69"/>
      <c r="AQ232" s="69"/>
      <c r="AR232" s="69"/>
      <c r="AS232" s="69"/>
      <c r="AT232" s="69"/>
      <c r="AU232" s="69"/>
      <c r="AV232" s="69"/>
      <c r="AW232" s="69"/>
      <c r="AX232" s="69"/>
      <c r="AY232" s="69"/>
      <c r="AZ232" s="69"/>
      <c r="BA232" s="69"/>
      <c r="BB232" s="69"/>
      <c r="BC232" s="69"/>
      <c r="BD232" s="69"/>
      <c r="BE232" s="69"/>
      <c r="BF232" s="69"/>
      <c r="BG232" s="69"/>
      <c r="BH232" s="69"/>
    </row>
    <row r="233" spans="1:60" x14ac:dyDescent="0.25">
      <c r="A233" s="69"/>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c r="AP233" s="69"/>
      <c r="AQ233" s="69"/>
      <c r="AR233" s="69"/>
      <c r="AS233" s="69"/>
      <c r="AT233" s="69"/>
      <c r="AU233" s="69"/>
      <c r="AV233" s="69"/>
      <c r="AW233" s="69"/>
      <c r="AX233" s="69"/>
      <c r="AY233" s="69"/>
      <c r="AZ233" s="69"/>
      <c r="BA233" s="69"/>
      <c r="BB233" s="69"/>
      <c r="BC233" s="69"/>
      <c r="BD233" s="69"/>
      <c r="BE233" s="69"/>
      <c r="BF233" s="69"/>
      <c r="BG233" s="69"/>
      <c r="BH233" s="69"/>
    </row>
    <row r="234" spans="1:60" x14ac:dyDescent="0.25">
      <c r="A234" s="69"/>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c r="AP234" s="69"/>
      <c r="AQ234" s="69"/>
      <c r="AR234" s="69"/>
      <c r="AS234" s="69"/>
      <c r="AT234" s="69"/>
      <c r="AU234" s="69"/>
      <c r="AV234" s="69"/>
      <c r="AW234" s="69"/>
      <c r="AX234" s="69"/>
      <c r="AY234" s="69"/>
      <c r="AZ234" s="69"/>
      <c r="BA234" s="69"/>
      <c r="BB234" s="69"/>
      <c r="BC234" s="69"/>
      <c r="BD234" s="69"/>
      <c r="BE234" s="69"/>
      <c r="BF234" s="69"/>
      <c r="BG234" s="69"/>
      <c r="BH234" s="69"/>
    </row>
    <row r="235" spans="1:60" x14ac:dyDescent="0.25">
      <c r="A235" s="69"/>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c r="AO235" s="69"/>
      <c r="AP235" s="69"/>
      <c r="AQ235" s="69"/>
      <c r="AR235" s="69"/>
      <c r="AS235" s="69"/>
      <c r="AT235" s="69"/>
      <c r="AU235" s="69"/>
      <c r="AV235" s="69"/>
      <c r="AW235" s="69"/>
      <c r="AX235" s="69"/>
      <c r="AY235" s="69"/>
      <c r="AZ235" s="69"/>
      <c r="BA235" s="69"/>
      <c r="BB235" s="69"/>
      <c r="BC235" s="69"/>
      <c r="BD235" s="69"/>
      <c r="BE235" s="69"/>
      <c r="BF235" s="69"/>
      <c r="BG235" s="69"/>
      <c r="BH235" s="69"/>
    </row>
    <row r="236" spans="1:60" x14ac:dyDescent="0.25">
      <c r="A236" s="69"/>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c r="AP236" s="69"/>
      <c r="AQ236" s="69"/>
      <c r="AR236" s="69"/>
      <c r="AS236" s="69"/>
      <c r="AT236" s="69"/>
      <c r="AU236" s="69"/>
      <c r="AV236" s="69"/>
      <c r="AW236" s="69"/>
      <c r="AX236" s="69"/>
      <c r="AY236" s="69"/>
      <c r="AZ236" s="69"/>
      <c r="BA236" s="69"/>
      <c r="BB236" s="69"/>
      <c r="BC236" s="69"/>
      <c r="BD236" s="69"/>
      <c r="BE236" s="69"/>
      <c r="BF236" s="69"/>
      <c r="BG236" s="69"/>
      <c r="BH236" s="69"/>
    </row>
    <row r="237" spans="1:60" x14ac:dyDescent="0.25">
      <c r="A237" s="69"/>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c r="AP237" s="69"/>
      <c r="AQ237" s="69"/>
      <c r="AR237" s="69"/>
      <c r="AS237" s="69"/>
      <c r="AT237" s="69"/>
      <c r="AU237" s="69"/>
      <c r="AV237" s="69"/>
      <c r="AW237" s="69"/>
      <c r="AX237" s="69"/>
      <c r="AY237" s="69"/>
      <c r="AZ237" s="69"/>
      <c r="BA237" s="69"/>
      <c r="BB237" s="69"/>
      <c r="BC237" s="69"/>
      <c r="BD237" s="69"/>
      <c r="BE237" s="69"/>
      <c r="BF237" s="69"/>
      <c r="BG237" s="69"/>
      <c r="BH237" s="69"/>
    </row>
    <row r="238" spans="1:60" x14ac:dyDescent="0.25">
      <c r="A238" s="69"/>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c r="AP238" s="69"/>
      <c r="AQ238" s="69"/>
      <c r="AR238" s="69"/>
      <c r="AS238" s="69"/>
      <c r="AT238" s="69"/>
      <c r="AU238" s="69"/>
      <c r="AV238" s="69"/>
      <c r="AW238" s="69"/>
      <c r="AX238" s="69"/>
      <c r="AY238" s="69"/>
      <c r="AZ238" s="69"/>
      <c r="BA238" s="69"/>
      <c r="BB238" s="69"/>
      <c r="BC238" s="69"/>
      <c r="BD238" s="69"/>
      <c r="BE238" s="69"/>
      <c r="BF238" s="69"/>
      <c r="BG238" s="69"/>
      <c r="BH238" s="69"/>
    </row>
    <row r="239" spans="1:60" x14ac:dyDescent="0.25">
      <c r="A239" s="69"/>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c r="AP239" s="69"/>
      <c r="AQ239" s="69"/>
      <c r="AR239" s="69"/>
      <c r="AS239" s="69"/>
      <c r="AT239" s="69"/>
      <c r="AU239" s="69"/>
      <c r="AV239" s="69"/>
      <c r="AW239" s="69"/>
      <c r="AX239" s="69"/>
      <c r="AY239" s="69"/>
      <c r="AZ239" s="69"/>
      <c r="BA239" s="69"/>
      <c r="BB239" s="69"/>
      <c r="BC239" s="69"/>
      <c r="BD239" s="69"/>
      <c r="BE239" s="69"/>
      <c r="BF239" s="69"/>
      <c r="BG239" s="69"/>
      <c r="BH239" s="69"/>
    </row>
    <row r="240" spans="1:60" x14ac:dyDescent="0.25">
      <c r="A240" s="69"/>
      <c r="J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c r="AP240" s="69"/>
      <c r="AQ240" s="69"/>
      <c r="AR240" s="69"/>
      <c r="AS240" s="69"/>
      <c r="AT240" s="69"/>
      <c r="AU240" s="69"/>
      <c r="AV240" s="69"/>
      <c r="AW240" s="69"/>
      <c r="AX240" s="69"/>
      <c r="AY240" s="69"/>
      <c r="AZ240" s="69"/>
      <c r="BA240" s="69"/>
      <c r="BB240" s="69"/>
      <c r="BC240" s="69"/>
      <c r="BD240" s="69"/>
      <c r="BE240" s="69"/>
      <c r="BF240" s="69"/>
      <c r="BG240" s="69"/>
      <c r="BH240" s="69"/>
    </row>
    <row r="241" spans="1:60" x14ac:dyDescent="0.25">
      <c r="A241" s="69"/>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c r="AP241" s="69"/>
      <c r="AQ241" s="69"/>
      <c r="AR241" s="69"/>
      <c r="AS241" s="69"/>
      <c r="AT241" s="69"/>
      <c r="AU241" s="69"/>
      <c r="AV241" s="69"/>
      <c r="AW241" s="69"/>
      <c r="AX241" s="69"/>
      <c r="AY241" s="69"/>
      <c r="AZ241" s="69"/>
      <c r="BA241" s="69"/>
      <c r="BB241" s="69"/>
      <c r="BC241" s="69"/>
      <c r="BD241" s="69"/>
      <c r="BE241" s="69"/>
      <c r="BF241" s="69"/>
      <c r="BG241" s="69"/>
      <c r="BH241" s="69"/>
    </row>
    <row r="242" spans="1:60" x14ac:dyDescent="0.25">
      <c r="A242" s="69"/>
      <c r="J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c r="AO242" s="69"/>
      <c r="AP242" s="69"/>
      <c r="AQ242" s="69"/>
      <c r="AR242" s="69"/>
      <c r="AS242" s="69"/>
      <c r="AT242" s="69"/>
      <c r="AU242" s="69"/>
      <c r="AV242" s="69"/>
      <c r="AW242" s="69"/>
      <c r="AX242" s="69"/>
      <c r="AY242" s="69"/>
      <c r="AZ242" s="69"/>
      <c r="BA242" s="69"/>
      <c r="BB242" s="69"/>
      <c r="BC242" s="69"/>
      <c r="BD242" s="69"/>
      <c r="BE242" s="69"/>
      <c r="BF242" s="69"/>
      <c r="BG242" s="69"/>
      <c r="BH242" s="69"/>
    </row>
    <row r="243" spans="1:60" x14ac:dyDescent="0.25">
      <c r="A243" s="69"/>
      <c r="J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c r="AO243" s="69"/>
      <c r="AP243" s="69"/>
      <c r="AQ243" s="69"/>
      <c r="AR243" s="69"/>
      <c r="AS243" s="69"/>
      <c r="AT243" s="69"/>
      <c r="AU243" s="69"/>
      <c r="AV243" s="69"/>
      <c r="AW243" s="69"/>
      <c r="AX243" s="69"/>
      <c r="AY243" s="69"/>
      <c r="AZ243" s="69"/>
      <c r="BA243" s="69"/>
      <c r="BB243" s="69"/>
      <c r="BC243" s="69"/>
      <c r="BD243" s="69"/>
      <c r="BE243" s="69"/>
      <c r="BF243" s="69"/>
      <c r="BG243" s="69"/>
      <c r="BH243" s="69"/>
    </row>
    <row r="244" spans="1:60" x14ac:dyDescent="0.25">
      <c r="A244" s="69"/>
      <c r="J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c r="AO244" s="69"/>
      <c r="AP244" s="69"/>
      <c r="AQ244" s="69"/>
      <c r="AR244" s="69"/>
      <c r="AS244" s="69"/>
      <c r="AT244" s="69"/>
      <c r="AU244" s="69"/>
      <c r="AV244" s="69"/>
      <c r="AW244" s="69"/>
      <c r="AX244" s="69"/>
      <c r="AY244" s="69"/>
      <c r="AZ244" s="69"/>
      <c r="BA244" s="69"/>
      <c r="BB244" s="69"/>
      <c r="BC244" s="69"/>
      <c r="BD244" s="69"/>
      <c r="BE244" s="69"/>
      <c r="BF244" s="69"/>
      <c r="BG244" s="69"/>
      <c r="BH244" s="69"/>
    </row>
    <row r="245" spans="1:60" x14ac:dyDescent="0.25">
      <c r="A245" s="69"/>
    </row>
    <row r="246" spans="1:60" x14ac:dyDescent="0.25">
      <c r="A246" s="69"/>
    </row>
    <row r="247" spans="1:60" x14ac:dyDescent="0.25">
      <c r="A247" s="69"/>
    </row>
    <row r="248" spans="1:60" x14ac:dyDescent="0.25">
      <c r="A248" s="69"/>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B4" sqref="B4:H8"/>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69"/>
      <c r="B1" s="582" t="s">
        <v>54</v>
      </c>
      <c r="C1" s="582"/>
      <c r="D1" s="582"/>
      <c r="E1" s="69"/>
      <c r="F1" s="69"/>
      <c r="G1" s="69"/>
      <c r="H1" s="69"/>
      <c r="I1" s="69"/>
      <c r="J1" s="69"/>
      <c r="K1" s="69"/>
      <c r="L1" s="69"/>
      <c r="M1" s="69"/>
      <c r="N1" s="69"/>
      <c r="O1" s="69"/>
      <c r="P1" s="69"/>
      <c r="Q1" s="69"/>
      <c r="R1" s="69"/>
      <c r="S1" s="69"/>
      <c r="T1" s="69"/>
      <c r="U1" s="69"/>
      <c r="V1" s="69"/>
      <c r="W1" s="69"/>
      <c r="X1" s="69"/>
      <c r="Y1" s="69"/>
      <c r="Z1" s="69"/>
      <c r="AA1" s="69"/>
      <c r="AB1" s="69"/>
      <c r="AC1" s="69"/>
      <c r="AD1" s="69"/>
      <c r="AE1" s="69"/>
    </row>
    <row r="2" spans="1:37" x14ac:dyDescent="0.25">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row>
    <row r="3" spans="1:37" ht="25.5" x14ac:dyDescent="0.25">
      <c r="A3" s="69"/>
      <c r="B3" s="3"/>
      <c r="C3" s="4" t="s">
        <v>51</v>
      </c>
      <c r="D3" s="4" t="s">
        <v>4</v>
      </c>
      <c r="E3" s="69"/>
      <c r="F3" s="69"/>
      <c r="G3" s="69"/>
      <c r="H3" s="69"/>
      <c r="I3" s="69"/>
      <c r="J3" s="69"/>
      <c r="K3" s="69"/>
      <c r="L3" s="69"/>
      <c r="M3" s="69"/>
      <c r="N3" s="69"/>
      <c r="O3" s="69"/>
      <c r="P3" s="69"/>
      <c r="Q3" s="69"/>
      <c r="R3" s="69"/>
      <c r="S3" s="69"/>
      <c r="T3" s="69"/>
      <c r="U3" s="69"/>
      <c r="V3" s="69"/>
      <c r="W3" s="69"/>
      <c r="X3" s="69"/>
      <c r="Y3" s="69"/>
      <c r="Z3" s="69"/>
      <c r="AA3" s="69"/>
      <c r="AB3" s="69"/>
      <c r="AC3" s="69"/>
      <c r="AD3" s="69"/>
      <c r="AE3" s="69"/>
    </row>
    <row r="4" spans="1:37" ht="51" x14ac:dyDescent="0.25">
      <c r="A4" s="69"/>
      <c r="B4" s="5" t="s">
        <v>50</v>
      </c>
      <c r="C4" s="6" t="s">
        <v>101</v>
      </c>
      <c r="D4" s="7">
        <v>0.2</v>
      </c>
      <c r="E4" s="69"/>
      <c r="F4" s="69"/>
      <c r="G4" s="69"/>
      <c r="H4" s="69"/>
      <c r="I4" s="69"/>
      <c r="J4" s="69"/>
      <c r="K4" s="69"/>
      <c r="L4" s="69"/>
      <c r="M4" s="69"/>
      <c r="N4" s="69"/>
      <c r="O4" s="69"/>
      <c r="P4" s="69"/>
      <c r="Q4" s="69"/>
      <c r="R4" s="69"/>
      <c r="S4" s="69"/>
      <c r="T4" s="69"/>
      <c r="U4" s="69"/>
      <c r="V4" s="69"/>
      <c r="W4" s="69"/>
      <c r="X4" s="69"/>
      <c r="Y4" s="69"/>
      <c r="Z4" s="69"/>
      <c r="AA4" s="69"/>
      <c r="AB4" s="69"/>
      <c r="AC4" s="69"/>
      <c r="AD4" s="69"/>
      <c r="AE4" s="69"/>
    </row>
    <row r="5" spans="1:37" ht="51" x14ac:dyDescent="0.25">
      <c r="A5" s="69"/>
      <c r="B5" s="8" t="s">
        <v>52</v>
      </c>
      <c r="C5" s="9" t="s">
        <v>102</v>
      </c>
      <c r="D5" s="10">
        <v>0.4</v>
      </c>
      <c r="E5" s="69"/>
      <c r="F5" s="69"/>
      <c r="G5" s="69"/>
      <c r="H5" s="69"/>
      <c r="I5" s="69"/>
      <c r="J5" s="69"/>
      <c r="K5" s="69"/>
      <c r="L5" s="69"/>
      <c r="M5" s="69"/>
      <c r="N5" s="69"/>
      <c r="O5" s="69"/>
      <c r="P5" s="69"/>
      <c r="Q5" s="69"/>
      <c r="R5" s="69"/>
      <c r="S5" s="69"/>
      <c r="T5" s="69"/>
      <c r="U5" s="69"/>
      <c r="V5" s="69"/>
      <c r="W5" s="69"/>
      <c r="X5" s="69"/>
      <c r="Y5" s="69"/>
      <c r="Z5" s="69"/>
      <c r="AA5" s="69"/>
      <c r="AB5" s="69"/>
      <c r="AC5" s="69"/>
      <c r="AD5" s="69"/>
      <c r="AE5" s="69"/>
    </row>
    <row r="6" spans="1:37" ht="51" x14ac:dyDescent="0.25">
      <c r="A6" s="69"/>
      <c r="B6" s="11" t="s">
        <v>106</v>
      </c>
      <c r="C6" s="9" t="s">
        <v>103</v>
      </c>
      <c r="D6" s="10">
        <v>0.6</v>
      </c>
      <c r="E6" s="69"/>
      <c r="F6" s="69"/>
      <c r="G6" s="69"/>
      <c r="H6" s="69"/>
      <c r="I6" s="69"/>
      <c r="J6" s="69"/>
      <c r="K6" s="69"/>
      <c r="L6" s="69"/>
      <c r="M6" s="69"/>
      <c r="N6" s="69"/>
      <c r="O6" s="69"/>
      <c r="P6" s="69"/>
      <c r="Q6" s="69"/>
      <c r="R6" s="69"/>
      <c r="S6" s="69"/>
      <c r="T6" s="69"/>
      <c r="U6" s="69"/>
      <c r="V6" s="69"/>
      <c r="W6" s="69"/>
      <c r="X6" s="69"/>
      <c r="Y6" s="69"/>
      <c r="Z6" s="69"/>
      <c r="AA6" s="69"/>
      <c r="AB6" s="69"/>
      <c r="AC6" s="69"/>
      <c r="AD6" s="69"/>
      <c r="AE6" s="69"/>
    </row>
    <row r="7" spans="1:37" ht="76.5" x14ac:dyDescent="0.25">
      <c r="A7" s="69"/>
      <c r="B7" s="12" t="s">
        <v>6</v>
      </c>
      <c r="C7" s="9" t="s">
        <v>104</v>
      </c>
      <c r="D7" s="10">
        <v>0.8</v>
      </c>
      <c r="E7" s="69"/>
      <c r="F7" s="69"/>
      <c r="G7" s="69"/>
      <c r="H7" s="69"/>
      <c r="I7" s="69"/>
      <c r="J7" s="69"/>
      <c r="K7" s="69"/>
      <c r="L7" s="69"/>
      <c r="M7" s="69"/>
      <c r="N7" s="69"/>
      <c r="O7" s="69"/>
      <c r="P7" s="69"/>
      <c r="Q7" s="69"/>
      <c r="R7" s="69"/>
      <c r="S7" s="69"/>
      <c r="T7" s="69"/>
      <c r="U7" s="69"/>
      <c r="V7" s="69"/>
      <c r="W7" s="69"/>
      <c r="X7" s="69"/>
      <c r="Y7" s="69"/>
      <c r="Z7" s="69"/>
      <c r="AA7" s="69"/>
      <c r="AB7" s="69"/>
      <c r="AC7" s="69"/>
      <c r="AD7" s="69"/>
      <c r="AE7" s="69"/>
    </row>
    <row r="8" spans="1:37" ht="51" x14ac:dyDescent="0.25">
      <c r="A8" s="69"/>
      <c r="B8" s="13" t="s">
        <v>53</v>
      </c>
      <c r="C8" s="9" t="s">
        <v>105</v>
      </c>
      <c r="D8" s="10">
        <v>1</v>
      </c>
      <c r="E8" s="69"/>
      <c r="F8" s="69"/>
      <c r="G8" s="69"/>
      <c r="H8" s="69"/>
      <c r="I8" s="69"/>
      <c r="J8" s="69"/>
      <c r="K8" s="69"/>
      <c r="L8" s="69"/>
      <c r="M8" s="69"/>
      <c r="N8" s="69"/>
      <c r="O8" s="69"/>
      <c r="P8" s="69"/>
      <c r="Q8" s="69"/>
      <c r="R8" s="69"/>
      <c r="S8" s="69"/>
      <c r="T8" s="69"/>
      <c r="U8" s="69"/>
      <c r="V8" s="69"/>
      <c r="W8" s="69"/>
      <c r="X8" s="69"/>
      <c r="Y8" s="69"/>
      <c r="Z8" s="69"/>
      <c r="AA8" s="69"/>
      <c r="AB8" s="69"/>
      <c r="AC8" s="69"/>
      <c r="AD8" s="69"/>
      <c r="AE8" s="69"/>
    </row>
    <row r="9" spans="1:37" x14ac:dyDescent="0.25">
      <c r="A9" s="69"/>
      <c r="B9" s="93"/>
      <c r="C9" s="93"/>
      <c r="D9" s="93"/>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row>
    <row r="10" spans="1:37" ht="16.5" x14ac:dyDescent="0.25">
      <c r="A10" s="69"/>
      <c r="B10" s="94"/>
      <c r="C10" s="93"/>
      <c r="D10" s="93"/>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row>
    <row r="11" spans="1:37" x14ac:dyDescent="0.25">
      <c r="A11" s="69"/>
      <c r="B11" s="93"/>
      <c r="C11" s="93"/>
      <c r="D11" s="93"/>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row>
    <row r="12" spans="1:37" x14ac:dyDescent="0.25">
      <c r="A12" s="69"/>
      <c r="B12" s="93"/>
      <c r="C12" s="93"/>
      <c r="D12" s="93"/>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row>
    <row r="13" spans="1:37" x14ac:dyDescent="0.25">
      <c r="A13" s="69"/>
      <c r="B13" s="93"/>
      <c r="C13" s="93"/>
      <c r="D13" s="93"/>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row>
    <row r="14" spans="1:37" x14ac:dyDescent="0.25">
      <c r="A14" s="69"/>
      <c r="B14" s="93"/>
      <c r="C14" s="93"/>
      <c r="D14" s="93"/>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row>
    <row r="15" spans="1:37" x14ac:dyDescent="0.25">
      <c r="A15" s="69"/>
      <c r="B15" s="93"/>
      <c r="C15" s="93"/>
      <c r="D15" s="93"/>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row>
    <row r="16" spans="1:37" x14ac:dyDescent="0.25">
      <c r="A16" s="69"/>
      <c r="B16" s="93"/>
      <c r="C16" s="93"/>
      <c r="D16" s="93"/>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row>
    <row r="17" spans="1:37" x14ac:dyDescent="0.25">
      <c r="A17" s="69"/>
      <c r="B17" s="93"/>
      <c r="C17" s="93"/>
      <c r="D17" s="93"/>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row>
    <row r="18" spans="1:37" x14ac:dyDescent="0.25">
      <c r="A18" s="69"/>
      <c r="B18" s="93"/>
      <c r="C18" s="93"/>
      <c r="D18" s="93"/>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row>
    <row r="19" spans="1:37" x14ac:dyDescent="0.25">
      <c r="A19" s="69"/>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row>
    <row r="20" spans="1:37" x14ac:dyDescent="0.25">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row>
    <row r="21" spans="1:37" x14ac:dyDescent="0.25">
      <c r="A21" s="69"/>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row>
    <row r="22" spans="1:37" x14ac:dyDescent="0.25">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row>
    <row r="23" spans="1:37" x14ac:dyDescent="0.25">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row>
    <row r="24" spans="1:37" x14ac:dyDescent="0.25">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row>
    <row r="25" spans="1:37" x14ac:dyDescent="0.25">
      <c r="A25" s="69"/>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row>
    <row r="26" spans="1:37" x14ac:dyDescent="0.25">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row>
    <row r="27" spans="1:37" x14ac:dyDescent="0.25">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row>
    <row r="28" spans="1:37" x14ac:dyDescent="0.25">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row>
    <row r="29" spans="1:37" x14ac:dyDescent="0.25">
      <c r="A29" s="69"/>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row>
    <row r="30" spans="1:37" x14ac:dyDescent="0.25">
      <c r="A30" s="69"/>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row>
    <row r="31" spans="1:37" x14ac:dyDescent="0.25">
      <c r="A31" s="69"/>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row>
    <row r="32" spans="1:37" x14ac:dyDescent="0.25">
      <c r="A32" s="69"/>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row>
    <row r="33" spans="1:31" x14ac:dyDescent="0.25">
      <c r="A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row>
    <row r="34" spans="1:31" x14ac:dyDescent="0.25">
      <c r="A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row>
    <row r="35" spans="1:31" x14ac:dyDescent="0.25">
      <c r="A35" s="69"/>
    </row>
    <row r="36" spans="1:31" x14ac:dyDescent="0.25">
      <c r="A36" s="69"/>
    </row>
    <row r="37" spans="1:31" x14ac:dyDescent="0.25">
      <c r="A37" s="69"/>
    </row>
    <row r="38" spans="1:31" x14ac:dyDescent="0.25">
      <c r="A38" s="69"/>
    </row>
    <row r="39" spans="1:31" x14ac:dyDescent="0.25">
      <c r="A39" s="69"/>
    </row>
    <row r="40" spans="1:31" x14ac:dyDescent="0.25">
      <c r="A40" s="69"/>
    </row>
    <row r="41" spans="1:31" x14ac:dyDescent="0.25">
      <c r="A41" s="69"/>
    </row>
    <row r="42" spans="1:31" x14ac:dyDescent="0.25">
      <c r="A42" s="69"/>
    </row>
    <row r="43" spans="1:31" x14ac:dyDescent="0.25">
      <c r="A43" s="69"/>
    </row>
    <row r="44" spans="1:31" x14ac:dyDescent="0.25">
      <c r="A44" s="69"/>
    </row>
    <row r="45" spans="1:31" x14ac:dyDescent="0.25">
      <c r="A45" s="69"/>
    </row>
    <row r="46" spans="1:31" x14ac:dyDescent="0.25">
      <c r="A46" s="69"/>
    </row>
    <row r="47" spans="1:31" x14ac:dyDescent="0.25">
      <c r="A47" s="69"/>
    </row>
    <row r="48" spans="1:31" x14ac:dyDescent="0.25">
      <c r="A48" s="69"/>
    </row>
    <row r="49" spans="1:1" x14ac:dyDescent="0.25">
      <c r="A49" s="69"/>
    </row>
    <row r="50" spans="1:1" x14ac:dyDescent="0.25">
      <c r="A50" s="69"/>
    </row>
    <row r="51" spans="1:1" x14ac:dyDescent="0.25">
      <c r="A51" s="69"/>
    </row>
    <row r="52" spans="1:1" x14ac:dyDescent="0.25">
      <c r="A52" s="69"/>
    </row>
    <row r="53" spans="1:1" x14ac:dyDescent="0.25">
      <c r="A53" s="69"/>
    </row>
    <row r="54" spans="1:1" x14ac:dyDescent="0.25">
      <c r="A54" s="69"/>
    </row>
    <row r="55" spans="1:1" x14ac:dyDescent="0.25">
      <c r="A55" s="69"/>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B4" sqref="B4:H8"/>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69"/>
      <c r="B1" s="583" t="s">
        <v>62</v>
      </c>
      <c r="C1" s="583"/>
      <c r="D1" s="583"/>
      <c r="E1" s="69"/>
      <c r="F1" s="69"/>
      <c r="G1" s="69"/>
      <c r="H1" s="69"/>
      <c r="I1" s="69"/>
      <c r="J1" s="69"/>
      <c r="K1" s="69"/>
      <c r="L1" s="69"/>
      <c r="M1" s="69"/>
      <c r="N1" s="69"/>
      <c r="O1" s="69"/>
      <c r="P1" s="69"/>
      <c r="Q1" s="69"/>
      <c r="R1" s="69"/>
      <c r="S1" s="69"/>
      <c r="T1" s="69"/>
      <c r="U1" s="69"/>
    </row>
    <row r="2" spans="1:21" x14ac:dyDescent="0.25">
      <c r="A2" s="69"/>
      <c r="B2" s="69"/>
      <c r="C2" s="69"/>
      <c r="D2" s="69"/>
      <c r="E2" s="69"/>
      <c r="F2" s="69"/>
      <c r="G2" s="69"/>
      <c r="H2" s="69"/>
      <c r="I2" s="69"/>
      <c r="J2" s="69"/>
      <c r="K2" s="69"/>
      <c r="L2" s="69"/>
      <c r="M2" s="69"/>
      <c r="N2" s="69"/>
      <c r="O2" s="69"/>
      <c r="P2" s="69"/>
      <c r="Q2" s="69"/>
      <c r="R2" s="69"/>
      <c r="S2" s="69"/>
      <c r="T2" s="69"/>
      <c r="U2" s="69"/>
    </row>
    <row r="3" spans="1:21" ht="30" x14ac:dyDescent="0.25">
      <c r="A3" s="69"/>
      <c r="B3" s="90"/>
      <c r="C3" s="22" t="s">
        <v>55</v>
      </c>
      <c r="D3" s="22" t="s">
        <v>56</v>
      </c>
      <c r="E3" s="69"/>
      <c r="F3" s="69"/>
      <c r="G3" s="69"/>
      <c r="H3" s="69"/>
      <c r="I3" s="69"/>
      <c r="J3" s="69"/>
      <c r="K3" s="69"/>
      <c r="L3" s="69"/>
      <c r="M3" s="69"/>
      <c r="N3" s="69"/>
      <c r="O3" s="69"/>
      <c r="P3" s="69"/>
      <c r="Q3" s="69"/>
      <c r="R3" s="69"/>
      <c r="S3" s="69"/>
      <c r="T3" s="69"/>
      <c r="U3" s="69"/>
    </row>
    <row r="4" spans="1:21" ht="33.75" x14ac:dyDescent="0.25">
      <c r="A4" s="89" t="s">
        <v>82</v>
      </c>
      <c r="B4" s="25" t="s">
        <v>100</v>
      </c>
      <c r="C4" s="30" t="s">
        <v>156</v>
      </c>
      <c r="D4" s="23" t="s">
        <v>96</v>
      </c>
      <c r="E4" s="69"/>
      <c r="F4" s="69"/>
      <c r="G4" s="69"/>
      <c r="H4" s="69"/>
      <c r="I4" s="69"/>
      <c r="J4" s="69"/>
      <c r="K4" s="69"/>
      <c r="L4" s="69"/>
      <c r="M4" s="69"/>
      <c r="N4" s="69"/>
      <c r="O4" s="69"/>
      <c r="P4" s="69"/>
      <c r="Q4" s="69"/>
      <c r="R4" s="69"/>
      <c r="S4" s="69"/>
      <c r="T4" s="69"/>
      <c r="U4" s="69"/>
    </row>
    <row r="5" spans="1:21" ht="67.5" x14ac:dyDescent="0.25">
      <c r="A5" s="89" t="s">
        <v>83</v>
      </c>
      <c r="B5" s="26" t="s">
        <v>58</v>
      </c>
      <c r="C5" s="31" t="s">
        <v>92</v>
      </c>
      <c r="D5" s="24" t="s">
        <v>97</v>
      </c>
      <c r="E5" s="69"/>
      <c r="F5" s="69"/>
      <c r="G5" s="69"/>
      <c r="H5" s="69"/>
      <c r="I5" s="69"/>
      <c r="J5" s="69"/>
      <c r="K5" s="69"/>
      <c r="L5" s="69"/>
      <c r="M5" s="69"/>
      <c r="N5" s="69"/>
      <c r="O5" s="69"/>
      <c r="P5" s="69"/>
      <c r="Q5" s="69"/>
      <c r="R5" s="69"/>
      <c r="S5" s="69"/>
      <c r="T5" s="69"/>
      <c r="U5" s="69"/>
    </row>
    <row r="6" spans="1:21" ht="67.5" x14ac:dyDescent="0.25">
      <c r="A6" s="89" t="s">
        <v>80</v>
      </c>
      <c r="B6" s="27" t="s">
        <v>59</v>
      </c>
      <c r="C6" s="31" t="s">
        <v>93</v>
      </c>
      <c r="D6" s="24" t="s">
        <v>99</v>
      </c>
      <c r="E6" s="69"/>
      <c r="F6" s="69"/>
      <c r="G6" s="69"/>
      <c r="H6" s="69"/>
      <c r="I6" s="69"/>
      <c r="J6" s="69"/>
      <c r="K6" s="69"/>
      <c r="L6" s="69"/>
      <c r="M6" s="69"/>
      <c r="N6" s="69"/>
      <c r="O6" s="69"/>
      <c r="P6" s="69"/>
      <c r="Q6" s="69"/>
      <c r="R6" s="69"/>
      <c r="S6" s="69"/>
      <c r="T6" s="69"/>
      <c r="U6" s="69"/>
    </row>
    <row r="7" spans="1:21" ht="101.25" x14ac:dyDescent="0.25">
      <c r="A7" s="89" t="s">
        <v>7</v>
      </c>
      <c r="B7" s="28" t="s">
        <v>60</v>
      </c>
      <c r="C7" s="31" t="s">
        <v>94</v>
      </c>
      <c r="D7" s="24" t="s">
        <v>98</v>
      </c>
      <c r="E7" s="69"/>
      <c r="F7" s="69"/>
      <c r="G7" s="69"/>
      <c r="H7" s="69"/>
      <c r="I7" s="69"/>
      <c r="J7" s="69"/>
      <c r="K7" s="69"/>
      <c r="L7" s="69"/>
      <c r="M7" s="69"/>
      <c r="N7" s="69"/>
      <c r="O7" s="69"/>
      <c r="P7" s="69"/>
      <c r="Q7" s="69"/>
      <c r="R7" s="69"/>
      <c r="S7" s="69"/>
      <c r="T7" s="69"/>
      <c r="U7" s="69"/>
    </row>
    <row r="8" spans="1:21" ht="67.5" x14ac:dyDescent="0.25">
      <c r="A8" s="89" t="s">
        <v>84</v>
      </c>
      <c r="B8" s="29" t="s">
        <v>61</v>
      </c>
      <c r="C8" s="31" t="s">
        <v>95</v>
      </c>
      <c r="D8" s="24" t="s">
        <v>117</v>
      </c>
      <c r="E8" s="69"/>
      <c r="F8" s="69"/>
      <c r="G8" s="69"/>
      <c r="H8" s="69"/>
      <c r="I8" s="69"/>
      <c r="J8" s="69"/>
      <c r="K8" s="69"/>
      <c r="L8" s="69"/>
      <c r="M8" s="69"/>
      <c r="N8" s="69"/>
      <c r="O8" s="69"/>
      <c r="P8" s="69"/>
      <c r="Q8" s="69"/>
      <c r="R8" s="69"/>
      <c r="S8" s="69"/>
      <c r="T8" s="69"/>
      <c r="U8" s="69"/>
    </row>
    <row r="9" spans="1:21" ht="20.25" x14ac:dyDescent="0.25">
      <c r="A9" s="89"/>
      <c r="B9" s="89"/>
      <c r="C9" s="91"/>
      <c r="D9" s="91"/>
      <c r="E9" s="69"/>
      <c r="F9" s="69"/>
      <c r="G9" s="69"/>
      <c r="H9" s="69"/>
      <c r="I9" s="69"/>
      <c r="J9" s="69"/>
      <c r="K9" s="69"/>
      <c r="L9" s="69"/>
      <c r="M9" s="69"/>
      <c r="N9" s="69"/>
      <c r="O9" s="69"/>
      <c r="P9" s="69"/>
      <c r="Q9" s="69"/>
      <c r="R9" s="69"/>
      <c r="S9" s="69"/>
      <c r="T9" s="69"/>
      <c r="U9" s="69"/>
    </row>
    <row r="10" spans="1:21" ht="16.5" x14ac:dyDescent="0.25">
      <c r="A10" s="89"/>
      <c r="B10" s="92"/>
      <c r="C10" s="92"/>
      <c r="D10" s="92"/>
      <c r="E10" s="69"/>
      <c r="F10" s="69"/>
      <c r="G10" s="69"/>
      <c r="H10" s="69"/>
      <c r="I10" s="69"/>
      <c r="J10" s="69"/>
      <c r="K10" s="69"/>
      <c r="L10" s="69"/>
      <c r="M10" s="69"/>
      <c r="N10" s="69"/>
      <c r="O10" s="69"/>
      <c r="P10" s="69"/>
      <c r="Q10" s="69"/>
      <c r="R10" s="69"/>
      <c r="S10" s="69"/>
      <c r="T10" s="69"/>
      <c r="U10" s="69"/>
    </row>
    <row r="11" spans="1:21" x14ac:dyDescent="0.25">
      <c r="A11" s="89"/>
      <c r="B11" s="89" t="s">
        <v>90</v>
      </c>
      <c r="C11" s="89" t="s">
        <v>144</v>
      </c>
      <c r="D11" s="89" t="s">
        <v>151</v>
      </c>
      <c r="E11" s="69"/>
      <c r="F11" s="69"/>
      <c r="G11" s="69"/>
      <c r="H11" s="69"/>
      <c r="I11" s="69"/>
      <c r="J11" s="69"/>
      <c r="K11" s="69"/>
      <c r="L11" s="69"/>
      <c r="M11" s="69"/>
      <c r="N11" s="69"/>
      <c r="O11" s="69"/>
      <c r="P11" s="69"/>
      <c r="Q11" s="69"/>
      <c r="R11" s="69"/>
      <c r="S11" s="69"/>
      <c r="T11" s="69"/>
      <c r="U11" s="69"/>
    </row>
    <row r="12" spans="1:21" x14ac:dyDescent="0.25">
      <c r="A12" s="89"/>
      <c r="B12" s="89" t="s">
        <v>88</v>
      </c>
      <c r="C12" s="89" t="s">
        <v>148</v>
      </c>
      <c r="D12" s="89" t="s">
        <v>152</v>
      </c>
      <c r="E12" s="69"/>
      <c r="F12" s="69"/>
      <c r="G12" s="69"/>
      <c r="H12" s="69"/>
      <c r="I12" s="69"/>
      <c r="J12" s="69"/>
      <c r="K12" s="69"/>
      <c r="L12" s="69"/>
      <c r="M12" s="69"/>
      <c r="N12" s="69"/>
      <c r="O12" s="69"/>
      <c r="P12" s="69"/>
      <c r="Q12" s="69"/>
      <c r="R12" s="69"/>
      <c r="S12" s="69"/>
      <c r="T12" s="69"/>
      <c r="U12" s="69"/>
    </row>
    <row r="13" spans="1:21" x14ac:dyDescent="0.25">
      <c r="A13" s="89"/>
      <c r="B13" s="89"/>
      <c r="C13" s="89" t="s">
        <v>147</v>
      </c>
      <c r="D13" s="89" t="s">
        <v>153</v>
      </c>
      <c r="E13" s="69"/>
      <c r="F13" s="69"/>
      <c r="G13" s="69"/>
      <c r="H13" s="69"/>
      <c r="I13" s="69"/>
      <c r="J13" s="69"/>
      <c r="K13" s="69"/>
      <c r="L13" s="69"/>
      <c r="M13" s="69"/>
      <c r="N13" s="69"/>
      <c r="O13" s="69"/>
      <c r="P13" s="69"/>
      <c r="Q13" s="69"/>
      <c r="R13" s="69"/>
      <c r="S13" s="69"/>
      <c r="T13" s="69"/>
      <c r="U13" s="69"/>
    </row>
    <row r="14" spans="1:21" x14ac:dyDescent="0.25">
      <c r="A14" s="89"/>
      <c r="B14" s="89"/>
      <c r="C14" s="89" t="s">
        <v>149</v>
      </c>
      <c r="D14" s="89" t="s">
        <v>154</v>
      </c>
      <c r="E14" s="69"/>
      <c r="F14" s="69"/>
      <c r="G14" s="69"/>
      <c r="H14" s="69"/>
      <c r="I14" s="69"/>
      <c r="J14" s="69"/>
      <c r="K14" s="69"/>
      <c r="L14" s="69"/>
      <c r="M14" s="69"/>
      <c r="N14" s="69"/>
      <c r="O14" s="69"/>
      <c r="P14" s="69"/>
      <c r="Q14" s="69"/>
      <c r="R14" s="69"/>
      <c r="S14" s="69"/>
      <c r="T14" s="69"/>
      <c r="U14" s="69"/>
    </row>
    <row r="15" spans="1:21" x14ac:dyDescent="0.25">
      <c r="A15" s="89"/>
      <c r="B15" s="89"/>
      <c r="C15" s="89" t="s">
        <v>150</v>
      </c>
      <c r="D15" s="89" t="s">
        <v>155</v>
      </c>
      <c r="E15" s="69"/>
      <c r="F15" s="69"/>
      <c r="G15" s="69"/>
      <c r="H15" s="69"/>
      <c r="I15" s="69"/>
      <c r="J15" s="69"/>
      <c r="K15" s="69"/>
      <c r="L15" s="69"/>
      <c r="M15" s="69"/>
      <c r="N15" s="69"/>
      <c r="O15" s="69"/>
      <c r="P15" s="69"/>
      <c r="Q15" s="69"/>
      <c r="R15" s="69"/>
      <c r="S15" s="69"/>
      <c r="T15" s="69"/>
      <c r="U15" s="69"/>
    </row>
    <row r="16" spans="1:21" x14ac:dyDescent="0.25">
      <c r="A16" s="89"/>
      <c r="B16" s="89"/>
      <c r="C16" s="89"/>
      <c r="D16" s="89"/>
      <c r="E16" s="69"/>
      <c r="F16" s="69"/>
      <c r="G16" s="69"/>
      <c r="H16" s="69"/>
      <c r="I16" s="69"/>
      <c r="J16" s="69"/>
      <c r="K16" s="69"/>
      <c r="L16" s="69"/>
      <c r="M16" s="69"/>
      <c r="N16" s="69"/>
      <c r="O16" s="69"/>
    </row>
    <row r="17" spans="1:15" x14ac:dyDescent="0.25">
      <c r="A17" s="89"/>
      <c r="B17" s="89"/>
      <c r="C17" s="89"/>
      <c r="D17" s="89"/>
      <c r="E17" s="69"/>
      <c r="F17" s="69"/>
      <c r="G17" s="69"/>
      <c r="H17" s="69"/>
      <c r="I17" s="69"/>
      <c r="J17" s="69"/>
      <c r="K17" s="69"/>
      <c r="L17" s="69"/>
      <c r="M17" s="69"/>
      <c r="N17" s="69"/>
      <c r="O17" s="69"/>
    </row>
    <row r="18" spans="1:15" x14ac:dyDescent="0.25">
      <c r="A18" s="89"/>
      <c r="B18" s="93"/>
      <c r="C18" s="93"/>
      <c r="D18" s="93"/>
      <c r="E18" s="69"/>
      <c r="F18" s="69"/>
      <c r="G18" s="69"/>
      <c r="H18" s="69"/>
      <c r="I18" s="69"/>
      <c r="J18" s="69"/>
      <c r="K18" s="69"/>
      <c r="L18" s="69"/>
      <c r="M18" s="69"/>
      <c r="N18" s="69"/>
      <c r="O18" s="69"/>
    </row>
    <row r="19" spans="1:15" x14ac:dyDescent="0.25">
      <c r="A19" s="89"/>
      <c r="B19" s="93"/>
      <c r="C19" s="93"/>
      <c r="D19" s="93"/>
      <c r="E19" s="69"/>
      <c r="F19" s="69"/>
      <c r="G19" s="69"/>
      <c r="H19" s="69"/>
      <c r="I19" s="69"/>
      <c r="J19" s="69"/>
      <c r="K19" s="69"/>
      <c r="L19" s="69"/>
      <c r="M19" s="69"/>
      <c r="N19" s="69"/>
      <c r="O19" s="69"/>
    </row>
    <row r="20" spans="1:15" x14ac:dyDescent="0.25">
      <c r="A20" s="89"/>
      <c r="B20" s="93"/>
      <c r="C20" s="93"/>
      <c r="D20" s="93"/>
      <c r="E20" s="69"/>
      <c r="F20" s="69"/>
      <c r="G20" s="69"/>
      <c r="H20" s="69"/>
      <c r="I20" s="69"/>
      <c r="J20" s="69"/>
      <c r="K20" s="69"/>
      <c r="L20" s="69"/>
      <c r="M20" s="69"/>
      <c r="N20" s="69"/>
      <c r="O20" s="69"/>
    </row>
    <row r="21" spans="1:15" x14ac:dyDescent="0.25">
      <c r="A21" s="89"/>
      <c r="B21" s="93"/>
      <c r="C21" s="93"/>
      <c r="D21" s="93"/>
      <c r="E21" s="69"/>
      <c r="F21" s="69"/>
      <c r="G21" s="69"/>
      <c r="H21" s="69"/>
      <c r="I21" s="69"/>
      <c r="J21" s="69"/>
      <c r="K21" s="69"/>
      <c r="L21" s="69"/>
      <c r="M21" s="69"/>
      <c r="N21" s="69"/>
      <c r="O21" s="69"/>
    </row>
    <row r="22" spans="1:15" ht="20.25" x14ac:dyDescent="0.25">
      <c r="A22" s="89"/>
      <c r="B22" s="89"/>
      <c r="C22" s="91"/>
      <c r="D22" s="91"/>
      <c r="E22" s="69"/>
      <c r="F22" s="69"/>
      <c r="G22" s="69"/>
      <c r="H22" s="69"/>
      <c r="I22" s="69"/>
      <c r="J22" s="69"/>
      <c r="K22" s="69"/>
      <c r="L22" s="69"/>
      <c r="M22" s="69"/>
      <c r="N22" s="69"/>
      <c r="O22" s="69"/>
    </row>
    <row r="23" spans="1:15" ht="20.25" x14ac:dyDescent="0.25">
      <c r="A23" s="89"/>
      <c r="B23" s="89"/>
      <c r="C23" s="91"/>
      <c r="D23" s="91"/>
      <c r="E23" s="69"/>
      <c r="F23" s="69"/>
      <c r="G23" s="69"/>
      <c r="H23" s="69"/>
      <c r="I23" s="69"/>
      <c r="J23" s="69"/>
      <c r="K23" s="69"/>
      <c r="L23" s="69"/>
      <c r="M23" s="69"/>
      <c r="N23" s="69"/>
      <c r="O23" s="69"/>
    </row>
    <row r="24" spans="1:15" ht="20.25" x14ac:dyDescent="0.25">
      <c r="A24" s="89"/>
      <c r="B24" s="89"/>
      <c r="C24" s="91"/>
      <c r="D24" s="91"/>
      <c r="E24" s="69"/>
      <c r="F24" s="69"/>
      <c r="G24" s="69"/>
      <c r="H24" s="69"/>
      <c r="I24" s="69"/>
      <c r="J24" s="69"/>
      <c r="K24" s="69"/>
      <c r="L24" s="69"/>
      <c r="M24" s="69"/>
      <c r="N24" s="69"/>
      <c r="O24" s="69"/>
    </row>
    <row r="25" spans="1:15" ht="20.25" x14ac:dyDescent="0.25">
      <c r="A25" s="89"/>
      <c r="B25" s="89"/>
      <c r="C25" s="91"/>
      <c r="D25" s="91"/>
      <c r="E25" s="69"/>
      <c r="F25" s="69"/>
      <c r="G25" s="69"/>
      <c r="H25" s="69"/>
      <c r="I25" s="69"/>
      <c r="J25" s="69"/>
      <c r="K25" s="69"/>
      <c r="L25" s="69"/>
      <c r="M25" s="69"/>
      <c r="N25" s="69"/>
      <c r="O25" s="69"/>
    </row>
    <row r="26" spans="1:15" ht="20.25" x14ac:dyDescent="0.25">
      <c r="A26" s="89"/>
      <c r="B26" s="89"/>
      <c r="C26" s="91"/>
      <c r="D26" s="91"/>
      <c r="E26" s="69"/>
      <c r="F26" s="69"/>
      <c r="G26" s="69"/>
      <c r="H26" s="69"/>
      <c r="I26" s="69"/>
      <c r="J26" s="69"/>
      <c r="K26" s="69"/>
      <c r="L26" s="69"/>
      <c r="M26" s="69"/>
      <c r="N26" s="69"/>
      <c r="O26" s="69"/>
    </row>
    <row r="27" spans="1:15" ht="20.25" x14ac:dyDescent="0.25">
      <c r="A27" s="89"/>
      <c r="B27" s="89"/>
      <c r="C27" s="91"/>
      <c r="D27" s="91"/>
      <c r="E27" s="69"/>
      <c r="F27" s="69"/>
      <c r="G27" s="69"/>
      <c r="H27" s="69"/>
      <c r="I27" s="69"/>
      <c r="J27" s="69"/>
      <c r="K27" s="69"/>
      <c r="L27" s="69"/>
      <c r="M27" s="69"/>
      <c r="N27" s="69"/>
      <c r="O27" s="69"/>
    </row>
    <row r="28" spans="1:15" ht="20.25" x14ac:dyDescent="0.25">
      <c r="A28" s="89"/>
      <c r="B28" s="89"/>
      <c r="C28" s="91"/>
      <c r="D28" s="91"/>
      <c r="E28" s="69"/>
      <c r="F28" s="69"/>
      <c r="G28" s="69"/>
      <c r="H28" s="69"/>
      <c r="I28" s="69"/>
      <c r="J28" s="69"/>
      <c r="K28" s="69"/>
      <c r="L28" s="69"/>
      <c r="M28" s="69"/>
      <c r="N28" s="69"/>
      <c r="O28" s="69"/>
    </row>
    <row r="29" spans="1:15" ht="20.25" x14ac:dyDescent="0.25">
      <c r="A29" s="89"/>
      <c r="B29" s="89"/>
      <c r="C29" s="91"/>
      <c r="D29" s="91"/>
      <c r="E29" s="69"/>
      <c r="F29" s="69"/>
      <c r="G29" s="69"/>
      <c r="H29" s="69"/>
      <c r="I29" s="69"/>
      <c r="J29" s="69"/>
      <c r="K29" s="69"/>
      <c r="L29" s="69"/>
      <c r="M29" s="69"/>
      <c r="N29" s="69"/>
      <c r="O29" s="69"/>
    </row>
    <row r="30" spans="1:15" ht="20.25" x14ac:dyDescent="0.25">
      <c r="A30" s="89"/>
      <c r="B30" s="89"/>
      <c r="C30" s="91"/>
      <c r="D30" s="91"/>
      <c r="E30" s="69"/>
      <c r="F30" s="69"/>
      <c r="G30" s="69"/>
      <c r="H30" s="69"/>
      <c r="I30" s="69"/>
      <c r="J30" s="69"/>
      <c r="K30" s="69"/>
      <c r="L30" s="69"/>
      <c r="M30" s="69"/>
      <c r="N30" s="69"/>
      <c r="O30" s="69"/>
    </row>
    <row r="31" spans="1:15" ht="20.25" x14ac:dyDescent="0.25">
      <c r="A31" s="89"/>
      <c r="B31" s="89"/>
      <c r="C31" s="91"/>
      <c r="D31" s="91"/>
      <c r="E31" s="69"/>
      <c r="F31" s="69"/>
      <c r="G31" s="69"/>
      <c r="H31" s="69"/>
      <c r="I31" s="69"/>
      <c r="J31" s="69"/>
      <c r="K31" s="69"/>
      <c r="L31" s="69"/>
      <c r="M31" s="69"/>
      <c r="N31" s="69"/>
      <c r="O31" s="69"/>
    </row>
    <row r="32" spans="1:15" ht="20.25" x14ac:dyDescent="0.25">
      <c r="A32" s="89"/>
      <c r="B32" s="89"/>
      <c r="C32" s="91"/>
      <c r="D32" s="91"/>
      <c r="E32" s="69"/>
      <c r="F32" s="69"/>
      <c r="G32" s="69"/>
      <c r="H32" s="69"/>
      <c r="I32" s="69"/>
      <c r="J32" s="69"/>
      <c r="K32" s="69"/>
      <c r="L32" s="69"/>
      <c r="M32" s="69"/>
      <c r="N32" s="69"/>
      <c r="O32" s="69"/>
    </row>
    <row r="33" spans="1:15" ht="20.25" x14ac:dyDescent="0.25">
      <c r="A33" s="89"/>
      <c r="B33" s="89"/>
      <c r="C33" s="91"/>
      <c r="D33" s="91"/>
      <c r="E33" s="69"/>
      <c r="F33" s="69"/>
      <c r="G33" s="69"/>
      <c r="H33" s="69"/>
      <c r="I33" s="69"/>
      <c r="J33" s="69"/>
      <c r="K33" s="69"/>
      <c r="L33" s="69"/>
      <c r="M33" s="69"/>
      <c r="N33" s="69"/>
      <c r="O33" s="69"/>
    </row>
    <row r="34" spans="1:15" ht="20.25" x14ac:dyDescent="0.25">
      <c r="A34" s="89"/>
      <c r="B34" s="89"/>
      <c r="C34" s="91"/>
      <c r="D34" s="91"/>
      <c r="E34" s="69"/>
      <c r="F34" s="69"/>
      <c r="G34" s="69"/>
      <c r="H34" s="69"/>
      <c r="I34" s="69"/>
      <c r="J34" s="69"/>
      <c r="K34" s="69"/>
      <c r="L34" s="69"/>
      <c r="M34" s="69"/>
      <c r="N34" s="69"/>
      <c r="O34" s="69"/>
    </row>
    <row r="35" spans="1:15" ht="20.25" x14ac:dyDescent="0.25">
      <c r="A35" s="89"/>
      <c r="B35" s="89"/>
      <c r="C35" s="91"/>
      <c r="D35" s="91"/>
      <c r="E35" s="69"/>
      <c r="F35" s="69"/>
      <c r="G35" s="69"/>
      <c r="H35" s="69"/>
      <c r="I35" s="69"/>
      <c r="J35" s="69"/>
      <c r="K35" s="69"/>
      <c r="L35" s="69"/>
      <c r="M35" s="69"/>
      <c r="N35" s="69"/>
      <c r="O35" s="69"/>
    </row>
    <row r="36" spans="1:15" ht="20.25" x14ac:dyDescent="0.25">
      <c r="A36" s="89"/>
      <c r="B36" s="89"/>
      <c r="C36" s="91"/>
      <c r="D36" s="91"/>
      <c r="E36" s="69"/>
      <c r="F36" s="69"/>
      <c r="G36" s="69"/>
      <c r="H36" s="69"/>
      <c r="I36" s="69"/>
      <c r="J36" s="69"/>
      <c r="K36" s="69"/>
      <c r="L36" s="69"/>
      <c r="M36" s="69"/>
      <c r="N36" s="69"/>
      <c r="O36" s="69"/>
    </row>
    <row r="37" spans="1:15" ht="20.25" x14ac:dyDescent="0.25">
      <c r="A37" s="89"/>
      <c r="B37" s="89"/>
      <c r="C37" s="91"/>
      <c r="D37" s="91"/>
      <c r="E37" s="69"/>
      <c r="F37" s="69"/>
      <c r="G37" s="69"/>
      <c r="H37" s="69"/>
      <c r="I37" s="69"/>
      <c r="J37" s="69"/>
      <c r="K37" s="69"/>
      <c r="L37" s="69"/>
      <c r="M37" s="69"/>
      <c r="N37" s="69"/>
      <c r="O37" s="69"/>
    </row>
    <row r="38" spans="1:15" ht="20.25" x14ac:dyDescent="0.25">
      <c r="A38" s="89"/>
      <c r="B38" s="89"/>
      <c r="C38" s="91"/>
      <c r="D38" s="91"/>
      <c r="E38" s="69"/>
      <c r="F38" s="69"/>
      <c r="G38" s="69"/>
      <c r="H38" s="69"/>
      <c r="I38" s="69"/>
      <c r="J38" s="69"/>
      <c r="K38" s="69"/>
      <c r="L38" s="69"/>
      <c r="M38" s="69"/>
      <c r="N38" s="69"/>
      <c r="O38" s="69"/>
    </row>
    <row r="39" spans="1:15" ht="20.25" x14ac:dyDescent="0.25">
      <c r="A39" s="89"/>
      <c r="B39" s="89"/>
      <c r="C39" s="91"/>
      <c r="D39" s="91"/>
      <c r="E39" s="69"/>
      <c r="F39" s="69"/>
      <c r="G39" s="69"/>
      <c r="H39" s="69"/>
      <c r="I39" s="69"/>
      <c r="J39" s="69"/>
      <c r="K39" s="69"/>
      <c r="L39" s="69"/>
      <c r="M39" s="69"/>
      <c r="N39" s="69"/>
      <c r="O39" s="69"/>
    </row>
    <row r="40" spans="1:15" ht="20.25" x14ac:dyDescent="0.25">
      <c r="A40" s="89"/>
      <c r="B40" s="89"/>
      <c r="C40" s="91"/>
      <c r="D40" s="91"/>
      <c r="E40" s="69"/>
      <c r="F40" s="69"/>
      <c r="G40" s="69"/>
      <c r="H40" s="69"/>
      <c r="I40" s="69"/>
      <c r="J40" s="69"/>
      <c r="K40" s="69"/>
      <c r="L40" s="69"/>
      <c r="M40" s="69"/>
      <c r="N40" s="69"/>
      <c r="O40" s="69"/>
    </row>
    <row r="41" spans="1:15" ht="20.25" x14ac:dyDescent="0.25">
      <c r="A41" s="89"/>
      <c r="B41" s="89"/>
      <c r="C41" s="91"/>
      <c r="D41" s="91"/>
      <c r="E41" s="69"/>
      <c r="F41" s="69"/>
      <c r="G41" s="69"/>
      <c r="H41" s="69"/>
      <c r="I41" s="69"/>
      <c r="J41" s="69"/>
      <c r="K41" s="69"/>
      <c r="L41" s="69"/>
      <c r="M41" s="69"/>
      <c r="N41" s="69"/>
      <c r="O41" s="69"/>
    </row>
    <row r="42" spans="1:15" ht="20.25" x14ac:dyDescent="0.25">
      <c r="A42" s="89"/>
      <c r="B42" s="89"/>
      <c r="C42" s="91"/>
      <c r="D42" s="91"/>
      <c r="E42" s="69"/>
      <c r="F42" s="69"/>
      <c r="G42" s="69"/>
      <c r="H42" s="69"/>
      <c r="I42" s="69"/>
      <c r="J42" s="69"/>
      <c r="K42" s="69"/>
      <c r="L42" s="69"/>
      <c r="M42" s="69"/>
      <c r="N42" s="69"/>
      <c r="O42" s="69"/>
    </row>
    <row r="43" spans="1:15" ht="20.25" x14ac:dyDescent="0.25">
      <c r="A43" s="89"/>
      <c r="B43" s="89"/>
      <c r="C43" s="91"/>
      <c r="D43" s="91"/>
      <c r="E43" s="69"/>
      <c r="F43" s="69"/>
      <c r="G43" s="69"/>
      <c r="H43" s="69"/>
      <c r="I43" s="69"/>
      <c r="J43" s="69"/>
      <c r="K43" s="69"/>
      <c r="L43" s="69"/>
      <c r="M43" s="69"/>
      <c r="N43" s="69"/>
      <c r="O43" s="69"/>
    </row>
    <row r="44" spans="1:15" ht="20.25" x14ac:dyDescent="0.25">
      <c r="A44" s="89"/>
      <c r="B44" s="89"/>
      <c r="C44" s="91"/>
      <c r="D44" s="91"/>
      <c r="E44" s="69"/>
      <c r="F44" s="69"/>
      <c r="G44" s="69"/>
      <c r="H44" s="69"/>
      <c r="I44" s="69"/>
      <c r="J44" s="69"/>
      <c r="K44" s="69"/>
      <c r="L44" s="69"/>
      <c r="M44" s="69"/>
      <c r="N44" s="69"/>
      <c r="O44" s="69"/>
    </row>
    <row r="45" spans="1:15" ht="20.25" x14ac:dyDescent="0.25">
      <c r="A45" s="89"/>
      <c r="B45" s="89"/>
      <c r="C45" s="91"/>
      <c r="D45" s="91"/>
      <c r="E45" s="69"/>
      <c r="F45" s="69"/>
      <c r="G45" s="69"/>
      <c r="H45" s="69"/>
      <c r="I45" s="69"/>
      <c r="J45" s="69"/>
      <c r="K45" s="69"/>
      <c r="L45" s="69"/>
      <c r="M45" s="69"/>
      <c r="N45" s="69"/>
      <c r="O45" s="69"/>
    </row>
    <row r="46" spans="1:15" ht="20.25" x14ac:dyDescent="0.25">
      <c r="A46" s="89"/>
      <c r="B46" s="89"/>
      <c r="C46" s="91"/>
      <c r="D46" s="91"/>
      <c r="E46" s="69"/>
      <c r="F46" s="69"/>
      <c r="G46" s="69"/>
      <c r="H46" s="69"/>
      <c r="I46" s="69"/>
      <c r="J46" s="69"/>
      <c r="K46" s="69"/>
      <c r="L46" s="69"/>
      <c r="M46" s="69"/>
      <c r="N46" s="69"/>
      <c r="O46" s="69"/>
    </row>
    <row r="47" spans="1:15" ht="20.25" x14ac:dyDescent="0.25">
      <c r="A47" s="89"/>
      <c r="B47" s="89"/>
      <c r="C47" s="91"/>
      <c r="D47" s="91"/>
      <c r="E47" s="69"/>
      <c r="F47" s="69"/>
      <c r="G47" s="69"/>
      <c r="H47" s="69"/>
      <c r="I47" s="69"/>
      <c r="J47" s="69"/>
      <c r="K47" s="69"/>
      <c r="L47" s="69"/>
      <c r="M47" s="69"/>
      <c r="N47" s="69"/>
      <c r="O47" s="69"/>
    </row>
    <row r="48" spans="1:15" ht="20.25" x14ac:dyDescent="0.25">
      <c r="A48" s="89"/>
      <c r="B48" s="89"/>
      <c r="C48" s="91"/>
      <c r="D48" s="91"/>
      <c r="E48" s="69"/>
      <c r="F48" s="69"/>
      <c r="G48" s="69"/>
      <c r="H48" s="69"/>
      <c r="I48" s="69"/>
      <c r="J48" s="69"/>
      <c r="K48" s="69"/>
      <c r="L48" s="69"/>
      <c r="M48" s="69"/>
      <c r="N48" s="69"/>
      <c r="O48" s="69"/>
    </row>
    <row r="49" spans="1:15" ht="20.25" x14ac:dyDescent="0.25">
      <c r="A49" s="89"/>
      <c r="B49" s="89"/>
      <c r="C49" s="91"/>
      <c r="D49" s="91"/>
      <c r="E49" s="69"/>
      <c r="F49" s="69"/>
      <c r="G49" s="69"/>
      <c r="H49" s="69"/>
      <c r="I49" s="69"/>
      <c r="J49" s="69"/>
      <c r="K49" s="69"/>
      <c r="L49" s="69"/>
      <c r="M49" s="69"/>
      <c r="N49" s="69"/>
      <c r="O49" s="69"/>
    </row>
    <row r="50" spans="1:15" ht="20.25" x14ac:dyDescent="0.25">
      <c r="A50" s="89"/>
      <c r="B50" s="89"/>
      <c r="C50" s="91"/>
      <c r="D50" s="91"/>
      <c r="E50" s="69"/>
      <c r="F50" s="69"/>
      <c r="G50" s="69"/>
      <c r="H50" s="69"/>
      <c r="I50" s="69"/>
      <c r="J50" s="69"/>
      <c r="K50" s="69"/>
      <c r="L50" s="69"/>
      <c r="M50" s="69"/>
      <c r="N50" s="69"/>
      <c r="O50" s="69"/>
    </row>
    <row r="51" spans="1:15" ht="20.25" x14ac:dyDescent="0.25">
      <c r="A51" s="89"/>
      <c r="B51" s="89"/>
      <c r="C51" s="91"/>
      <c r="D51" s="91"/>
      <c r="E51" s="69"/>
      <c r="F51" s="69"/>
      <c r="G51" s="69"/>
      <c r="H51" s="69"/>
      <c r="I51" s="69"/>
      <c r="J51" s="69"/>
      <c r="K51" s="69"/>
      <c r="L51" s="69"/>
      <c r="M51" s="69"/>
      <c r="N51" s="69"/>
      <c r="O51" s="69"/>
    </row>
    <row r="52" spans="1:15" ht="20.25" x14ac:dyDescent="0.25">
      <c r="A52" s="89"/>
      <c r="B52" s="15"/>
      <c r="C52" s="20"/>
      <c r="D52" s="20"/>
    </row>
    <row r="53" spans="1:15" ht="20.25" x14ac:dyDescent="0.25">
      <c r="A53" s="89"/>
      <c r="B53" s="15"/>
      <c r="C53" s="20"/>
      <c r="D53" s="20"/>
    </row>
    <row r="54" spans="1:15" ht="20.25" x14ac:dyDescent="0.25">
      <c r="A54" s="89"/>
      <c r="B54" s="15"/>
      <c r="C54" s="20"/>
      <c r="D54" s="20"/>
    </row>
    <row r="55" spans="1:15" ht="20.25" x14ac:dyDescent="0.25">
      <c r="A55" s="89"/>
      <c r="B55" s="15"/>
      <c r="C55" s="20"/>
      <c r="D55" s="20"/>
    </row>
    <row r="56" spans="1:15" ht="20.25" x14ac:dyDescent="0.25">
      <c r="A56" s="89"/>
      <c r="B56" s="15"/>
      <c r="C56" s="20"/>
      <c r="D56" s="20"/>
    </row>
    <row r="57" spans="1:15" ht="20.25" x14ac:dyDescent="0.25">
      <c r="A57" s="89"/>
      <c r="B57" s="15"/>
      <c r="C57" s="20"/>
      <c r="D57" s="20"/>
    </row>
    <row r="58" spans="1:15" ht="20.25" x14ac:dyDescent="0.25">
      <c r="A58" s="89"/>
      <c r="B58" s="15"/>
      <c r="C58" s="20"/>
      <c r="D58" s="20"/>
    </row>
    <row r="59" spans="1:15" ht="20.25" x14ac:dyDescent="0.25">
      <c r="A59" s="89"/>
      <c r="B59" s="15"/>
      <c r="C59" s="20"/>
      <c r="D59" s="20"/>
    </row>
    <row r="60" spans="1:15" ht="20.25" x14ac:dyDescent="0.25">
      <c r="A60" s="89"/>
      <c r="B60" s="15"/>
      <c r="C60" s="20"/>
      <c r="D60" s="20"/>
    </row>
    <row r="61" spans="1:15" ht="20.25" x14ac:dyDescent="0.25">
      <c r="A61" s="89"/>
      <c r="B61" s="15"/>
      <c r="C61" s="20"/>
      <c r="D61" s="20"/>
    </row>
    <row r="62" spans="1:15" ht="20.25" x14ac:dyDescent="0.25">
      <c r="A62" s="89"/>
      <c r="B62" s="15"/>
      <c r="C62" s="20"/>
      <c r="D62" s="20"/>
    </row>
    <row r="63" spans="1:15" ht="20.25" x14ac:dyDescent="0.25">
      <c r="A63" s="89"/>
      <c r="B63" s="15"/>
      <c r="C63" s="20"/>
      <c r="D63" s="20"/>
    </row>
    <row r="64" spans="1:15" ht="20.25" x14ac:dyDescent="0.25">
      <c r="A64" s="89"/>
      <c r="B64" s="15"/>
      <c r="C64" s="20"/>
      <c r="D64" s="20"/>
    </row>
    <row r="65" spans="1:4" ht="20.25" x14ac:dyDescent="0.25">
      <c r="A65" s="89"/>
      <c r="B65" s="15"/>
      <c r="C65" s="20"/>
      <c r="D65" s="20"/>
    </row>
    <row r="66" spans="1:4" ht="20.25" x14ac:dyDescent="0.25">
      <c r="A66" s="89"/>
      <c r="B66" s="15"/>
      <c r="C66" s="20"/>
      <c r="D66" s="20"/>
    </row>
    <row r="67" spans="1:4" ht="20.25" x14ac:dyDescent="0.25">
      <c r="A67" s="89"/>
      <c r="B67" s="15"/>
      <c r="C67" s="20"/>
      <c r="D67" s="20"/>
    </row>
    <row r="68" spans="1:4" ht="20.25" x14ac:dyDescent="0.25">
      <c r="A68" s="89"/>
      <c r="B68" s="15"/>
      <c r="C68" s="20"/>
      <c r="D68" s="20"/>
    </row>
    <row r="69" spans="1:4" ht="20.25" x14ac:dyDescent="0.25">
      <c r="A69" s="89"/>
      <c r="B69" s="15"/>
      <c r="C69" s="20"/>
      <c r="D69" s="20"/>
    </row>
    <row r="70" spans="1:4" ht="20.25" x14ac:dyDescent="0.25">
      <c r="A70" s="89"/>
      <c r="B70" s="15"/>
      <c r="C70" s="20"/>
      <c r="D70" s="20"/>
    </row>
    <row r="71" spans="1:4" ht="20.25" x14ac:dyDescent="0.25">
      <c r="A71" s="89"/>
      <c r="B71" s="15"/>
      <c r="C71" s="20"/>
      <c r="D71" s="20"/>
    </row>
    <row r="72" spans="1:4" ht="20.25" x14ac:dyDescent="0.25">
      <c r="A72" s="89"/>
      <c r="B72" s="15"/>
      <c r="C72" s="20"/>
      <c r="D72" s="20"/>
    </row>
    <row r="73" spans="1:4" ht="20.25" x14ac:dyDescent="0.25">
      <c r="A73" s="89"/>
      <c r="B73" s="15"/>
      <c r="C73" s="20"/>
      <c r="D73" s="20"/>
    </row>
    <row r="74" spans="1:4" ht="20.25" x14ac:dyDescent="0.25">
      <c r="A74" s="89"/>
      <c r="B74" s="15"/>
      <c r="C74" s="20"/>
      <c r="D74" s="20"/>
    </row>
    <row r="75" spans="1:4" ht="20.25" x14ac:dyDescent="0.25">
      <c r="A75" s="89"/>
      <c r="B75" s="15"/>
      <c r="C75" s="20"/>
      <c r="D75" s="20"/>
    </row>
    <row r="76" spans="1:4" ht="20.25" x14ac:dyDescent="0.25">
      <c r="A76" s="89"/>
      <c r="B76" s="15"/>
      <c r="C76" s="20"/>
      <c r="D76" s="20"/>
    </row>
    <row r="77" spans="1:4" ht="20.25" x14ac:dyDescent="0.25">
      <c r="A77" s="89"/>
      <c r="B77" s="15"/>
      <c r="C77" s="20"/>
      <c r="D77" s="20"/>
    </row>
    <row r="78" spans="1:4" ht="20.25" x14ac:dyDescent="0.25">
      <c r="A78" s="89"/>
      <c r="B78" s="15"/>
      <c r="C78" s="20"/>
      <c r="D78" s="20"/>
    </row>
    <row r="79" spans="1:4" ht="20.25" x14ac:dyDescent="0.25">
      <c r="A79" s="89"/>
      <c r="B79" s="15"/>
      <c r="C79" s="20"/>
      <c r="D79" s="20"/>
    </row>
    <row r="80" spans="1:4" ht="20.25" x14ac:dyDescent="0.25">
      <c r="A80" s="89"/>
      <c r="B80" s="15"/>
      <c r="C80" s="20"/>
      <c r="D80" s="20"/>
    </row>
    <row r="81" spans="1:4" ht="20.25" x14ac:dyDescent="0.25">
      <c r="A81" s="89"/>
      <c r="B81" s="15"/>
      <c r="C81" s="20"/>
      <c r="D81" s="20"/>
    </row>
    <row r="82" spans="1:4" ht="20.25" x14ac:dyDescent="0.25">
      <c r="A82" s="89"/>
      <c r="B82" s="15"/>
      <c r="C82" s="20"/>
      <c r="D82" s="20"/>
    </row>
    <row r="83" spans="1:4" ht="20.25" x14ac:dyDescent="0.25">
      <c r="A83" s="89"/>
      <c r="B83" s="15"/>
      <c r="C83" s="20"/>
      <c r="D83" s="20"/>
    </row>
    <row r="84" spans="1:4" ht="20.25" x14ac:dyDescent="0.25">
      <c r="A84" s="89"/>
      <c r="B84" s="15"/>
      <c r="C84" s="20"/>
      <c r="D84" s="20"/>
    </row>
    <row r="85" spans="1:4" ht="20.25" x14ac:dyDescent="0.25">
      <c r="A85" s="89"/>
      <c r="B85" s="15"/>
      <c r="C85" s="20"/>
      <c r="D85" s="20"/>
    </row>
    <row r="86" spans="1:4" ht="20.25" x14ac:dyDescent="0.25">
      <c r="A86" s="89"/>
      <c r="B86" s="15"/>
      <c r="C86" s="20"/>
      <c r="D86" s="20"/>
    </row>
    <row r="87" spans="1:4" ht="20.25" x14ac:dyDescent="0.25">
      <c r="A87" s="89"/>
      <c r="B87" s="15"/>
      <c r="C87" s="20"/>
      <c r="D87" s="20"/>
    </row>
    <row r="88" spans="1:4" ht="20.25" x14ac:dyDescent="0.25">
      <c r="A88" s="89"/>
      <c r="B88" s="15"/>
      <c r="C88" s="20"/>
      <c r="D88" s="20"/>
    </row>
    <row r="89" spans="1:4" ht="20.25" x14ac:dyDescent="0.25">
      <c r="A89" s="89"/>
      <c r="B89" s="15"/>
      <c r="C89" s="20"/>
      <c r="D89" s="20"/>
    </row>
    <row r="90" spans="1:4" ht="20.25" x14ac:dyDescent="0.25">
      <c r="A90" s="89"/>
      <c r="B90" s="15"/>
      <c r="C90" s="20"/>
      <c r="D90" s="20"/>
    </row>
    <row r="91" spans="1:4" ht="20.25" x14ac:dyDescent="0.25">
      <c r="A91" s="89"/>
      <c r="B91" s="15"/>
      <c r="C91" s="20"/>
      <c r="D91" s="20"/>
    </row>
    <row r="92" spans="1:4" ht="20.25" x14ac:dyDescent="0.25">
      <c r="A92" s="89"/>
      <c r="B92" s="15"/>
      <c r="C92" s="20"/>
      <c r="D92" s="20"/>
    </row>
    <row r="93" spans="1:4" ht="20.25" x14ac:dyDescent="0.25">
      <c r="A93" s="89"/>
      <c r="B93" s="15"/>
      <c r="C93" s="20"/>
      <c r="D93" s="20"/>
    </row>
    <row r="94" spans="1:4" ht="20.25" x14ac:dyDescent="0.25">
      <c r="A94" s="89"/>
      <c r="B94" s="15"/>
      <c r="C94" s="20"/>
      <c r="D94" s="20"/>
    </row>
    <row r="95" spans="1:4" ht="20.25" x14ac:dyDescent="0.25">
      <c r="A95" s="89"/>
      <c r="B95" s="15"/>
      <c r="C95" s="20"/>
      <c r="D95" s="20"/>
    </row>
    <row r="96" spans="1:4" ht="20.25" x14ac:dyDescent="0.25">
      <c r="A96" s="89"/>
      <c r="B96" s="15"/>
      <c r="C96" s="20"/>
      <c r="D96" s="20"/>
    </row>
    <row r="97" spans="1:4" ht="20.25" x14ac:dyDescent="0.25">
      <c r="A97" s="89"/>
      <c r="B97" s="15"/>
      <c r="C97" s="20"/>
      <c r="D97" s="20"/>
    </row>
    <row r="98" spans="1:4" ht="20.25" x14ac:dyDescent="0.25">
      <c r="A98" s="89"/>
      <c r="B98" s="15"/>
      <c r="C98" s="20"/>
      <c r="D98" s="20"/>
    </row>
    <row r="99" spans="1:4" ht="20.25" x14ac:dyDescent="0.25">
      <c r="A99" s="89"/>
      <c r="B99" s="15"/>
      <c r="C99" s="20"/>
      <c r="D99" s="20"/>
    </row>
    <row r="100" spans="1:4" ht="20.25" x14ac:dyDescent="0.25">
      <c r="A100" s="89"/>
      <c r="B100" s="15"/>
      <c r="C100" s="20"/>
      <c r="D100" s="20"/>
    </row>
    <row r="101" spans="1:4" ht="20.25" x14ac:dyDescent="0.25">
      <c r="A101" s="89"/>
      <c r="B101" s="15"/>
      <c r="C101" s="20"/>
      <c r="D101" s="20"/>
    </row>
    <row r="102" spans="1:4" ht="20.25" x14ac:dyDescent="0.25">
      <c r="A102" s="89"/>
      <c r="B102" s="15"/>
      <c r="C102" s="20"/>
      <c r="D102" s="20"/>
    </row>
    <row r="103" spans="1:4" ht="20.25" x14ac:dyDescent="0.25">
      <c r="A103" s="89"/>
      <c r="B103" s="15"/>
      <c r="C103" s="20"/>
      <c r="D103" s="20"/>
    </row>
    <row r="104" spans="1:4" ht="20.25" x14ac:dyDescent="0.25">
      <c r="A104" s="89"/>
      <c r="B104" s="15"/>
      <c r="C104" s="20"/>
      <c r="D104" s="20"/>
    </row>
    <row r="105" spans="1:4" ht="20.25" x14ac:dyDescent="0.25">
      <c r="A105" s="89"/>
      <c r="B105" s="15"/>
      <c r="C105" s="20"/>
      <c r="D105" s="20"/>
    </row>
    <row r="106" spans="1:4" ht="20.25" x14ac:dyDescent="0.25">
      <c r="A106" s="89"/>
      <c r="B106" s="15"/>
      <c r="C106" s="20"/>
      <c r="D106" s="20"/>
    </row>
    <row r="107" spans="1:4" ht="20.25" x14ac:dyDescent="0.25">
      <c r="A107" s="89"/>
      <c r="B107" s="15"/>
      <c r="C107" s="20"/>
      <c r="D107" s="20"/>
    </row>
    <row r="108" spans="1:4" ht="20.25" x14ac:dyDescent="0.25">
      <c r="A108" s="89"/>
      <c r="B108" s="15"/>
      <c r="C108" s="20"/>
      <c r="D108" s="20"/>
    </row>
    <row r="109" spans="1:4" ht="20.25" x14ac:dyDescent="0.25">
      <c r="A109" s="89"/>
      <c r="B109" s="15"/>
      <c r="C109" s="20"/>
      <c r="D109" s="20"/>
    </row>
    <row r="110" spans="1:4" ht="20.25" x14ac:dyDescent="0.25">
      <c r="A110" s="89"/>
      <c r="B110" s="15"/>
      <c r="C110" s="20"/>
      <c r="D110" s="20"/>
    </row>
    <row r="111" spans="1:4" ht="20.25" x14ac:dyDescent="0.25">
      <c r="A111" s="89"/>
      <c r="B111" s="15"/>
      <c r="C111" s="20"/>
      <c r="D111" s="20"/>
    </row>
    <row r="112" spans="1:4" ht="20.25" x14ac:dyDescent="0.25">
      <c r="A112" s="89"/>
      <c r="B112" s="15"/>
      <c r="C112" s="20"/>
      <c r="D112" s="20"/>
    </row>
    <row r="113" spans="1:4" ht="20.25" x14ac:dyDescent="0.25">
      <c r="A113" s="89"/>
      <c r="B113" s="15"/>
      <c r="C113" s="20"/>
      <c r="D113" s="20"/>
    </row>
    <row r="114" spans="1:4" ht="20.25" x14ac:dyDescent="0.25">
      <c r="A114" s="89"/>
      <c r="B114" s="15"/>
      <c r="C114" s="20"/>
      <c r="D114" s="20"/>
    </row>
    <row r="115" spans="1:4" ht="20.25" x14ac:dyDescent="0.25">
      <c r="A115" s="89"/>
      <c r="B115" s="15"/>
      <c r="C115" s="20"/>
      <c r="D115" s="20"/>
    </row>
    <row r="116" spans="1:4" ht="20.25" x14ac:dyDescent="0.25">
      <c r="A116" s="89"/>
      <c r="B116" s="15"/>
      <c r="C116" s="20"/>
      <c r="D116" s="20"/>
    </row>
    <row r="117" spans="1:4" ht="20.25" x14ac:dyDescent="0.25">
      <c r="A117" s="89"/>
      <c r="B117" s="15"/>
      <c r="C117" s="20"/>
      <c r="D117" s="20"/>
    </row>
    <row r="118" spans="1:4" ht="20.25" x14ac:dyDescent="0.25">
      <c r="A118" s="89"/>
      <c r="B118" s="15"/>
      <c r="C118" s="20"/>
      <c r="D118" s="20"/>
    </row>
    <row r="119" spans="1:4" ht="20.25" x14ac:dyDescent="0.25">
      <c r="A119" s="89"/>
      <c r="B119" s="15"/>
      <c r="C119" s="20"/>
      <c r="D119" s="20"/>
    </row>
    <row r="120" spans="1:4" ht="20.25" x14ac:dyDescent="0.25">
      <c r="A120" s="89"/>
      <c r="B120" s="15"/>
      <c r="C120" s="20"/>
      <c r="D120" s="20"/>
    </row>
    <row r="121" spans="1:4" ht="20.25" x14ac:dyDescent="0.25">
      <c r="A121" s="89"/>
      <c r="B121" s="15"/>
      <c r="C121" s="20"/>
      <c r="D121" s="20"/>
    </row>
    <row r="122" spans="1:4" ht="20.25" x14ac:dyDescent="0.25">
      <c r="A122" s="89"/>
      <c r="B122" s="15"/>
      <c r="C122" s="20"/>
      <c r="D122" s="20"/>
    </row>
    <row r="123" spans="1:4" ht="20.25" x14ac:dyDescent="0.25">
      <c r="A123" s="89"/>
      <c r="B123" s="15"/>
      <c r="C123" s="20"/>
      <c r="D123" s="20"/>
    </row>
    <row r="124" spans="1:4" ht="20.25" x14ac:dyDescent="0.25">
      <c r="A124" s="89"/>
      <c r="B124" s="15"/>
      <c r="C124" s="20"/>
      <c r="D124" s="20"/>
    </row>
    <row r="125" spans="1:4" ht="20.25" x14ac:dyDescent="0.25">
      <c r="A125" s="89"/>
      <c r="B125" s="15"/>
      <c r="C125" s="20"/>
      <c r="D125" s="20"/>
    </row>
    <row r="126" spans="1:4" ht="20.25" x14ac:dyDescent="0.25">
      <c r="A126" s="89"/>
      <c r="B126" s="15"/>
      <c r="C126" s="20"/>
      <c r="D126" s="20"/>
    </row>
    <row r="127" spans="1:4" ht="20.25" x14ac:dyDescent="0.25">
      <c r="A127" s="89"/>
      <c r="B127" s="15"/>
      <c r="C127" s="20"/>
      <c r="D127" s="20"/>
    </row>
    <row r="128" spans="1:4" ht="20.25" x14ac:dyDescent="0.25">
      <c r="A128" s="89"/>
      <c r="B128" s="15"/>
      <c r="C128" s="20"/>
      <c r="D128" s="20"/>
    </row>
    <row r="129" spans="1:4" ht="20.25" x14ac:dyDescent="0.25">
      <c r="A129" s="89"/>
      <c r="B129" s="15"/>
      <c r="C129" s="20"/>
      <c r="D129" s="20"/>
    </row>
    <row r="130" spans="1:4" ht="20.25" x14ac:dyDescent="0.25">
      <c r="A130" s="89"/>
      <c r="B130" s="15"/>
      <c r="C130" s="20"/>
      <c r="D130" s="20"/>
    </row>
    <row r="131" spans="1:4" ht="20.25" x14ac:dyDescent="0.25">
      <c r="A131" s="89"/>
      <c r="B131" s="15"/>
      <c r="C131" s="20"/>
      <c r="D131" s="20"/>
    </row>
    <row r="132" spans="1:4" ht="20.25" x14ac:dyDescent="0.25">
      <c r="A132" s="89"/>
      <c r="B132" s="15"/>
      <c r="C132" s="20"/>
      <c r="D132" s="20"/>
    </row>
    <row r="133" spans="1:4" ht="20.25" x14ac:dyDescent="0.25">
      <c r="A133" s="89"/>
      <c r="B133" s="15"/>
      <c r="C133" s="20"/>
      <c r="D133" s="20"/>
    </row>
    <row r="134" spans="1:4" ht="20.25" x14ac:dyDescent="0.25">
      <c r="A134" s="89"/>
      <c r="B134" s="15"/>
      <c r="C134" s="20"/>
      <c r="D134" s="20"/>
    </row>
    <row r="135" spans="1:4" ht="20.25" x14ac:dyDescent="0.25">
      <c r="A135" s="89"/>
      <c r="B135" s="15"/>
      <c r="C135" s="20"/>
      <c r="D135" s="20"/>
    </row>
    <row r="136" spans="1:4" ht="20.25" x14ac:dyDescent="0.25">
      <c r="A136" s="89"/>
      <c r="B136" s="15"/>
      <c r="C136" s="20"/>
      <c r="D136" s="20"/>
    </row>
    <row r="137" spans="1:4" ht="20.25" x14ac:dyDescent="0.25">
      <c r="A137" s="89"/>
      <c r="B137" s="15"/>
      <c r="C137" s="20"/>
      <c r="D137" s="20"/>
    </row>
    <row r="138" spans="1:4" ht="20.25" x14ac:dyDescent="0.25">
      <c r="A138" s="89"/>
      <c r="B138" s="15"/>
      <c r="C138" s="20"/>
      <c r="D138" s="20"/>
    </row>
    <row r="139" spans="1:4" ht="20.25" x14ac:dyDescent="0.25">
      <c r="A139" s="89"/>
      <c r="B139" s="15"/>
      <c r="C139" s="20"/>
      <c r="D139" s="20"/>
    </row>
    <row r="140" spans="1:4" ht="20.25" x14ac:dyDescent="0.25">
      <c r="A140" s="89"/>
      <c r="B140" s="15"/>
      <c r="C140" s="20"/>
      <c r="D140" s="20"/>
    </row>
    <row r="141" spans="1:4" ht="20.25" x14ac:dyDescent="0.25">
      <c r="A141" s="89"/>
      <c r="B141" s="15"/>
      <c r="C141" s="20"/>
      <c r="D141" s="20"/>
    </row>
    <row r="142" spans="1:4" ht="20.25" x14ac:dyDescent="0.25">
      <c r="A142" s="89"/>
      <c r="B142" s="15"/>
      <c r="C142" s="20"/>
      <c r="D142" s="20"/>
    </row>
    <row r="143" spans="1:4" ht="20.25" x14ac:dyDescent="0.25">
      <c r="A143" s="89"/>
      <c r="B143" s="15"/>
      <c r="C143" s="20"/>
      <c r="D143" s="20"/>
    </row>
    <row r="144" spans="1:4" ht="20.25" x14ac:dyDescent="0.25">
      <c r="A144" s="89"/>
      <c r="B144" s="15"/>
      <c r="C144" s="20"/>
      <c r="D144" s="20"/>
    </row>
    <row r="145" spans="1:4" ht="20.25" x14ac:dyDescent="0.25">
      <c r="A145" s="89"/>
      <c r="B145" s="15"/>
      <c r="C145" s="20"/>
      <c r="D145" s="20"/>
    </row>
    <row r="146" spans="1:4" ht="20.25" x14ac:dyDescent="0.25">
      <c r="A146" s="89"/>
      <c r="B146" s="15"/>
      <c r="C146" s="20"/>
      <c r="D146" s="20"/>
    </row>
    <row r="147" spans="1:4" ht="20.25" x14ac:dyDescent="0.25">
      <c r="A147" s="89"/>
      <c r="B147" s="15"/>
      <c r="C147" s="20"/>
      <c r="D147" s="20"/>
    </row>
    <row r="148" spans="1:4" ht="20.25" x14ac:dyDescent="0.25">
      <c r="A148" s="89"/>
      <c r="B148" s="15"/>
      <c r="C148" s="20"/>
      <c r="D148" s="20"/>
    </row>
    <row r="149" spans="1:4" ht="20.25" x14ac:dyDescent="0.25">
      <c r="A149" s="89"/>
      <c r="B149" s="15"/>
      <c r="C149" s="20"/>
      <c r="D149" s="20"/>
    </row>
    <row r="150" spans="1:4" ht="20.25" x14ac:dyDescent="0.25">
      <c r="A150" s="89"/>
      <c r="B150" s="15"/>
      <c r="C150" s="20"/>
      <c r="D150" s="20"/>
    </row>
    <row r="151" spans="1:4" ht="20.25" x14ac:dyDescent="0.25">
      <c r="A151" s="89"/>
      <c r="B151" s="15"/>
      <c r="C151" s="20"/>
      <c r="D151" s="20"/>
    </row>
    <row r="152" spans="1:4" ht="20.25" x14ac:dyDescent="0.25">
      <c r="A152" s="89"/>
      <c r="B152" s="15"/>
      <c r="C152" s="20"/>
      <c r="D152" s="20"/>
    </row>
    <row r="153" spans="1:4" ht="20.25" x14ac:dyDescent="0.25">
      <c r="A153" s="89"/>
      <c r="B153" s="15"/>
      <c r="C153" s="20"/>
      <c r="D153" s="20"/>
    </row>
    <row r="154" spans="1:4" ht="20.25" x14ac:dyDescent="0.25">
      <c r="A154" s="89"/>
      <c r="B154" s="15"/>
      <c r="C154" s="20"/>
      <c r="D154" s="20"/>
    </row>
    <row r="155" spans="1:4" ht="20.25" x14ac:dyDescent="0.25">
      <c r="A155" s="89"/>
      <c r="B155" s="15"/>
      <c r="C155" s="20"/>
      <c r="D155" s="20"/>
    </row>
    <row r="156" spans="1:4" ht="20.25" x14ac:dyDescent="0.25">
      <c r="A156" s="89"/>
      <c r="B156" s="15"/>
      <c r="C156" s="20"/>
      <c r="D156" s="20"/>
    </row>
    <row r="157" spans="1:4" ht="20.25" x14ac:dyDescent="0.25">
      <c r="A157" s="89"/>
      <c r="B157" s="15"/>
      <c r="C157" s="20"/>
      <c r="D157" s="20"/>
    </row>
    <row r="158" spans="1:4" ht="20.25" x14ac:dyDescent="0.25">
      <c r="A158" s="89"/>
      <c r="B158" s="15"/>
      <c r="C158" s="20"/>
      <c r="D158" s="20"/>
    </row>
    <row r="159" spans="1:4" ht="20.25" x14ac:dyDescent="0.25">
      <c r="A159" s="89"/>
      <c r="B159" s="15"/>
      <c r="C159" s="20"/>
      <c r="D159" s="20"/>
    </row>
    <row r="160" spans="1:4" ht="20.25" x14ac:dyDescent="0.25">
      <c r="A160" s="89"/>
      <c r="B160" s="15"/>
      <c r="C160" s="20"/>
      <c r="D160" s="20"/>
    </row>
    <row r="161" spans="1:4" ht="20.25" x14ac:dyDescent="0.25">
      <c r="A161" s="89"/>
      <c r="B161" s="15"/>
      <c r="C161" s="20"/>
      <c r="D161" s="20"/>
    </row>
    <row r="162" spans="1:4" ht="20.25" x14ac:dyDescent="0.25">
      <c r="A162" s="89"/>
      <c r="B162" s="15"/>
      <c r="C162" s="20"/>
      <c r="D162" s="20"/>
    </row>
    <row r="163" spans="1:4" ht="20.25" x14ac:dyDescent="0.25">
      <c r="A163" s="89"/>
      <c r="B163" s="15"/>
      <c r="C163" s="20"/>
      <c r="D163" s="20"/>
    </row>
    <row r="164" spans="1:4" ht="20.25" x14ac:dyDescent="0.25">
      <c r="A164" s="89"/>
      <c r="B164" s="15"/>
      <c r="C164" s="20"/>
      <c r="D164" s="20"/>
    </row>
    <row r="165" spans="1:4" ht="20.25" x14ac:dyDescent="0.25">
      <c r="A165" s="89"/>
      <c r="B165" s="15"/>
      <c r="C165" s="20"/>
      <c r="D165" s="20"/>
    </row>
    <row r="166" spans="1:4" ht="20.25" x14ac:dyDescent="0.25">
      <c r="A166" s="89"/>
      <c r="B166" s="15"/>
      <c r="C166" s="20"/>
      <c r="D166" s="20"/>
    </row>
    <row r="167" spans="1:4" ht="20.25" x14ac:dyDescent="0.25">
      <c r="A167" s="89"/>
      <c r="B167" s="15"/>
      <c r="C167" s="20"/>
      <c r="D167" s="20"/>
    </row>
    <row r="168" spans="1:4" ht="20.25" x14ac:dyDescent="0.25">
      <c r="A168" s="89"/>
      <c r="B168" s="15"/>
      <c r="C168" s="20"/>
      <c r="D168" s="20"/>
    </row>
    <row r="169" spans="1:4" ht="20.25" x14ac:dyDescent="0.25">
      <c r="A169" s="89"/>
      <c r="B169" s="15"/>
      <c r="C169" s="20"/>
      <c r="D169" s="20"/>
    </row>
    <row r="170" spans="1:4" ht="20.25" x14ac:dyDescent="0.25">
      <c r="A170" s="89"/>
      <c r="B170" s="15"/>
      <c r="C170" s="20"/>
      <c r="D170" s="20"/>
    </row>
    <row r="171" spans="1:4" ht="20.25" x14ac:dyDescent="0.25">
      <c r="A171" s="89"/>
      <c r="B171" s="15"/>
      <c r="C171" s="20"/>
      <c r="D171" s="20"/>
    </row>
    <row r="172" spans="1:4" ht="20.25" x14ac:dyDescent="0.25">
      <c r="A172" s="89"/>
      <c r="B172" s="15"/>
      <c r="C172" s="20"/>
      <c r="D172" s="20"/>
    </row>
    <row r="173" spans="1:4" ht="20.25" x14ac:dyDescent="0.25">
      <c r="A173" s="89"/>
      <c r="B173" s="15"/>
      <c r="C173" s="20"/>
      <c r="D173" s="20"/>
    </row>
    <row r="174" spans="1:4" ht="20.25" x14ac:dyDescent="0.25">
      <c r="A174" s="89"/>
      <c r="B174" s="15"/>
      <c r="C174" s="20"/>
      <c r="D174" s="20"/>
    </row>
    <row r="175" spans="1:4" ht="20.25" x14ac:dyDescent="0.25">
      <c r="A175" s="89"/>
      <c r="B175" s="15"/>
      <c r="C175" s="20"/>
      <c r="D175" s="20"/>
    </row>
    <row r="176" spans="1:4" ht="20.25" x14ac:dyDescent="0.25">
      <c r="A176" s="89"/>
      <c r="B176" s="15"/>
      <c r="C176" s="20"/>
      <c r="D176" s="20"/>
    </row>
    <row r="177" spans="1:4" ht="20.25" x14ac:dyDescent="0.25">
      <c r="A177" s="89"/>
      <c r="B177" s="15"/>
      <c r="C177" s="20"/>
      <c r="D177" s="20"/>
    </row>
    <row r="178" spans="1:4" ht="20.25" x14ac:dyDescent="0.25">
      <c r="A178" s="89"/>
      <c r="B178" s="15"/>
      <c r="C178" s="20"/>
      <c r="D178" s="20"/>
    </row>
    <row r="179" spans="1:4" ht="20.25" x14ac:dyDescent="0.25">
      <c r="A179" s="89"/>
      <c r="B179" s="15"/>
      <c r="C179" s="20"/>
      <c r="D179" s="20"/>
    </row>
    <row r="180" spans="1:4" ht="20.25" x14ac:dyDescent="0.25">
      <c r="A180" s="89"/>
      <c r="B180" s="15"/>
      <c r="C180" s="20"/>
      <c r="D180" s="20"/>
    </row>
    <row r="181" spans="1:4" ht="20.25" x14ac:dyDescent="0.25">
      <c r="A181" s="89"/>
      <c r="B181" s="15"/>
      <c r="C181" s="20"/>
      <c r="D181" s="20"/>
    </row>
    <row r="182" spans="1:4" ht="20.25" x14ac:dyDescent="0.25">
      <c r="A182" s="89"/>
      <c r="B182" s="15"/>
      <c r="C182" s="20"/>
      <c r="D182" s="20"/>
    </row>
    <row r="183" spans="1:4" ht="20.25" x14ac:dyDescent="0.25">
      <c r="A183" s="89"/>
      <c r="B183" s="15"/>
      <c r="C183" s="20"/>
      <c r="D183" s="20"/>
    </row>
    <row r="184" spans="1:4" ht="20.25" x14ac:dyDescent="0.25">
      <c r="A184" s="89"/>
      <c r="B184" s="15"/>
      <c r="C184" s="20"/>
      <c r="D184" s="20"/>
    </row>
    <row r="185" spans="1:4" ht="20.25" x14ac:dyDescent="0.25">
      <c r="A185" s="89"/>
      <c r="B185" s="15"/>
      <c r="C185" s="20"/>
      <c r="D185" s="20"/>
    </row>
    <row r="186" spans="1:4" ht="20.25" x14ac:dyDescent="0.25">
      <c r="A186" s="89"/>
      <c r="B186" s="15"/>
      <c r="C186" s="20"/>
      <c r="D186" s="20"/>
    </row>
    <row r="187" spans="1:4" ht="20.25" x14ac:dyDescent="0.25">
      <c r="A187" s="89"/>
      <c r="B187" s="15"/>
      <c r="C187" s="20"/>
      <c r="D187" s="20"/>
    </row>
    <row r="188" spans="1:4" ht="20.25" x14ac:dyDescent="0.25">
      <c r="A188" s="89"/>
      <c r="B188" s="15"/>
      <c r="C188" s="20"/>
      <c r="D188" s="20"/>
    </row>
    <row r="189" spans="1:4" ht="20.25" x14ac:dyDescent="0.25">
      <c r="A189" s="89"/>
      <c r="B189" s="15"/>
      <c r="C189" s="20"/>
      <c r="D189" s="20"/>
    </row>
    <row r="190" spans="1:4" ht="20.25" x14ac:dyDescent="0.25">
      <c r="A190" s="89"/>
      <c r="B190" s="15"/>
      <c r="C190" s="20"/>
      <c r="D190" s="20"/>
    </row>
    <row r="191" spans="1:4" ht="20.25" x14ac:dyDescent="0.25">
      <c r="A191" s="89"/>
      <c r="B191" s="15"/>
      <c r="C191" s="20"/>
      <c r="D191" s="20"/>
    </row>
    <row r="192" spans="1:4" ht="20.25" x14ac:dyDescent="0.25">
      <c r="A192" s="89"/>
      <c r="B192" s="15"/>
      <c r="C192" s="20"/>
      <c r="D192" s="20"/>
    </row>
    <row r="193" spans="1:4" ht="20.25" x14ac:dyDescent="0.25">
      <c r="A193" s="89"/>
      <c r="B193" s="15"/>
      <c r="C193" s="20"/>
      <c r="D193" s="20"/>
    </row>
    <row r="194" spans="1:4" ht="20.25" x14ac:dyDescent="0.25">
      <c r="A194" s="89"/>
      <c r="B194" s="15"/>
      <c r="C194" s="20"/>
      <c r="D194" s="20"/>
    </row>
    <row r="195" spans="1:4" ht="20.25" x14ac:dyDescent="0.25">
      <c r="A195" s="89"/>
      <c r="B195" s="15"/>
      <c r="C195" s="20"/>
      <c r="D195" s="20"/>
    </row>
    <row r="196" spans="1:4" ht="20.25" x14ac:dyDescent="0.25">
      <c r="A196" s="89"/>
      <c r="B196" s="15"/>
      <c r="C196" s="20"/>
      <c r="D196" s="20"/>
    </row>
    <row r="197" spans="1:4" ht="20.25" x14ac:dyDescent="0.25">
      <c r="A197" s="89"/>
      <c r="B197" s="15"/>
      <c r="C197" s="20"/>
      <c r="D197" s="20"/>
    </row>
    <row r="198" spans="1:4" ht="20.25" x14ac:dyDescent="0.25">
      <c r="A198" s="89"/>
      <c r="B198" s="15"/>
      <c r="C198" s="20"/>
      <c r="D198" s="20"/>
    </row>
    <row r="199" spans="1:4" ht="20.25" x14ac:dyDescent="0.25">
      <c r="A199" s="89"/>
      <c r="B199" s="15"/>
      <c r="C199" s="20"/>
      <c r="D199" s="20"/>
    </row>
    <row r="200" spans="1:4" ht="20.25" x14ac:dyDescent="0.25">
      <c r="A200" s="89"/>
      <c r="B200" s="15"/>
      <c r="C200" s="20"/>
      <c r="D200" s="20"/>
    </row>
    <row r="201" spans="1:4" ht="20.25" x14ac:dyDescent="0.25">
      <c r="A201" s="89"/>
      <c r="B201" s="15"/>
      <c r="C201" s="20"/>
      <c r="D201" s="20"/>
    </row>
    <row r="202" spans="1:4" ht="20.25" x14ac:dyDescent="0.25">
      <c r="A202" s="89"/>
      <c r="B202" s="15"/>
      <c r="C202" s="20"/>
      <c r="D202" s="20"/>
    </row>
    <row r="203" spans="1:4" ht="20.25" x14ac:dyDescent="0.25">
      <c r="A203" s="89"/>
      <c r="B203" s="15"/>
      <c r="C203" s="20"/>
      <c r="D203" s="20"/>
    </row>
    <row r="204" spans="1:4" ht="20.25" x14ac:dyDescent="0.25">
      <c r="A204" s="89"/>
      <c r="B204" s="15"/>
      <c r="C204" s="20"/>
      <c r="D204" s="20"/>
    </row>
    <row r="205" spans="1:4" ht="20.25" x14ac:dyDescent="0.25">
      <c r="A205" s="89"/>
      <c r="B205" s="15"/>
      <c r="C205" s="20"/>
      <c r="D205" s="20"/>
    </row>
    <row r="206" spans="1:4" ht="20.25" x14ac:dyDescent="0.25">
      <c r="A206" s="89"/>
      <c r="B206" s="15"/>
      <c r="C206" s="20"/>
      <c r="D206" s="20"/>
    </row>
    <row r="207" spans="1:4" ht="20.25" x14ac:dyDescent="0.25">
      <c r="A207" s="89"/>
      <c r="B207" s="15"/>
      <c r="C207" s="20"/>
      <c r="D207" s="20"/>
    </row>
    <row r="208" spans="1:4" x14ac:dyDescent="0.25">
      <c r="A208" s="69"/>
      <c r="B208" s="15"/>
      <c r="C208" s="15"/>
      <c r="D208" s="15"/>
    </row>
    <row r="209" spans="1:8" ht="20.25" x14ac:dyDescent="0.25">
      <c r="A209" s="69"/>
      <c r="B209" s="16" t="s">
        <v>87</v>
      </c>
      <c r="C209" s="16" t="s">
        <v>143</v>
      </c>
      <c r="D209" s="19" t="s">
        <v>87</v>
      </c>
      <c r="E209" s="19" t="s">
        <v>143</v>
      </c>
    </row>
    <row r="210" spans="1:8" ht="21" x14ac:dyDescent="0.35">
      <c r="A210" s="69"/>
      <c r="B210" s="17" t="s">
        <v>89</v>
      </c>
      <c r="C210" s="17" t="s">
        <v>57</v>
      </c>
      <c r="D210" t="s">
        <v>89</v>
      </c>
      <c r="F210" t="str">
        <f>IF(NOT(ISBLANK(D210)),D210,IF(NOT(ISBLANK(E210)),"     "&amp;E210,FALSE))</f>
        <v>Afectación Económica o presupuestal</v>
      </c>
      <c r="G210" t="s">
        <v>89</v>
      </c>
      <c r="H210" t="str">
        <f ca="1">IF(NOT(ISERROR(MATCH(G210,_xlfn.ANCHORARRAY(B221),0))),F223&amp;"Por favor no seleccionar los criterios de impacto",G210)</f>
        <v>Afectación Económica o presupuestal</v>
      </c>
    </row>
    <row r="211" spans="1:8" ht="21" x14ac:dyDescent="0.35">
      <c r="A211" s="69"/>
      <c r="B211" s="17" t="s">
        <v>89</v>
      </c>
      <c r="C211" s="17" t="s">
        <v>92</v>
      </c>
      <c r="E211" t="s">
        <v>57</v>
      </c>
      <c r="F211" t="str">
        <f t="shared" ref="F211:F221" si="0">IF(NOT(ISBLANK(D211)),D211,IF(NOT(ISBLANK(E211)),"     "&amp;E211,FALSE))</f>
        <v xml:space="preserve">     Afectación menor a 10 SMLMV .</v>
      </c>
    </row>
    <row r="212" spans="1:8" ht="21" x14ac:dyDescent="0.35">
      <c r="A212" s="69"/>
      <c r="B212" s="17" t="s">
        <v>89</v>
      </c>
      <c r="C212" s="17" t="s">
        <v>93</v>
      </c>
      <c r="E212" t="s">
        <v>92</v>
      </c>
      <c r="F212" t="str">
        <f t="shared" si="0"/>
        <v xml:space="preserve">     Entre 10 y 50 SMLMV </v>
      </c>
    </row>
    <row r="213" spans="1:8" ht="21" x14ac:dyDescent="0.35">
      <c r="A213" s="69"/>
      <c r="B213" s="17" t="s">
        <v>89</v>
      </c>
      <c r="C213" s="17" t="s">
        <v>94</v>
      </c>
      <c r="E213" t="s">
        <v>93</v>
      </c>
      <c r="F213" t="str">
        <f t="shared" si="0"/>
        <v xml:space="preserve">     Entre 50 y 100 SMLMV </v>
      </c>
    </row>
    <row r="214" spans="1:8" ht="21" x14ac:dyDescent="0.35">
      <c r="A214" s="69"/>
      <c r="B214" s="17" t="s">
        <v>89</v>
      </c>
      <c r="C214" s="17" t="s">
        <v>95</v>
      </c>
      <c r="E214" t="s">
        <v>94</v>
      </c>
      <c r="F214" t="str">
        <f t="shared" si="0"/>
        <v xml:space="preserve">     Entre 100 y 500 SMLMV </v>
      </c>
    </row>
    <row r="215" spans="1:8" ht="21" x14ac:dyDescent="0.35">
      <c r="A215" s="69"/>
      <c r="B215" s="17" t="s">
        <v>56</v>
      </c>
      <c r="C215" s="17" t="s">
        <v>96</v>
      </c>
      <c r="E215" t="s">
        <v>95</v>
      </c>
      <c r="F215" t="str">
        <f t="shared" si="0"/>
        <v xml:space="preserve">     Mayor a 500 SMLMV </v>
      </c>
    </row>
    <row r="216" spans="1:8" ht="21" x14ac:dyDescent="0.35">
      <c r="A216" s="69"/>
      <c r="B216" s="17" t="s">
        <v>56</v>
      </c>
      <c r="C216" s="17" t="s">
        <v>97</v>
      </c>
      <c r="D216" t="s">
        <v>56</v>
      </c>
      <c r="F216" t="str">
        <f t="shared" si="0"/>
        <v>Pérdida Reputacional</v>
      </c>
    </row>
    <row r="217" spans="1:8" ht="21" x14ac:dyDescent="0.35">
      <c r="A217" s="69"/>
      <c r="B217" s="17" t="s">
        <v>56</v>
      </c>
      <c r="C217" s="17" t="s">
        <v>99</v>
      </c>
      <c r="E217" t="s">
        <v>96</v>
      </c>
      <c r="F217" t="str">
        <f t="shared" si="0"/>
        <v xml:space="preserve">     El riesgo afecta la imagen de alguna área de la organización</v>
      </c>
    </row>
    <row r="218" spans="1:8" ht="21" x14ac:dyDescent="0.35">
      <c r="A218" s="69"/>
      <c r="B218" s="17" t="s">
        <v>56</v>
      </c>
      <c r="C218" s="17" t="s">
        <v>98</v>
      </c>
      <c r="E218" t="s">
        <v>97</v>
      </c>
      <c r="F218" t="str">
        <f t="shared" si="0"/>
        <v xml:space="preserve">     El riesgo afecta la imagen de la entidad internamente, de conocimiento general, nivel interno, de junta dircetiva y accionistas y/o de provedores</v>
      </c>
    </row>
    <row r="219" spans="1:8" ht="21" x14ac:dyDescent="0.35">
      <c r="A219" s="69"/>
      <c r="B219" s="17" t="s">
        <v>56</v>
      </c>
      <c r="C219" s="17" t="s">
        <v>117</v>
      </c>
      <c r="E219" t="s">
        <v>99</v>
      </c>
      <c r="F219" t="str">
        <f t="shared" si="0"/>
        <v xml:space="preserve">     El riesgo afecta la imagen de la entidad con algunos usuarios de relevancia frente al logro de los objetivos</v>
      </c>
    </row>
    <row r="220" spans="1:8" x14ac:dyDescent="0.25">
      <c r="A220" s="69"/>
      <c r="B220" s="18"/>
      <c r="C220" s="18"/>
      <c r="E220" t="s">
        <v>98</v>
      </c>
      <c r="F220" t="str">
        <f t="shared" si="0"/>
        <v xml:space="preserve">     El riesgo afecta la imagen de de la entidad con efecto publicitario sostenido a nivel de sector administrativo, nivel departamental o municipal</v>
      </c>
    </row>
    <row r="221" spans="1:8" x14ac:dyDescent="0.25">
      <c r="A221" s="69"/>
      <c r="B221" s="18" t="e" cm="1">
        <f t="array" aca="1" ref="B221:B223" ca="1">_xlfn.UNIQUE(Tabla1[[#All],[Criterios]])</f>
        <v>#NAME?</v>
      </c>
      <c r="C221" s="18"/>
      <c r="E221" t="s">
        <v>117</v>
      </c>
      <c r="F221" t="str">
        <f t="shared" si="0"/>
        <v xml:space="preserve">     El riesgo afecta la imagen de la entidad a nivel nacional, con efecto publicitarios sostenible a nivel país</v>
      </c>
    </row>
    <row r="222" spans="1:8" x14ac:dyDescent="0.25">
      <c r="A222" s="69"/>
      <c r="B222" s="18" t="e">
        <f ca="1"/>
        <v>#NAME?</v>
      </c>
      <c r="C222" s="18"/>
    </row>
    <row r="223" spans="1:8" x14ac:dyDescent="0.25">
      <c r="B223" s="18" t="e">
        <f ca="1"/>
        <v>#NAME?</v>
      </c>
      <c r="C223" s="18"/>
      <c r="F223" s="21" t="s">
        <v>145</v>
      </c>
    </row>
    <row r="224" spans="1:8" x14ac:dyDescent="0.25">
      <c r="B224" s="14"/>
      <c r="C224" s="14"/>
      <c r="F224" s="21" t="s">
        <v>146</v>
      </c>
    </row>
    <row r="225" spans="2:4" x14ac:dyDescent="0.25">
      <c r="B225" s="14"/>
      <c r="C225" s="14"/>
    </row>
    <row r="226" spans="2:4" x14ac:dyDescent="0.25">
      <c r="B226" s="14"/>
      <c r="C226" s="14"/>
    </row>
    <row r="227" spans="2:4" x14ac:dyDescent="0.25">
      <c r="B227" s="14"/>
      <c r="C227" s="14"/>
      <c r="D227" s="14"/>
    </row>
    <row r="228" spans="2:4" x14ac:dyDescent="0.25">
      <c r="B228" s="14"/>
      <c r="C228" s="14"/>
      <c r="D228" s="14"/>
    </row>
    <row r="229" spans="2:4" x14ac:dyDescent="0.25">
      <c r="B229" s="14"/>
      <c r="C229" s="14"/>
      <c r="D229" s="14"/>
    </row>
    <row r="230" spans="2:4" x14ac:dyDescent="0.25">
      <c r="B230" s="14"/>
      <c r="C230" s="14"/>
      <c r="D230" s="14"/>
    </row>
    <row r="231" spans="2:4" x14ac:dyDescent="0.25">
      <c r="B231" s="14"/>
      <c r="C231" s="14"/>
      <c r="D231" s="14"/>
    </row>
    <row r="232" spans="2:4" x14ac:dyDescent="0.25">
      <c r="B232" s="14"/>
      <c r="C232" s="14"/>
      <c r="D232" s="14"/>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election activeCell="B4" sqref="B4:H8"/>
    </sheetView>
  </sheetViews>
  <sheetFormatPr baseColWidth="10" defaultColWidth="14.28515625" defaultRowHeight="12.75" x14ac:dyDescent="0.2"/>
  <cols>
    <col min="1" max="2" width="14.28515625" style="74"/>
    <col min="3" max="3" width="17" style="74" customWidth="1"/>
    <col min="4" max="4" width="14.28515625" style="74"/>
    <col min="5" max="5" width="46" style="74" customWidth="1"/>
    <col min="6" max="16384" width="14.28515625" style="74"/>
  </cols>
  <sheetData>
    <row r="1" spans="2:6" ht="24" customHeight="1" thickBot="1" x14ac:dyDescent="0.25">
      <c r="B1" s="584" t="s">
        <v>77</v>
      </c>
      <c r="C1" s="585"/>
      <c r="D1" s="585"/>
      <c r="E1" s="585"/>
      <c r="F1" s="586"/>
    </row>
    <row r="2" spans="2:6" ht="16.5" thickBot="1" x14ac:dyDescent="0.3">
      <c r="B2" s="75"/>
      <c r="C2" s="75"/>
      <c r="D2" s="75"/>
      <c r="E2" s="75"/>
      <c r="F2" s="75"/>
    </row>
    <row r="3" spans="2:6" ht="16.5" thickBot="1" x14ac:dyDescent="0.25">
      <c r="B3" s="588" t="s">
        <v>63</v>
      </c>
      <c r="C3" s="589"/>
      <c r="D3" s="589"/>
      <c r="E3" s="87" t="s">
        <v>64</v>
      </c>
      <c r="F3" s="88" t="s">
        <v>65</v>
      </c>
    </row>
    <row r="4" spans="2:6" ht="31.5" x14ac:dyDescent="0.2">
      <c r="B4" s="590" t="s">
        <v>66</v>
      </c>
      <c r="C4" s="592" t="s">
        <v>13</v>
      </c>
      <c r="D4" s="76" t="s">
        <v>14</v>
      </c>
      <c r="E4" s="77" t="s">
        <v>67</v>
      </c>
      <c r="F4" s="78">
        <v>0.25</v>
      </c>
    </row>
    <row r="5" spans="2:6" ht="47.25" x14ac:dyDescent="0.2">
      <c r="B5" s="591"/>
      <c r="C5" s="593"/>
      <c r="D5" s="79" t="s">
        <v>15</v>
      </c>
      <c r="E5" s="80" t="s">
        <v>68</v>
      </c>
      <c r="F5" s="81">
        <v>0.15</v>
      </c>
    </row>
    <row r="6" spans="2:6" ht="47.25" x14ac:dyDescent="0.2">
      <c r="B6" s="591"/>
      <c r="C6" s="593"/>
      <c r="D6" s="79" t="s">
        <v>16</v>
      </c>
      <c r="E6" s="80" t="s">
        <v>69</v>
      </c>
      <c r="F6" s="81">
        <v>0.1</v>
      </c>
    </row>
    <row r="7" spans="2:6" ht="63" x14ac:dyDescent="0.2">
      <c r="B7" s="591"/>
      <c r="C7" s="593" t="s">
        <v>17</v>
      </c>
      <c r="D7" s="79" t="s">
        <v>10</v>
      </c>
      <c r="E7" s="80" t="s">
        <v>70</v>
      </c>
      <c r="F7" s="81">
        <v>0.25</v>
      </c>
    </row>
    <row r="8" spans="2:6" ht="31.5" x14ac:dyDescent="0.2">
      <c r="B8" s="591"/>
      <c r="C8" s="593"/>
      <c r="D8" s="79" t="s">
        <v>9</v>
      </c>
      <c r="E8" s="80" t="s">
        <v>71</v>
      </c>
      <c r="F8" s="81">
        <v>0.15</v>
      </c>
    </row>
    <row r="9" spans="2:6" ht="47.25" x14ac:dyDescent="0.2">
      <c r="B9" s="591" t="s">
        <v>160</v>
      </c>
      <c r="C9" s="593" t="s">
        <v>18</v>
      </c>
      <c r="D9" s="79" t="s">
        <v>19</v>
      </c>
      <c r="E9" s="80" t="s">
        <v>72</v>
      </c>
      <c r="F9" s="82" t="s">
        <v>73</v>
      </c>
    </row>
    <row r="10" spans="2:6" ht="63" x14ac:dyDescent="0.2">
      <c r="B10" s="591"/>
      <c r="C10" s="593"/>
      <c r="D10" s="79" t="s">
        <v>20</v>
      </c>
      <c r="E10" s="80" t="s">
        <v>74</v>
      </c>
      <c r="F10" s="82" t="s">
        <v>73</v>
      </c>
    </row>
    <row r="11" spans="2:6" ht="47.25" x14ac:dyDescent="0.2">
      <c r="B11" s="591"/>
      <c r="C11" s="593" t="s">
        <v>21</v>
      </c>
      <c r="D11" s="79" t="s">
        <v>22</v>
      </c>
      <c r="E11" s="80" t="s">
        <v>75</v>
      </c>
      <c r="F11" s="82" t="s">
        <v>73</v>
      </c>
    </row>
    <row r="12" spans="2:6" ht="47.25" x14ac:dyDescent="0.2">
      <c r="B12" s="591"/>
      <c r="C12" s="593"/>
      <c r="D12" s="79" t="s">
        <v>23</v>
      </c>
      <c r="E12" s="80" t="s">
        <v>76</v>
      </c>
      <c r="F12" s="82" t="s">
        <v>73</v>
      </c>
    </row>
    <row r="13" spans="2:6" ht="31.5" x14ac:dyDescent="0.2">
      <c r="B13" s="591"/>
      <c r="C13" s="593" t="s">
        <v>24</v>
      </c>
      <c r="D13" s="79" t="s">
        <v>118</v>
      </c>
      <c r="E13" s="80" t="s">
        <v>121</v>
      </c>
      <c r="F13" s="82" t="s">
        <v>73</v>
      </c>
    </row>
    <row r="14" spans="2:6" ht="32.25" thickBot="1" x14ac:dyDescent="0.25">
      <c r="B14" s="594"/>
      <c r="C14" s="595"/>
      <c r="D14" s="83" t="s">
        <v>119</v>
      </c>
      <c r="E14" s="84" t="s">
        <v>120</v>
      </c>
      <c r="F14" s="85" t="s">
        <v>73</v>
      </c>
    </row>
    <row r="15" spans="2:6" ht="49.5" customHeight="1" x14ac:dyDescent="0.2">
      <c r="B15" s="587" t="s">
        <v>157</v>
      </c>
      <c r="C15" s="587"/>
      <c r="D15" s="587"/>
      <c r="E15" s="587"/>
      <c r="F15" s="587"/>
    </row>
    <row r="16" spans="2:6" ht="27" customHeight="1" x14ac:dyDescent="0.25">
      <c r="B16" s="86"/>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132</v>
      </c>
    </row>
    <row r="3" spans="2:5" x14ac:dyDescent="0.25">
      <c r="B3" t="s">
        <v>32</v>
      </c>
      <c r="E3" t="s">
        <v>131</v>
      </c>
    </row>
    <row r="4" spans="2:5" x14ac:dyDescent="0.25">
      <c r="B4" t="s">
        <v>136</v>
      </c>
      <c r="E4" t="s">
        <v>133</v>
      </c>
    </row>
    <row r="5" spans="2:5" x14ac:dyDescent="0.25">
      <c r="B5" t="s">
        <v>135</v>
      </c>
    </row>
    <row r="8" spans="2:5" x14ac:dyDescent="0.25">
      <c r="B8" t="s">
        <v>85</v>
      </c>
    </row>
    <row r="9" spans="2:5" x14ac:dyDescent="0.25">
      <c r="B9" t="s">
        <v>40</v>
      </c>
    </row>
    <row r="10" spans="2:5" x14ac:dyDescent="0.25">
      <c r="B10" t="s">
        <v>41</v>
      </c>
    </row>
    <row r="13" spans="2:5" x14ac:dyDescent="0.25">
      <c r="B13" t="s">
        <v>128</v>
      </c>
    </row>
    <row r="14" spans="2:5" x14ac:dyDescent="0.25">
      <c r="B14" t="s">
        <v>122</v>
      </c>
    </row>
    <row r="15" spans="2:5" x14ac:dyDescent="0.25">
      <c r="B15" t="s">
        <v>125</v>
      </c>
    </row>
    <row r="16" spans="2:5" x14ac:dyDescent="0.25">
      <c r="B16" t="s">
        <v>123</v>
      </c>
    </row>
    <row r="17" spans="2:2" x14ac:dyDescent="0.25">
      <c r="B17" t="s">
        <v>124</v>
      </c>
    </row>
    <row r="18" spans="2:2" x14ac:dyDescent="0.25">
      <c r="B18" t="s">
        <v>126</v>
      </c>
    </row>
    <row r="19" spans="2:2" x14ac:dyDescent="0.25">
      <c r="B19" t="s">
        <v>127</v>
      </c>
    </row>
  </sheetData>
  <sortState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RowHeight="12.75" x14ac:dyDescent="0.2"/>
  <cols>
    <col min="1" max="1" width="32.85546875" style="1" customWidth="1"/>
    <col min="2" max="16384" width="11.42578125" style="1"/>
  </cols>
  <sheetData>
    <row r="3" spans="1:1" x14ac:dyDescent="0.2">
      <c r="A3" s="2" t="s">
        <v>14</v>
      </c>
    </row>
    <row r="4" spans="1:1" x14ac:dyDescent="0.2">
      <c r="A4" s="2" t="s">
        <v>15</v>
      </c>
    </row>
    <row r="5" spans="1:1" x14ac:dyDescent="0.2">
      <c r="A5" s="2" t="s">
        <v>16</v>
      </c>
    </row>
    <row r="6" spans="1:1" x14ac:dyDescent="0.2">
      <c r="A6" s="2" t="s">
        <v>10</v>
      </c>
    </row>
    <row r="7" spans="1:1" x14ac:dyDescent="0.2">
      <c r="A7" s="2" t="s">
        <v>9</v>
      </c>
    </row>
    <row r="8" spans="1:1" x14ac:dyDescent="0.2">
      <c r="A8" s="2" t="s">
        <v>19</v>
      </c>
    </row>
    <row r="9" spans="1:1" x14ac:dyDescent="0.2">
      <c r="A9" s="2" t="s">
        <v>20</v>
      </c>
    </row>
    <row r="10" spans="1:1" x14ac:dyDescent="0.2">
      <c r="A10" s="2" t="s">
        <v>22</v>
      </c>
    </row>
    <row r="11" spans="1:1" x14ac:dyDescent="0.2">
      <c r="A11" s="2" t="s">
        <v>23</v>
      </c>
    </row>
    <row r="12" spans="1:1" x14ac:dyDescent="0.2">
      <c r="A12" s="2" t="s">
        <v>25</v>
      </c>
    </row>
    <row r="13" spans="1:1" x14ac:dyDescent="0.2">
      <c r="A13" s="2" t="s">
        <v>26</v>
      </c>
    </row>
    <row r="14" spans="1:1" x14ac:dyDescent="0.2">
      <c r="A14" s="2" t="s">
        <v>27</v>
      </c>
    </row>
    <row r="16" spans="1:1" x14ac:dyDescent="0.2">
      <c r="A16" s="2" t="s">
        <v>30</v>
      </c>
    </row>
    <row r="17" spans="1:1" x14ac:dyDescent="0.2">
      <c r="A17" s="2" t="s">
        <v>31</v>
      </c>
    </row>
    <row r="18" spans="1:1" x14ac:dyDescent="0.2">
      <c r="A18" s="2" t="s">
        <v>32</v>
      </c>
    </row>
    <row r="20" spans="1:1" x14ac:dyDescent="0.2">
      <c r="A20" s="2" t="s">
        <v>40</v>
      </c>
    </row>
    <row r="21" spans="1:1" x14ac:dyDescent="0.2">
      <c r="A21" s="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4</vt:i4>
      </vt:variant>
    </vt:vector>
  </HeadingPairs>
  <TitlesOfParts>
    <vt:vector size="15" baseType="lpstr">
      <vt:lpstr>Intructivo</vt:lpstr>
      <vt:lpstr>Riesgos de Gestión</vt:lpstr>
      <vt:lpstr>Riesgos Corrupción</vt:lpstr>
      <vt:lpstr>Riesgos Seguridad Información</vt:lpstr>
      <vt:lpstr>Matriz Calor Inherente</vt:lpstr>
      <vt:lpstr>Matriz Calor Residual</vt:lpstr>
      <vt:lpstr>Tabla probabilidad</vt:lpstr>
      <vt:lpstr>Tabla Impacto</vt:lpstr>
      <vt:lpstr>Tabla Valoración controles</vt:lpstr>
      <vt:lpstr>Opciones Tratamiento</vt:lpstr>
      <vt:lpstr>Hoja1</vt:lpstr>
      <vt:lpstr>'Riesgos Corrupción'!Área_de_impresión</vt:lpstr>
      <vt:lpstr>'Riesgos Seguridad Información'!Área_de_impresión</vt:lpstr>
      <vt:lpstr>'Riesgos Corrupción'!Títulos_a_imprimir</vt:lpstr>
      <vt:lpstr>'Riesgos Seguridad Información'!Títulos_a_imprimir</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USER</cp:lastModifiedBy>
  <cp:lastPrinted>2020-05-13T01:12:22Z</cp:lastPrinted>
  <dcterms:created xsi:type="dcterms:W3CDTF">2020-03-24T23:12:47Z</dcterms:created>
  <dcterms:modified xsi:type="dcterms:W3CDTF">2023-08-08T16:50:03Z</dcterms:modified>
</cp:coreProperties>
</file>