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docs.live.net/eae2a4ea75681705/Documentos/2022/JUNIO/"/>
    </mc:Choice>
  </mc:AlternateContent>
  <xr:revisionPtr revIDLastSave="11" documentId="8_{C4A8B7B2-711A-4A62-A851-E7F782CBE662}" xr6:coauthVersionLast="47" xr6:coauthVersionMax="47" xr10:uidLastSave="{C2D2510A-8F6A-4748-B123-353719043F0B}"/>
  <bookViews>
    <workbookView xWindow="-120" yWindow="-120" windowWidth="20730" windowHeight="11040" xr2:uid="{00000000-000D-0000-FFFF-FFFF00000000}"/>
  </bookViews>
  <sheets>
    <sheet name="Riesgos Seguridad Información" sheetId="14" r:id="rId1"/>
    <sheet name="Riesgos Corrupción" sheetId="12" r:id="rId2"/>
    <sheet name="Riesgos Gestión" sheetId="2" r:id="rId3"/>
    <sheet name="PARÁMETROS RIESGOS GESTIÓN" sheetId="8" state="hidden" r:id="rId4"/>
    <sheet name="Probab e Impacto" sheetId="3" state="hidden" r:id="rId5"/>
    <sheet name="Zona de riesgo" sheetId="4" state="hidden" r:id="rId6"/>
    <sheet name="RIESGO RESIDUAL" sheetId="10" state="hidden" r:id="rId7"/>
    <sheet name="CONTROLES" sheetId="9" state="hidden" r:id="rId8"/>
    <sheet name="PARAMETROS RIESGOS DE CORRUPCIÓ" sheetId="11" state="hidden" r:id="rId9"/>
    <sheet name="VALORACIÓN RR CORRUPCIÓN" sheetId="13" state="hidden" r:id="rId10"/>
    <sheet name="Hoja2" sheetId="15" state="hidden" r:id="rId11"/>
  </sheets>
  <externalReferences>
    <externalReference r:id="rId12"/>
    <externalReference r:id="rId13"/>
    <externalReference r:id="rId14"/>
  </externalReferences>
  <definedNames>
    <definedName name="_xlnm.Print_Area" localSheetId="1">'Riesgos Corrupción'!$A$1:$AO$7</definedName>
    <definedName name="_xlnm.Print_Area" localSheetId="2">'Riesgos Gestión'!$A$1:$AI$13</definedName>
    <definedName name="_xlnm.Print_Area" localSheetId="0">'Riesgos Seguridad Información'!$A$1:$AJ$22</definedName>
    <definedName name="_xlnm.Print_Titles" localSheetId="1">'Riesgos Corrupción'!$3:$5</definedName>
    <definedName name="_xlnm.Print_Titles" localSheetId="2">'Riesgos Gestión'!$2:$4</definedName>
    <definedName name="_xlnm.Print_Titles" localSheetId="0">'Riesgos Seguridad Información'!$11:$13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5" i="12" l="1"/>
  <c r="AJ35" i="12" s="1"/>
  <c r="AL35" i="12" s="1"/>
  <c r="X35" i="12"/>
  <c r="W35" i="12"/>
  <c r="F35" i="12"/>
  <c r="G35" i="12" s="1"/>
  <c r="AL34" i="12"/>
  <c r="AJ34" i="12"/>
  <c r="AI34" i="12"/>
  <c r="W34" i="12"/>
  <c r="X34" i="12" s="1"/>
  <c r="G34" i="12"/>
  <c r="F34" i="12"/>
  <c r="AJ33" i="12"/>
  <c r="AL33" i="12" s="1"/>
  <c r="AI33" i="12"/>
  <c r="W33" i="12"/>
  <c r="X33" i="12" s="1"/>
  <c r="G33" i="12"/>
  <c r="F33" i="12"/>
  <c r="AI32" i="12"/>
  <c r="AJ32" i="12" s="1"/>
  <c r="AL32" i="12" s="1"/>
  <c r="X32" i="12"/>
  <c r="W32" i="12"/>
  <c r="F32" i="12"/>
  <c r="G32" i="12" s="1"/>
  <c r="AI31" i="12"/>
  <c r="AJ31" i="12" s="1"/>
  <c r="AL31" i="12" s="1"/>
  <c r="X31" i="12"/>
  <c r="W31" i="12"/>
  <c r="F31" i="12"/>
  <c r="G31" i="12" s="1"/>
  <c r="W84" i="2"/>
  <c r="W87" i="2"/>
  <c r="W90" i="2"/>
  <c r="W93" i="2"/>
  <c r="W96" i="2"/>
  <c r="W99" i="2"/>
  <c r="U84" i="2"/>
  <c r="U87" i="2"/>
  <c r="U90" i="2"/>
  <c r="U93" i="2"/>
  <c r="U96" i="2"/>
  <c r="U99" i="2"/>
  <c r="AD96" i="2"/>
  <c r="AD97" i="2" s="1"/>
  <c r="AD98" i="2" s="1"/>
  <c r="AD93" i="2"/>
  <c r="AD94" i="2" s="1"/>
  <c r="AD95" i="2" s="1"/>
  <c r="AD84" i="2"/>
  <c r="AD85" i="2" s="1"/>
  <c r="AD86" i="2" s="1"/>
  <c r="AD81" i="2"/>
  <c r="AD72" i="2"/>
  <c r="AD73" i="2" s="1"/>
  <c r="AD74" i="2" s="1"/>
  <c r="AD69" i="2"/>
  <c r="AD70" i="2" s="1"/>
  <c r="AD71" i="2" s="1"/>
  <c r="AD60" i="2"/>
  <c r="AD61" i="2" s="1"/>
  <c r="AD62" i="2" s="1"/>
  <c r="AD48" i="2"/>
  <c r="AD49" i="2" s="1"/>
  <c r="AD50" i="2" s="1"/>
  <c r="AD36" i="2"/>
  <c r="AD37" i="2" s="1"/>
  <c r="AD38" i="2" s="1"/>
  <c r="AD30" i="2"/>
  <c r="AD31" i="2" s="1"/>
  <c r="AD32" i="2" s="1"/>
  <c r="AD21" i="2"/>
  <c r="AD22" i="2" s="1"/>
  <c r="AD23" i="2" s="1"/>
  <c r="P20" i="2"/>
  <c r="P28" i="2"/>
  <c r="P44" i="2"/>
  <c r="P52" i="2"/>
  <c r="N18" i="2"/>
  <c r="AD18" i="2" s="1"/>
  <c r="AD19" i="2" s="1"/>
  <c r="AD20" i="2" s="1"/>
  <c r="N19" i="2"/>
  <c r="O19" i="2" s="1"/>
  <c r="P19" i="2" s="1"/>
  <c r="N20" i="2"/>
  <c r="N21" i="2"/>
  <c r="N22" i="2"/>
  <c r="N23" i="2"/>
  <c r="O23" i="2" s="1"/>
  <c r="P23" i="2" s="1"/>
  <c r="N24" i="2"/>
  <c r="AD24" i="2" s="1"/>
  <c r="N25" i="2"/>
  <c r="N26" i="2"/>
  <c r="N27" i="2"/>
  <c r="AD27" i="2" s="1"/>
  <c r="AD28" i="2" s="1"/>
  <c r="AD29" i="2" s="1"/>
  <c r="N28" i="2"/>
  <c r="N29" i="2"/>
  <c r="N30" i="2"/>
  <c r="N31" i="2"/>
  <c r="O31" i="2" s="1"/>
  <c r="P31" i="2" s="1"/>
  <c r="N32" i="2"/>
  <c r="N33" i="2"/>
  <c r="AD33" i="2" s="1"/>
  <c r="AD34" i="2" s="1"/>
  <c r="AD35" i="2" s="1"/>
  <c r="N34" i="2"/>
  <c r="N35" i="2"/>
  <c r="O35" i="2" s="1"/>
  <c r="P35" i="2" s="1"/>
  <c r="N36" i="2"/>
  <c r="N37" i="2"/>
  <c r="N38" i="2"/>
  <c r="N39" i="2"/>
  <c r="AD39" i="2" s="1"/>
  <c r="AD40" i="2" s="1"/>
  <c r="AD41" i="2" s="1"/>
  <c r="N40" i="2"/>
  <c r="N41" i="2"/>
  <c r="N42" i="2"/>
  <c r="AD42" i="2" s="1"/>
  <c r="AD43" i="2" s="1"/>
  <c r="AD44" i="2" s="1"/>
  <c r="N43" i="2"/>
  <c r="O43" i="2" s="1"/>
  <c r="P43" i="2" s="1"/>
  <c r="N44" i="2"/>
  <c r="N45" i="2"/>
  <c r="N46" i="2"/>
  <c r="N47" i="2"/>
  <c r="O47" i="2" s="1"/>
  <c r="P47" i="2" s="1"/>
  <c r="N48" i="2"/>
  <c r="N49" i="2"/>
  <c r="N50" i="2"/>
  <c r="N51" i="2"/>
  <c r="AD51" i="2" s="1"/>
  <c r="AD52" i="2" s="1"/>
  <c r="AD53" i="2" s="1"/>
  <c r="N52" i="2"/>
  <c r="N53" i="2"/>
  <c r="N54" i="2"/>
  <c r="AD54" i="2" s="1"/>
  <c r="AD55" i="2" s="1"/>
  <c r="AD56" i="2" s="1"/>
  <c r="N55" i="2"/>
  <c r="O55" i="2" s="1"/>
  <c r="P55" i="2" s="1"/>
  <c r="N56" i="2"/>
  <c r="N57" i="2"/>
  <c r="AD57" i="2" s="1"/>
  <c r="AD58" i="2" s="1"/>
  <c r="AD59" i="2" s="1"/>
  <c r="N58" i="2"/>
  <c r="N59" i="2"/>
  <c r="O59" i="2" s="1"/>
  <c r="P59" i="2" s="1"/>
  <c r="N60" i="2"/>
  <c r="N61" i="2"/>
  <c r="N62" i="2"/>
  <c r="N63" i="2"/>
  <c r="AD63" i="2" s="1"/>
  <c r="AD64" i="2" s="1"/>
  <c r="AD65" i="2" s="1"/>
  <c r="N64" i="2"/>
  <c r="N65" i="2"/>
  <c r="N66" i="2"/>
  <c r="AD66" i="2" s="1"/>
  <c r="AD67" i="2" s="1"/>
  <c r="AD68" i="2" s="1"/>
  <c r="N67" i="2"/>
  <c r="O67" i="2" s="1"/>
  <c r="P67" i="2" s="1"/>
  <c r="N68" i="2"/>
  <c r="N69" i="2"/>
  <c r="N70" i="2"/>
  <c r="N71" i="2"/>
  <c r="O71" i="2" s="1"/>
  <c r="P71" i="2" s="1"/>
  <c r="N72" i="2"/>
  <c r="N73" i="2"/>
  <c r="N74" i="2"/>
  <c r="N75" i="2"/>
  <c r="AD75" i="2" s="1"/>
  <c r="N76" i="2"/>
  <c r="N77" i="2"/>
  <c r="N78" i="2"/>
  <c r="AD78" i="2" s="1"/>
  <c r="AD79" i="2" s="1"/>
  <c r="N79" i="2"/>
  <c r="O79" i="2" s="1"/>
  <c r="P79" i="2" s="1"/>
  <c r="N80" i="2"/>
  <c r="N81" i="2"/>
  <c r="N82" i="2"/>
  <c r="N83" i="2"/>
  <c r="O83" i="2" s="1"/>
  <c r="P83" i="2" s="1"/>
  <c r="N84" i="2"/>
  <c r="N85" i="2"/>
  <c r="N86" i="2"/>
  <c r="N87" i="2"/>
  <c r="AD87" i="2" s="1"/>
  <c r="AD88" i="2" s="1"/>
  <c r="AD89" i="2" s="1"/>
  <c r="N88" i="2"/>
  <c r="N89" i="2"/>
  <c r="N90" i="2"/>
  <c r="AD90" i="2" s="1"/>
  <c r="AD91" i="2" s="1"/>
  <c r="AD92" i="2" s="1"/>
  <c r="N91" i="2"/>
  <c r="N92" i="2"/>
  <c r="N93" i="2"/>
  <c r="N94" i="2"/>
  <c r="N95" i="2"/>
  <c r="O95" i="2" s="1"/>
  <c r="P95" i="2" s="1"/>
  <c r="N96" i="2"/>
  <c r="N97" i="2"/>
  <c r="N98" i="2"/>
  <c r="N99" i="2"/>
  <c r="AD99" i="2" s="1"/>
  <c r="AD100" i="2" s="1"/>
  <c r="AD101" i="2" s="1"/>
  <c r="N100" i="2"/>
  <c r="N101" i="2"/>
  <c r="L9" i="2"/>
  <c r="L10" i="2"/>
  <c r="L11" i="2"/>
  <c r="L12" i="2"/>
  <c r="L13" i="2"/>
  <c r="L14" i="2"/>
  <c r="L15" i="2"/>
  <c r="L16" i="2"/>
  <c r="L17" i="2"/>
  <c r="L18" i="2"/>
  <c r="O18" i="2" s="1"/>
  <c r="P18" i="2" s="1"/>
  <c r="L19" i="2"/>
  <c r="L20" i="2"/>
  <c r="O20" i="2" s="1"/>
  <c r="L21" i="2"/>
  <c r="O21" i="2" s="1"/>
  <c r="P21" i="2" s="1"/>
  <c r="L22" i="2"/>
  <c r="O22" i="2" s="1"/>
  <c r="P22" i="2" s="1"/>
  <c r="L23" i="2"/>
  <c r="L24" i="2"/>
  <c r="L25" i="2"/>
  <c r="O25" i="2" s="1"/>
  <c r="P25" i="2" s="1"/>
  <c r="L26" i="2"/>
  <c r="O26" i="2" s="1"/>
  <c r="P26" i="2" s="1"/>
  <c r="L27" i="2"/>
  <c r="L28" i="2"/>
  <c r="O28" i="2" s="1"/>
  <c r="L29" i="2"/>
  <c r="O29" i="2" s="1"/>
  <c r="P29" i="2" s="1"/>
  <c r="L30" i="2"/>
  <c r="L31" i="2"/>
  <c r="L32" i="2"/>
  <c r="O32" i="2" s="1"/>
  <c r="P32" i="2" s="1"/>
  <c r="L33" i="2"/>
  <c r="L34" i="2"/>
  <c r="O34" i="2" s="1"/>
  <c r="P34" i="2" s="1"/>
  <c r="L35" i="2"/>
  <c r="L36" i="2"/>
  <c r="L37" i="2"/>
  <c r="O37" i="2" s="1"/>
  <c r="P37" i="2" s="1"/>
  <c r="L38" i="2"/>
  <c r="O38" i="2" s="1"/>
  <c r="P38" i="2" s="1"/>
  <c r="L39" i="2"/>
  <c r="L40" i="2"/>
  <c r="O40" i="2" s="1"/>
  <c r="P40" i="2" s="1"/>
  <c r="L41" i="2"/>
  <c r="O41" i="2" s="1"/>
  <c r="P41" i="2" s="1"/>
  <c r="L42" i="2"/>
  <c r="L43" i="2"/>
  <c r="L44" i="2"/>
  <c r="O44" i="2" s="1"/>
  <c r="L45" i="2"/>
  <c r="O45" i="2" s="1"/>
  <c r="P45" i="2" s="1"/>
  <c r="L46" i="2"/>
  <c r="O46" i="2" s="1"/>
  <c r="P46" i="2" s="1"/>
  <c r="L47" i="2"/>
  <c r="L48" i="2"/>
  <c r="L49" i="2"/>
  <c r="O49" i="2" s="1"/>
  <c r="P49" i="2" s="1"/>
  <c r="L50" i="2"/>
  <c r="O50" i="2" s="1"/>
  <c r="P50" i="2" s="1"/>
  <c r="L51" i="2"/>
  <c r="L52" i="2"/>
  <c r="O52" i="2" s="1"/>
  <c r="L53" i="2"/>
  <c r="O53" i="2" s="1"/>
  <c r="P53" i="2" s="1"/>
  <c r="L54" i="2"/>
  <c r="L55" i="2"/>
  <c r="L56" i="2"/>
  <c r="O56" i="2" s="1"/>
  <c r="P56" i="2" s="1"/>
  <c r="L57" i="2"/>
  <c r="O57" i="2" s="1"/>
  <c r="P57" i="2" s="1"/>
  <c r="L58" i="2"/>
  <c r="K58" i="2" s="1"/>
  <c r="L59" i="2"/>
  <c r="K59" i="2" s="1"/>
  <c r="L60" i="2"/>
  <c r="K60" i="2" s="1"/>
  <c r="L61" i="2"/>
  <c r="O61" i="2" s="1"/>
  <c r="P61" i="2" s="1"/>
  <c r="L62" i="2"/>
  <c r="K62" i="2" s="1"/>
  <c r="L63" i="2"/>
  <c r="K63" i="2" s="1"/>
  <c r="L64" i="2"/>
  <c r="K64" i="2" s="1"/>
  <c r="L65" i="2"/>
  <c r="O65" i="2" s="1"/>
  <c r="P65" i="2" s="1"/>
  <c r="L66" i="2"/>
  <c r="K66" i="2" s="1"/>
  <c r="L67" i="2"/>
  <c r="L68" i="2"/>
  <c r="K68" i="2" s="1"/>
  <c r="L69" i="2"/>
  <c r="L70" i="2"/>
  <c r="K70" i="2" s="1"/>
  <c r="L71" i="2"/>
  <c r="L72" i="2"/>
  <c r="O72" i="2" s="1"/>
  <c r="P72" i="2" s="1"/>
  <c r="L73" i="2"/>
  <c r="O73" i="2" s="1"/>
  <c r="P73" i="2" s="1"/>
  <c r="L74" i="2"/>
  <c r="O74" i="2" s="1"/>
  <c r="P74" i="2" s="1"/>
  <c r="L75" i="2"/>
  <c r="L76" i="2"/>
  <c r="K76" i="2" s="1"/>
  <c r="L77" i="2"/>
  <c r="O77" i="2" s="1"/>
  <c r="P77" i="2" s="1"/>
  <c r="L78" i="2"/>
  <c r="K78" i="2" s="1"/>
  <c r="L79" i="2"/>
  <c r="L80" i="2"/>
  <c r="K80" i="2" s="1"/>
  <c r="L81" i="2"/>
  <c r="L82" i="2"/>
  <c r="O82" i="2" s="1"/>
  <c r="P82" i="2" s="1"/>
  <c r="L83" i="2"/>
  <c r="L84" i="2"/>
  <c r="K84" i="2" s="1"/>
  <c r="L85" i="2"/>
  <c r="L86" i="2"/>
  <c r="K86" i="2" s="1"/>
  <c r="L87" i="2"/>
  <c r="L88" i="2"/>
  <c r="K88" i="2" s="1"/>
  <c r="L89" i="2"/>
  <c r="L90" i="2"/>
  <c r="K90" i="2" s="1"/>
  <c r="L91" i="2"/>
  <c r="L92" i="2"/>
  <c r="K92" i="2" s="1"/>
  <c r="L93" i="2"/>
  <c r="O93" i="2" s="1"/>
  <c r="P93" i="2" s="1"/>
  <c r="L94" i="2"/>
  <c r="K94" i="2" s="1"/>
  <c r="L95" i="2"/>
  <c r="L96" i="2"/>
  <c r="K96" i="2" s="1"/>
  <c r="L97" i="2"/>
  <c r="O97" i="2" s="1"/>
  <c r="P97" i="2" s="1"/>
  <c r="L98" i="2"/>
  <c r="K98" i="2" s="1"/>
  <c r="L99" i="2"/>
  <c r="K99" i="2" s="1"/>
  <c r="L100" i="2"/>
  <c r="K100" i="2" s="1"/>
  <c r="L101" i="2"/>
  <c r="K97" i="2"/>
  <c r="K75" i="2"/>
  <c r="K79" i="2"/>
  <c r="K81" i="2"/>
  <c r="K83" i="2"/>
  <c r="K87" i="2"/>
  <c r="K91" i="2"/>
  <c r="K95" i="2"/>
  <c r="K69" i="2"/>
  <c r="K71" i="2"/>
  <c r="K72" i="2"/>
  <c r="K73" i="2"/>
  <c r="K67" i="2"/>
  <c r="K65" i="2"/>
  <c r="K61" i="2"/>
  <c r="AH22" i="12"/>
  <c r="AH23" i="12"/>
  <c r="AG22" i="12"/>
  <c r="AG23" i="12"/>
  <c r="AG24" i="12"/>
  <c r="AH21" i="12"/>
  <c r="AH18" i="12"/>
  <c r="AH15" i="12"/>
  <c r="AH13" i="12"/>
  <c r="AH14" i="12"/>
  <c r="AH12" i="12"/>
  <c r="AJ12" i="12" s="1"/>
  <c r="AH8" i="12"/>
  <c r="AH9" i="12"/>
  <c r="AH10" i="12"/>
  <c r="AJ10" i="12" s="1"/>
  <c r="AH11" i="12"/>
  <c r="AJ11" i="12" s="1"/>
  <c r="AH7" i="12"/>
  <c r="AJ14" i="12"/>
  <c r="AJ13" i="12"/>
  <c r="AJ7" i="12"/>
  <c r="AJ8" i="12"/>
  <c r="AJ9" i="12"/>
  <c r="AJ15" i="12"/>
  <c r="AJ18" i="12"/>
  <c r="AK18" i="12" s="1"/>
  <c r="AJ22" i="12"/>
  <c r="AK22" i="12" s="1"/>
  <c r="AL22" i="12" s="1"/>
  <c r="AJ23" i="12"/>
  <c r="AK23" i="12" s="1"/>
  <c r="AL23" i="12" s="1"/>
  <c r="AJ21" i="12"/>
  <c r="V7" i="12"/>
  <c r="AG7" i="12" s="1"/>
  <c r="V8" i="12"/>
  <c r="V9" i="12"/>
  <c r="V10" i="12"/>
  <c r="V11" i="12"/>
  <c r="AG11" i="12" s="1"/>
  <c r="V12" i="12"/>
  <c r="V13" i="12"/>
  <c r="V14" i="12"/>
  <c r="AK14" i="12" s="1"/>
  <c r="V15" i="12"/>
  <c r="AK17" i="12"/>
  <c r="V18" i="12"/>
  <c r="V23" i="12"/>
  <c r="V24" i="12"/>
  <c r="AH24" i="12" s="1"/>
  <c r="AJ24" i="12" s="1"/>
  <c r="AK24" i="12" s="1"/>
  <c r="V22" i="12"/>
  <c r="AG8" i="12"/>
  <c r="AG9" i="12"/>
  <c r="AG10" i="12"/>
  <c r="AK15" i="12"/>
  <c r="AK16" i="12"/>
  <c r="AK13" i="12"/>
  <c r="AK12" i="12"/>
  <c r="AK10" i="12"/>
  <c r="AK8" i="12"/>
  <c r="AK9" i="12"/>
  <c r="P23" i="12"/>
  <c r="P24" i="12"/>
  <c r="P22" i="12"/>
  <c r="P21" i="12"/>
  <c r="M24" i="12"/>
  <c r="M23" i="12"/>
  <c r="M22" i="12"/>
  <c r="M21" i="12"/>
  <c r="L24" i="12"/>
  <c r="L22" i="12"/>
  <c r="L23" i="12"/>
  <c r="L21" i="12"/>
  <c r="AN24" i="12"/>
  <c r="AF24" i="12"/>
  <c r="AD24" i="12"/>
  <c r="AB24" i="12"/>
  <c r="Z24" i="12"/>
  <c r="X24" i="12"/>
  <c r="Q24" i="12"/>
  <c r="O24" i="12"/>
  <c r="AN23" i="12"/>
  <c r="AF23" i="12"/>
  <c r="AD23" i="12"/>
  <c r="AB23" i="12"/>
  <c r="Z23" i="12"/>
  <c r="X23" i="12"/>
  <c r="Q23" i="12"/>
  <c r="O23" i="12"/>
  <c r="AN22" i="12"/>
  <c r="AF22" i="12"/>
  <c r="AD22" i="12"/>
  <c r="AB22" i="12"/>
  <c r="Z22" i="12"/>
  <c r="X22" i="12"/>
  <c r="Q22" i="12"/>
  <c r="O22" i="12"/>
  <c r="AN21" i="12"/>
  <c r="AF21" i="12"/>
  <c r="AD21" i="12"/>
  <c r="AB21" i="12"/>
  <c r="Z21" i="12"/>
  <c r="AG21" i="12" s="1"/>
  <c r="X21" i="12"/>
  <c r="V21" i="12"/>
  <c r="Q21" i="12"/>
  <c r="O21" i="12"/>
  <c r="O18" i="12"/>
  <c r="O15" i="12"/>
  <c r="O14" i="12"/>
  <c r="O7" i="12"/>
  <c r="O8" i="12"/>
  <c r="O9" i="12"/>
  <c r="O10" i="12"/>
  <c r="O11" i="12"/>
  <c r="O12" i="12"/>
  <c r="L18" i="12"/>
  <c r="M18" i="12" s="1"/>
  <c r="P18" i="12" s="1"/>
  <c r="Q18" i="12" s="1"/>
  <c r="L15" i="12"/>
  <c r="L14" i="12"/>
  <c r="L13" i="12"/>
  <c r="L12" i="12"/>
  <c r="L11" i="12"/>
  <c r="M11" i="12" s="1"/>
  <c r="L10" i="12"/>
  <c r="M10" i="12" s="1"/>
  <c r="L8" i="12"/>
  <c r="L9" i="12"/>
  <c r="L7" i="12"/>
  <c r="M7" i="12"/>
  <c r="P7" i="12" s="1"/>
  <c r="Q7" i="12" s="1"/>
  <c r="AN11" i="12"/>
  <c r="I10" i="12"/>
  <c r="M15" i="12"/>
  <c r="P15" i="12" s="1"/>
  <c r="Q15" i="12" s="1"/>
  <c r="M8" i="12"/>
  <c r="M9" i="12"/>
  <c r="P9" i="12" s="1"/>
  <c r="Q9" i="12" s="1"/>
  <c r="Q11" i="12"/>
  <c r="O91" i="2" l="1"/>
  <c r="P91" i="2" s="1"/>
  <c r="O63" i="2"/>
  <c r="P63" i="2" s="1"/>
  <c r="O85" i="2"/>
  <c r="P85" i="2" s="1"/>
  <c r="K85" i="2"/>
  <c r="O69" i="2"/>
  <c r="P69" i="2" s="1"/>
  <c r="O33" i="2"/>
  <c r="P33" i="2" s="1"/>
  <c r="O86" i="2"/>
  <c r="P86" i="2" s="1"/>
  <c r="O62" i="2"/>
  <c r="P62" i="2" s="1"/>
  <c r="K93" i="2"/>
  <c r="K77" i="2"/>
  <c r="O99" i="2"/>
  <c r="P99" i="2" s="1"/>
  <c r="O75" i="2"/>
  <c r="P75" i="2" s="1"/>
  <c r="O51" i="2"/>
  <c r="P51" i="2" s="1"/>
  <c r="O27" i="2"/>
  <c r="P27" i="2" s="1"/>
  <c r="AD82" i="2"/>
  <c r="AD83" i="2" s="1"/>
  <c r="AE81" i="2"/>
  <c r="AE78" i="2"/>
  <c r="AD76" i="2"/>
  <c r="AD77" i="2" s="1"/>
  <c r="AE75" i="2"/>
  <c r="O87" i="2"/>
  <c r="P87" i="2" s="1"/>
  <c r="O39" i="2"/>
  <c r="P39" i="2" s="1"/>
  <c r="O101" i="2"/>
  <c r="P101" i="2" s="1"/>
  <c r="K101" i="2"/>
  <c r="K89" i="2"/>
  <c r="O89" i="2"/>
  <c r="P89" i="2" s="1"/>
  <c r="O81" i="2"/>
  <c r="P81" i="2" s="1"/>
  <c r="O94" i="2"/>
  <c r="P94" i="2" s="1"/>
  <c r="O78" i="2"/>
  <c r="P78" i="2" s="1"/>
  <c r="O70" i="2"/>
  <c r="P70" i="2" s="1"/>
  <c r="O54" i="2"/>
  <c r="P54" i="2" s="1"/>
  <c r="O30" i="2"/>
  <c r="P30" i="2" s="1"/>
  <c r="K74" i="2"/>
  <c r="K82" i="2"/>
  <c r="O98" i="2"/>
  <c r="P98" i="2" s="1"/>
  <c r="O90" i="2"/>
  <c r="P90" i="2" s="1"/>
  <c r="O66" i="2"/>
  <c r="P66" i="2" s="1"/>
  <c r="O58" i="2"/>
  <c r="P58" i="2" s="1"/>
  <c r="O42" i="2"/>
  <c r="P42" i="2" s="1"/>
  <c r="AB12" i="2"/>
  <c r="AB13" i="2" s="1"/>
  <c r="O100" i="2"/>
  <c r="P100" i="2" s="1"/>
  <c r="O96" i="2"/>
  <c r="P96" i="2" s="1"/>
  <c r="O92" i="2"/>
  <c r="P92" i="2" s="1"/>
  <c r="O88" i="2"/>
  <c r="P88" i="2" s="1"/>
  <c r="O84" i="2"/>
  <c r="P84" i="2" s="1"/>
  <c r="O80" i="2"/>
  <c r="P80" i="2" s="1"/>
  <c r="O76" i="2"/>
  <c r="P76" i="2" s="1"/>
  <c r="O68" i="2"/>
  <c r="P68" i="2" s="1"/>
  <c r="O64" i="2"/>
  <c r="P64" i="2" s="1"/>
  <c r="O60" i="2"/>
  <c r="P60" i="2" s="1"/>
  <c r="O48" i="2"/>
  <c r="P48" i="2" s="1"/>
  <c r="O36" i="2"/>
  <c r="P36" i="2" s="1"/>
  <c r="O24" i="2"/>
  <c r="P24" i="2" s="1"/>
  <c r="AE87" i="2"/>
  <c r="AE99" i="2"/>
  <c r="AE90" i="2"/>
  <c r="AE93" i="2"/>
  <c r="AE84" i="2"/>
  <c r="AE96" i="2"/>
  <c r="AL24" i="12"/>
  <c r="AK21" i="12"/>
  <c r="AL21" i="12" s="1"/>
  <c r="AK7" i="12"/>
  <c r="AK11" i="12"/>
  <c r="P8" i="12"/>
  <c r="Q8" i="12" s="1"/>
  <c r="P10" i="12"/>
  <c r="Q10" i="12" s="1"/>
  <c r="AE48" i="14" l="1"/>
  <c r="AE49" i="14" s="1"/>
  <c r="AE50" i="14" s="1"/>
  <c r="AE45" i="14"/>
  <c r="AE46" i="14" s="1"/>
  <c r="AE47" i="14" s="1"/>
  <c r="AE42" i="14"/>
  <c r="AE43" i="14" s="1"/>
  <c r="AE44" i="14" s="1"/>
  <c r="AE39" i="14"/>
  <c r="AE40" i="14" s="1"/>
  <c r="AE41" i="14" s="1"/>
  <c r="AE36" i="14"/>
  <c r="AE37" i="14" s="1"/>
  <c r="AE38" i="14" s="1"/>
  <c r="AE34" i="14"/>
  <c r="AE35" i="14" s="1"/>
  <c r="AE33" i="14"/>
  <c r="AE31" i="14"/>
  <c r="AE32" i="14" s="1"/>
  <c r="AE30" i="14"/>
  <c r="AE28" i="14"/>
  <c r="AE29" i="14" s="1"/>
  <c r="AE27" i="14"/>
  <c r="AE24" i="14"/>
  <c r="AE25" i="14" s="1"/>
  <c r="AE26" i="14" s="1"/>
  <c r="AE22" i="14"/>
  <c r="AE23" i="14" s="1"/>
  <c r="AE21" i="14"/>
  <c r="AE18" i="14"/>
  <c r="AE19" i="14" s="1"/>
  <c r="AE20" i="14" s="1"/>
  <c r="AF24" i="14" l="1"/>
  <c r="AF27" i="14" l="1"/>
  <c r="AF30" i="14" l="1"/>
  <c r="Y23" i="14"/>
  <c r="Y24" i="14"/>
  <c r="Y25" i="14"/>
  <c r="Y26" i="14"/>
  <c r="Y27" i="14"/>
  <c r="Y28" i="14"/>
  <c r="Y29" i="14"/>
  <c r="Y30" i="14"/>
  <c r="Y31" i="14"/>
  <c r="Y32" i="14"/>
  <c r="Y33" i="14"/>
  <c r="X23" i="14"/>
  <c r="X24" i="14"/>
  <c r="X25" i="14"/>
  <c r="X26" i="14"/>
  <c r="X27" i="14"/>
  <c r="X28" i="14"/>
  <c r="X29" i="14"/>
  <c r="X30" i="14"/>
  <c r="X31" i="14"/>
  <c r="X32" i="14"/>
  <c r="X33" i="14"/>
  <c r="X34" i="14"/>
  <c r="X35" i="14"/>
  <c r="X36" i="14"/>
  <c r="Y36" i="14" s="1"/>
  <c r="X37" i="14"/>
  <c r="Y37" i="14" s="1"/>
  <c r="X38" i="14"/>
  <c r="Y38" i="14" s="1"/>
  <c r="X39" i="14"/>
  <c r="Y39" i="14" s="1"/>
  <c r="X40" i="14"/>
  <c r="Y40" i="14" s="1"/>
  <c r="X41" i="14"/>
  <c r="Y41" i="14" s="1"/>
  <c r="X42" i="14"/>
  <c r="Y42" i="14" s="1"/>
  <c r="X43" i="14"/>
  <c r="Y43" i="14" s="1"/>
  <c r="X44" i="14"/>
  <c r="Y44" i="14" s="1"/>
  <c r="X45" i="14"/>
  <c r="Y45" i="14" s="1"/>
  <c r="X46" i="14"/>
  <c r="Y46" i="14" s="1"/>
  <c r="X47" i="14"/>
  <c r="Y47" i="14" s="1"/>
  <c r="X48" i="14"/>
  <c r="Y48" i="14" s="1"/>
  <c r="X49" i="14"/>
  <c r="Y49" i="14" s="1"/>
  <c r="X50" i="14"/>
  <c r="Y50" i="14" s="1"/>
  <c r="AC48" i="14"/>
  <c r="AC24" i="14"/>
  <c r="AC16" i="14"/>
  <c r="Y20" i="14"/>
  <c r="X21" i="14"/>
  <c r="X22" i="14"/>
  <c r="O39" i="14"/>
  <c r="O40" i="14"/>
  <c r="O41" i="14"/>
  <c r="O42" i="14"/>
  <c r="O43" i="14"/>
  <c r="O44" i="14"/>
  <c r="O36" i="14"/>
  <c r="O37" i="14"/>
  <c r="O38" i="14"/>
  <c r="O18" i="14"/>
  <c r="O19" i="14"/>
  <c r="O20" i="14"/>
  <c r="O21" i="14"/>
  <c r="AF21" i="14" s="1"/>
  <c r="O22" i="14"/>
  <c r="O23" i="14"/>
  <c r="O24" i="14"/>
  <c r="O25" i="14"/>
  <c r="O26" i="14"/>
  <c r="O27" i="14"/>
  <c r="O28" i="14"/>
  <c r="O29" i="14"/>
  <c r="O30" i="14"/>
  <c r="O31" i="14"/>
  <c r="O32" i="14"/>
  <c r="O33" i="14"/>
  <c r="O34" i="14"/>
  <c r="O35" i="14"/>
  <c r="Q22" i="14"/>
  <c r="Q23" i="14"/>
  <c r="Q25" i="14"/>
  <c r="Q26" i="14"/>
  <c r="Q45" i="14"/>
  <c r="Q46" i="14"/>
  <c r="Q47" i="14"/>
  <c r="Q48" i="14"/>
  <c r="Q49" i="14"/>
  <c r="Q50" i="14"/>
  <c r="M18" i="14"/>
  <c r="M19" i="14"/>
  <c r="M20" i="14"/>
  <c r="L20" i="14" s="1"/>
  <c r="M21" i="14"/>
  <c r="L21" i="14" s="1"/>
  <c r="M22" i="14"/>
  <c r="M23" i="14"/>
  <c r="M24" i="14"/>
  <c r="M25" i="14"/>
  <c r="L25" i="14" s="1"/>
  <c r="M26" i="14"/>
  <c r="L26" i="14" s="1"/>
  <c r="M27" i="14"/>
  <c r="L27" i="14" s="1"/>
  <c r="M28" i="14"/>
  <c r="L28" i="14" s="1"/>
  <c r="M29" i="14"/>
  <c r="L29" i="14" s="1"/>
  <c r="M30" i="14"/>
  <c r="M31" i="14"/>
  <c r="M32" i="14"/>
  <c r="L32" i="14" s="1"/>
  <c r="M33" i="14"/>
  <c r="L33" i="14" s="1"/>
  <c r="M34" i="14"/>
  <c r="M35" i="14"/>
  <c r="M36" i="14"/>
  <c r="P36" i="14" s="1"/>
  <c r="Q36" i="14" s="1"/>
  <c r="M37" i="14"/>
  <c r="L37" i="14" s="1"/>
  <c r="M38" i="14"/>
  <c r="L38" i="14" s="1"/>
  <c r="M39" i="14"/>
  <c r="P39" i="14" s="1"/>
  <c r="Q39" i="14" s="1"/>
  <c r="M40" i="14"/>
  <c r="L40" i="14" s="1"/>
  <c r="M41" i="14"/>
  <c r="L41" i="14" s="1"/>
  <c r="M42" i="14"/>
  <c r="P42" i="14" s="1"/>
  <c r="Q42" i="14" s="1"/>
  <c r="M43" i="14"/>
  <c r="P43" i="14" s="1"/>
  <c r="Q43" i="14" s="1"/>
  <c r="M44" i="14"/>
  <c r="P44" i="14" s="1"/>
  <c r="Q44" i="14" s="1"/>
  <c r="M45" i="14"/>
  <c r="L45" i="14" s="1"/>
  <c r="M46" i="14"/>
  <c r="M47" i="14"/>
  <c r="M48" i="14"/>
  <c r="L48" i="14" s="1"/>
  <c r="M49" i="14"/>
  <c r="L49" i="14" s="1"/>
  <c r="M50" i="14"/>
  <c r="L50" i="14" s="1"/>
  <c r="L18" i="14"/>
  <c r="L19" i="14"/>
  <c r="L22" i="14"/>
  <c r="L23" i="14"/>
  <c r="L24" i="14"/>
  <c r="L30" i="14"/>
  <c r="L31" i="14"/>
  <c r="L34" i="14"/>
  <c r="L35" i="14"/>
  <c r="L36" i="14"/>
  <c r="L46" i="14"/>
  <c r="L47" i="14"/>
  <c r="X96" i="2"/>
  <c r="AB96" i="2" s="1"/>
  <c r="AB97" i="2" s="1"/>
  <c r="AB98" i="2" s="1"/>
  <c r="X99" i="2"/>
  <c r="AB99" i="2" s="1"/>
  <c r="AB100" i="2" s="1"/>
  <c r="AB101" i="2" s="1"/>
  <c r="AC99" i="2" s="1"/>
  <c r="AF99" i="2" s="1"/>
  <c r="AG99" i="2" s="1"/>
  <c r="AH99" i="2" s="1"/>
  <c r="AC96" i="2"/>
  <c r="AF96" i="2" s="1"/>
  <c r="AG96" i="2" s="1"/>
  <c r="AH96" i="2" s="1"/>
  <c r="H93" i="2"/>
  <c r="X93" i="2" l="1"/>
  <c r="AB93" i="2" s="1"/>
  <c r="AB94" i="2" s="1"/>
  <c r="AB95" i="2" s="1"/>
  <c r="AC39" i="14"/>
  <c r="AC40" i="14" s="1"/>
  <c r="AC41" i="14" s="1"/>
  <c r="AD39" i="14" s="1"/>
  <c r="L42" i="14"/>
  <c r="P38" i="14"/>
  <c r="Q38" i="14" s="1"/>
  <c r="AC42" i="14"/>
  <c r="AC43" i="14" s="1"/>
  <c r="AC44" i="14" s="1"/>
  <c r="AD42" i="14" s="1"/>
  <c r="AC36" i="14"/>
  <c r="AC37" i="14" s="1"/>
  <c r="AC38" i="14" s="1"/>
  <c r="AD36" i="14" s="1"/>
  <c r="AC45" i="14"/>
  <c r="AC46" i="14" s="1"/>
  <c r="AC47" i="14" s="1"/>
  <c r="AD45" i="14" s="1"/>
  <c r="AF33" i="14"/>
  <c r="AC25" i="14"/>
  <c r="AC26" i="14" s="1"/>
  <c r="AD24" i="14" s="1"/>
  <c r="AG24" i="14" s="1"/>
  <c r="AC49" i="14"/>
  <c r="AC50" i="14" s="1"/>
  <c r="AD48" i="14" s="1"/>
  <c r="P40" i="14"/>
  <c r="Q40" i="14" s="1"/>
  <c r="L44" i="14"/>
  <c r="L39" i="14"/>
  <c r="P37" i="14"/>
  <c r="Q37" i="14" s="1"/>
  <c r="L43" i="14"/>
  <c r="P41" i="14"/>
  <c r="Q41" i="14" s="1"/>
  <c r="AC93" i="2" l="1"/>
  <c r="AF93" i="2" s="1"/>
  <c r="AG93" i="2" s="1"/>
  <c r="AH93" i="2" s="1"/>
  <c r="AF36" i="14"/>
  <c r="AG36" i="14" s="1"/>
  <c r="AH36" i="14" s="1"/>
  <c r="AI36" i="14" s="1"/>
  <c r="AJ96" i="2"/>
  <c r="AJ93" i="2" l="1"/>
  <c r="AF39" i="14"/>
  <c r="AG39" i="14" s="1"/>
  <c r="AH39" i="14" s="1"/>
  <c r="AI39" i="14" s="1"/>
  <c r="AJ99" i="2"/>
  <c r="AF42" i="14" l="1"/>
  <c r="AG42" i="14" s="1"/>
  <c r="AH42" i="14" s="1"/>
  <c r="AI42" i="14" s="1"/>
  <c r="AF45" i="14" l="1"/>
  <c r="AG45" i="14" s="1"/>
  <c r="AH45" i="14" s="1"/>
  <c r="AI45" i="14" s="1"/>
  <c r="AF48" i="14"/>
  <c r="AG48" i="14" s="1"/>
  <c r="AH48" i="14" s="1"/>
  <c r="AI48" i="14" s="1"/>
  <c r="X87" i="2" l="1"/>
  <c r="AB87" i="2" s="1"/>
  <c r="AB88" i="2" s="1"/>
  <c r="AB89" i="2" s="1"/>
  <c r="AC87" i="2" s="1"/>
  <c r="AF87" i="2" s="1"/>
  <c r="AG87" i="2" s="1"/>
  <c r="AH87" i="2" s="1"/>
  <c r="X90" i="2"/>
  <c r="AB90" i="2" s="1"/>
  <c r="AB91" i="2" s="1"/>
  <c r="AB92" i="2" s="1"/>
  <c r="H90" i="2"/>
  <c r="H87" i="2"/>
  <c r="AC90" i="2" l="1"/>
  <c r="AF90" i="2" s="1"/>
  <c r="AG90" i="2" s="1"/>
  <c r="AH90" i="2" s="1"/>
  <c r="AJ87" i="2" l="1"/>
  <c r="AJ90" i="2"/>
  <c r="X84" i="2" l="1"/>
  <c r="H84" i="2"/>
  <c r="AB84" i="2" l="1"/>
  <c r="AB85" i="2" s="1"/>
  <c r="AB86" i="2" s="1"/>
  <c r="AC84" i="2" s="1"/>
  <c r="AF84" i="2" s="1"/>
  <c r="AG84" i="2" s="1"/>
  <c r="AH84" i="2" s="1"/>
  <c r="AJ84" i="2" l="1"/>
  <c r="W81" i="2" l="1"/>
  <c r="U81" i="2"/>
  <c r="X81" i="2" s="1"/>
  <c r="AB81" i="2" s="1"/>
  <c r="AB82" i="2" s="1"/>
  <c r="AB83" i="2" s="1"/>
  <c r="AC81" i="2" s="1"/>
  <c r="AF81" i="2" s="1"/>
  <c r="AG81" i="2" s="1"/>
  <c r="AH81" i="2" s="1"/>
  <c r="H81" i="2"/>
  <c r="AJ81" i="2" l="1"/>
  <c r="W78" i="2" l="1"/>
  <c r="W79" i="2"/>
  <c r="W80" i="2"/>
  <c r="X80" i="2" s="1"/>
  <c r="U78" i="2"/>
  <c r="U79" i="2"/>
  <c r="U80" i="2"/>
  <c r="H78" i="2"/>
  <c r="X79" i="2" l="1"/>
  <c r="AD80" i="2"/>
  <c r="X78" i="2"/>
  <c r="AB78" i="2" s="1"/>
  <c r="AB79" i="2" s="1"/>
  <c r="AB80" i="2" s="1"/>
  <c r="AC78" i="2" s="1"/>
  <c r="AF78" i="2" s="1"/>
  <c r="AG78" i="2" s="1"/>
  <c r="AJ78" i="2" l="1"/>
  <c r="AH78" i="2"/>
  <c r="W75" i="2"/>
  <c r="W76" i="2"/>
  <c r="U75" i="2"/>
  <c r="X75" i="2" s="1"/>
  <c r="AB75" i="2" s="1"/>
  <c r="AB76" i="2" s="1"/>
  <c r="AB77" i="2" s="1"/>
  <c r="AC75" i="2" s="1"/>
  <c r="AF75" i="2" s="1"/>
  <c r="AG75" i="2" s="1"/>
  <c r="AH75" i="2" s="1"/>
  <c r="U76" i="2"/>
  <c r="X76" i="2" s="1"/>
  <c r="AJ75" i="2" l="1"/>
  <c r="AE72" i="2" l="1"/>
  <c r="AE69" i="2"/>
  <c r="AE66" i="2"/>
  <c r="AE57" i="2"/>
  <c r="AE48" i="2"/>
  <c r="X57" i="2"/>
  <c r="AB57" i="2" s="1"/>
  <c r="W57" i="2"/>
  <c r="W58" i="2"/>
  <c r="W59" i="2"/>
  <c r="W60" i="2"/>
  <c r="W62" i="2"/>
  <c r="W63" i="2"/>
  <c r="W64" i="2"/>
  <c r="W65" i="2"/>
  <c r="W66" i="2"/>
  <c r="W67" i="2"/>
  <c r="W68" i="2"/>
  <c r="W69" i="2"/>
  <c r="W70" i="2"/>
  <c r="W71" i="2"/>
  <c r="W72" i="2"/>
  <c r="X72" i="2" s="1"/>
  <c r="AB72" i="2" s="1"/>
  <c r="AB73" i="2" s="1"/>
  <c r="AB74" i="2" s="1"/>
  <c r="AC72" i="2" s="1"/>
  <c r="AF72" i="2" s="1"/>
  <c r="AG72" i="2" s="1"/>
  <c r="AH72" i="2" s="1"/>
  <c r="U63" i="2"/>
  <c r="U64" i="2"/>
  <c r="U65" i="2"/>
  <c r="U66" i="2"/>
  <c r="X66" i="2" s="1"/>
  <c r="AB66" i="2" s="1"/>
  <c r="U67" i="2"/>
  <c r="U68" i="2"/>
  <c r="U69" i="2"/>
  <c r="U70" i="2"/>
  <c r="X70" i="2" s="1"/>
  <c r="U71" i="2"/>
  <c r="U72" i="2"/>
  <c r="U57" i="2"/>
  <c r="U58" i="2"/>
  <c r="U59" i="2"/>
  <c r="U60" i="2"/>
  <c r="U62" i="2"/>
  <c r="X62" i="2" s="1"/>
  <c r="AE63" i="2"/>
  <c r="W7" i="2"/>
  <c r="W9" i="2"/>
  <c r="W10" i="2"/>
  <c r="W12" i="2"/>
  <c r="W13" i="2"/>
  <c r="W14" i="2"/>
  <c r="W15" i="2"/>
  <c r="W16" i="2"/>
  <c r="W17" i="2"/>
  <c r="W18" i="2"/>
  <c r="W19" i="2"/>
  <c r="W21" i="2"/>
  <c r="W24" i="2"/>
  <c r="W25" i="2"/>
  <c r="W27" i="2"/>
  <c r="W28" i="2"/>
  <c r="W30" i="2"/>
  <c r="W31" i="2"/>
  <c r="W33" i="2"/>
  <c r="X33" i="2" s="1"/>
  <c r="AB33" i="2" s="1"/>
  <c r="W34" i="2"/>
  <c r="W36" i="2"/>
  <c r="W37" i="2"/>
  <c r="W39" i="2"/>
  <c r="W40" i="2"/>
  <c r="X40" i="2" s="1"/>
  <c r="W42" i="2"/>
  <c r="W43" i="2"/>
  <c r="W45" i="2"/>
  <c r="W46" i="2"/>
  <c r="W48" i="2"/>
  <c r="W49" i="2"/>
  <c r="W51" i="2"/>
  <c r="W52" i="2"/>
  <c r="W54" i="2"/>
  <c r="W55" i="2"/>
  <c r="U21" i="2"/>
  <c r="U7" i="2"/>
  <c r="X7" i="2" s="1"/>
  <c r="U9" i="2"/>
  <c r="X9" i="2" s="1"/>
  <c r="AB9" i="2" s="1"/>
  <c r="AB10" i="2" s="1"/>
  <c r="AB11" i="2" s="1"/>
  <c r="U10" i="2"/>
  <c r="U12" i="2"/>
  <c r="U13" i="2"/>
  <c r="X13" i="2" s="1"/>
  <c r="U14" i="2"/>
  <c r="X14" i="2" s="1"/>
  <c r="AB14" i="2" s="1"/>
  <c r="U15" i="2"/>
  <c r="U16" i="2"/>
  <c r="U17" i="2"/>
  <c r="X17" i="2" s="1"/>
  <c r="U18" i="2"/>
  <c r="X18" i="2" s="1"/>
  <c r="AB18" i="2" s="1"/>
  <c r="U19" i="2"/>
  <c r="U24" i="2"/>
  <c r="U25" i="2"/>
  <c r="X25" i="2" s="1"/>
  <c r="U27" i="2"/>
  <c r="U28" i="2"/>
  <c r="U30" i="2"/>
  <c r="X30" i="2" s="1"/>
  <c r="AB30" i="2" s="1"/>
  <c r="U31" i="2"/>
  <c r="X31" i="2" s="1"/>
  <c r="U33" i="2"/>
  <c r="U34" i="2"/>
  <c r="U36" i="2"/>
  <c r="X36" i="2" s="1"/>
  <c r="AB36" i="2" s="1"/>
  <c r="U37" i="2"/>
  <c r="X37" i="2" s="1"/>
  <c r="U39" i="2"/>
  <c r="U40" i="2"/>
  <c r="U42" i="2"/>
  <c r="X42" i="2" s="1"/>
  <c r="AB42" i="2" s="1"/>
  <c r="U43" i="2"/>
  <c r="X43" i="2" s="1"/>
  <c r="U45" i="2"/>
  <c r="U46" i="2"/>
  <c r="U48" i="2"/>
  <c r="U49" i="2"/>
  <c r="X49" i="2" s="1"/>
  <c r="U51" i="2"/>
  <c r="U52" i="2"/>
  <c r="U54" i="2"/>
  <c r="X54" i="2" s="1"/>
  <c r="AB54" i="2" s="1"/>
  <c r="U55" i="2"/>
  <c r="X55" i="2" s="1"/>
  <c r="K56" i="2"/>
  <c r="K55" i="2"/>
  <c r="AE54" i="2"/>
  <c r="K54" i="2"/>
  <c r="K53" i="2"/>
  <c r="K52" i="2"/>
  <c r="AE51" i="2"/>
  <c r="K51" i="2"/>
  <c r="K50" i="2"/>
  <c r="K49" i="2"/>
  <c r="K47" i="2"/>
  <c r="K46" i="2"/>
  <c r="AD45" i="2"/>
  <c r="AD46" i="2" s="1"/>
  <c r="AD47" i="2" s="1"/>
  <c r="AE45" i="2" s="1"/>
  <c r="K44" i="2"/>
  <c r="K43" i="2"/>
  <c r="AE42" i="2"/>
  <c r="K41" i="2"/>
  <c r="K40" i="2"/>
  <c r="AE39" i="2"/>
  <c r="K38" i="2"/>
  <c r="K37" i="2"/>
  <c r="AE36" i="2"/>
  <c r="K34" i="2"/>
  <c r="AE33" i="2"/>
  <c r="AB43" i="2" l="1"/>
  <c r="AB44" i="2" s="1"/>
  <c r="AB31" i="2"/>
  <c r="AB32" i="2" s="1"/>
  <c r="X21" i="2"/>
  <c r="AB21" i="2" s="1"/>
  <c r="AB22" i="2" s="1"/>
  <c r="AB23" i="2" s="1"/>
  <c r="AC21" i="2" s="1"/>
  <c r="X52" i="2"/>
  <c r="X46" i="2"/>
  <c r="X34" i="2"/>
  <c r="AB34" i="2" s="1"/>
  <c r="AB35" i="2" s="1"/>
  <c r="AC33" i="2" s="1"/>
  <c r="AF33" i="2" s="1"/>
  <c r="X28" i="2"/>
  <c r="X10" i="2"/>
  <c r="AB55" i="2"/>
  <c r="AB56" i="2" s="1"/>
  <c r="AC54" i="2" s="1"/>
  <c r="AF54" i="2" s="1"/>
  <c r="AG54" i="2" s="1"/>
  <c r="AB37" i="2"/>
  <c r="AB38" i="2" s="1"/>
  <c r="X51" i="2"/>
  <c r="AB51" i="2" s="1"/>
  <c r="AB52" i="2" s="1"/>
  <c r="AB53" i="2" s="1"/>
  <c r="AC51" i="2" s="1"/>
  <c r="AF51" i="2" s="1"/>
  <c r="X45" i="2"/>
  <c r="AB45" i="2" s="1"/>
  <c r="AB46" i="2" s="1"/>
  <c r="AB47" i="2" s="1"/>
  <c r="X39" i="2"/>
  <c r="AB39" i="2" s="1"/>
  <c r="AB40" i="2" s="1"/>
  <c r="AB41" i="2" s="1"/>
  <c r="AC39" i="2" s="1"/>
  <c r="AF39" i="2" s="1"/>
  <c r="AG39" i="2" s="1"/>
  <c r="X27" i="2"/>
  <c r="AB27" i="2" s="1"/>
  <c r="AB19" i="2"/>
  <c r="AB20" i="2" s="1"/>
  <c r="X48" i="2"/>
  <c r="AB48" i="2" s="1"/>
  <c r="AB49" i="2" s="1"/>
  <c r="AB50" i="2" s="1"/>
  <c r="AC48" i="2" s="1"/>
  <c r="AF48" i="2" s="1"/>
  <c r="X24" i="2"/>
  <c r="K48" i="2"/>
  <c r="X16" i="2"/>
  <c r="X19" i="2"/>
  <c r="X15" i="2"/>
  <c r="AB15" i="2" s="1"/>
  <c r="K57" i="2"/>
  <c r="X60" i="2"/>
  <c r="AB60" i="2" s="1"/>
  <c r="AB61" i="2" s="1"/>
  <c r="AB62" i="2" s="1"/>
  <c r="X69" i="2"/>
  <c r="X65" i="2"/>
  <c r="X71" i="2"/>
  <c r="X67" i="2"/>
  <c r="AB67" i="2" s="1"/>
  <c r="AB68" i="2" s="1"/>
  <c r="X63" i="2"/>
  <c r="X58" i="2"/>
  <c r="AB58" i="2" s="1"/>
  <c r="AB59" i="2" s="1"/>
  <c r="AC36" i="2"/>
  <c r="AF36" i="2" s="1"/>
  <c r="AG36" i="2" s="1"/>
  <c r="K36" i="2"/>
  <c r="K42" i="2"/>
  <c r="X12" i="2"/>
  <c r="K33" i="2"/>
  <c r="K35" i="2"/>
  <c r="K39" i="2"/>
  <c r="AC45" i="2"/>
  <c r="AF45" i="2" s="1"/>
  <c r="K45" i="2"/>
  <c r="X59" i="2"/>
  <c r="X68" i="2"/>
  <c r="X64" i="2"/>
  <c r="AC42" i="2"/>
  <c r="AF42" i="2" s="1"/>
  <c r="AE60" i="2"/>
  <c r="AB24" i="2" l="1"/>
  <c r="AB25" i="2" s="1"/>
  <c r="AB26" i="2" s="1"/>
  <c r="AD25" i="2"/>
  <c r="AD26" i="2" s="1"/>
  <c r="AB16" i="2"/>
  <c r="AB17" i="2" s="1"/>
  <c r="AC63" i="2"/>
  <c r="AF63" i="2" s="1"/>
  <c r="AG63" i="2" s="1"/>
  <c r="AH63" i="2" s="1"/>
  <c r="AB63" i="2"/>
  <c r="AB64" i="2" s="1"/>
  <c r="AB65" i="2" s="1"/>
  <c r="AB69" i="2"/>
  <c r="AB70" i="2" s="1"/>
  <c r="AB71" i="2" s="1"/>
  <c r="AC69" i="2" s="1"/>
  <c r="AF69" i="2" s="1"/>
  <c r="AG69" i="2" s="1"/>
  <c r="AH69" i="2" s="1"/>
  <c r="AB28" i="2"/>
  <c r="AB29" i="2" s="1"/>
  <c r="AG51" i="2"/>
  <c r="AH51" i="2" s="1"/>
  <c r="AG48" i="2"/>
  <c r="AH48" i="2" s="1"/>
  <c r="AG45" i="2"/>
  <c r="AH45" i="2" s="1"/>
  <c r="AG42" i="2"/>
  <c r="AH42" i="2" s="1"/>
  <c r="AG33" i="2"/>
  <c r="AH33" i="2" s="1"/>
  <c r="AC66" i="2"/>
  <c r="AF66" i="2" s="1"/>
  <c r="AG66" i="2" s="1"/>
  <c r="AH66" i="2" s="1"/>
  <c r="AH36" i="2"/>
  <c r="AH39" i="2"/>
  <c r="AH54" i="2"/>
  <c r="AC57" i="2" l="1"/>
  <c r="AF57" i="2" s="1"/>
  <c r="AG57" i="2" s="1"/>
  <c r="AH57" i="2" s="1"/>
  <c r="AC60" i="2"/>
  <c r="AF60" i="2" s="1"/>
  <c r="AG60" i="2" s="1"/>
  <c r="AH60" i="2" s="1"/>
  <c r="K22" i="2"/>
  <c r="K23" i="2"/>
  <c r="K25" i="2"/>
  <c r="K26" i="2"/>
  <c r="K27" i="2"/>
  <c r="K28" i="2"/>
  <c r="K29" i="2"/>
  <c r="K31" i="2"/>
  <c r="K32" i="2"/>
  <c r="K10" i="2"/>
  <c r="K11" i="2"/>
  <c r="K12" i="2"/>
  <c r="K13" i="2"/>
  <c r="K14" i="2"/>
  <c r="K15" i="2"/>
  <c r="K16" i="2"/>
  <c r="K17" i="2"/>
  <c r="K19" i="2"/>
  <c r="K20" i="2"/>
  <c r="AE30" i="2"/>
  <c r="H30" i="2"/>
  <c r="AE27" i="2"/>
  <c r="H27" i="2"/>
  <c r="AE24" i="2"/>
  <c r="AE21" i="2"/>
  <c r="AF21" i="2" s="1"/>
  <c r="AG21" i="2" s="1"/>
  <c r="H21" i="2"/>
  <c r="AE18" i="2"/>
  <c r="N17" i="2"/>
  <c r="O17" i="2" s="1"/>
  <c r="P17" i="2" s="1"/>
  <c r="N16" i="2"/>
  <c r="O16" i="2" s="1"/>
  <c r="P16" i="2" s="1"/>
  <c r="N15" i="2"/>
  <c r="AD15" i="2" l="1"/>
  <c r="AD16" i="2" s="1"/>
  <c r="AD17" i="2" s="1"/>
  <c r="O15" i="2"/>
  <c r="P15" i="2" s="1"/>
  <c r="AC18" i="2"/>
  <c r="AF18" i="2" s="1"/>
  <c r="K18" i="2"/>
  <c r="AC30" i="2"/>
  <c r="AF30" i="2" s="1"/>
  <c r="K30" i="2"/>
  <c r="AC9" i="2"/>
  <c r="K9" i="2"/>
  <c r="K21" i="2"/>
  <c r="AC24" i="2"/>
  <c r="AF24" i="2" s="1"/>
  <c r="AG24" i="2" s="1"/>
  <c r="K24" i="2"/>
  <c r="AC15" i="2"/>
  <c r="AC12" i="2"/>
  <c r="AC27" i="2"/>
  <c r="AF27" i="2" s="1"/>
  <c r="AE15" i="2"/>
  <c r="AG18" i="2" l="1"/>
  <c r="AH18" i="2" s="1"/>
  <c r="AG30" i="2"/>
  <c r="AH30" i="2" s="1"/>
  <c r="AG27" i="2"/>
  <c r="AH27" i="2" s="1"/>
  <c r="AH21" i="2"/>
  <c r="AH24" i="2"/>
  <c r="AF15" i="2"/>
  <c r="AG15" i="2" l="1"/>
  <c r="AH15" i="2" s="1"/>
  <c r="I17" i="12"/>
  <c r="I16" i="12"/>
  <c r="I15" i="12"/>
  <c r="AN14" i="12"/>
  <c r="AF14" i="12"/>
  <c r="P14" i="12"/>
  <c r="Q14" i="12" s="1"/>
  <c r="M14" i="12"/>
  <c r="I14" i="12"/>
  <c r="AN13" i="12"/>
  <c r="AF13" i="12"/>
  <c r="O13" i="12"/>
  <c r="P13" i="12" s="1"/>
  <c r="Q13" i="12" s="1"/>
  <c r="M13" i="12"/>
  <c r="I13" i="12"/>
  <c r="AN12" i="12"/>
  <c r="AF12" i="12"/>
  <c r="P12" i="12"/>
  <c r="Q12" i="12" s="1"/>
  <c r="M12" i="12"/>
  <c r="I12" i="12"/>
  <c r="AG12" i="12" l="1"/>
  <c r="AG13" i="12"/>
  <c r="AL13" i="12" s="1"/>
  <c r="AG14" i="12"/>
  <c r="AL14" i="12" s="1"/>
  <c r="V35" i="14"/>
  <c r="Y35" i="14" s="1"/>
  <c r="V34" i="14"/>
  <c r="Y34" i="14" s="1"/>
  <c r="AC33" i="14"/>
  <c r="AC34" i="14" s="1"/>
  <c r="AC35" i="14" s="1"/>
  <c r="AD33" i="14" s="1"/>
  <c r="AG33" i="14" s="1"/>
  <c r="V33" i="14"/>
  <c r="P33" i="14"/>
  <c r="Q33" i="14" s="1"/>
  <c r="P35" i="14" l="1"/>
  <c r="Q35" i="14" s="1"/>
  <c r="P34" i="14"/>
  <c r="Q34" i="14" s="1"/>
  <c r="AH33" i="14" l="1"/>
  <c r="AI33" i="14" s="1"/>
  <c r="V32" i="14" l="1"/>
  <c r="V31" i="14"/>
  <c r="AC30" i="14"/>
  <c r="AC31" i="14" s="1"/>
  <c r="AC32" i="14" s="1"/>
  <c r="AD30" i="14" s="1"/>
  <c r="AG30" i="14" s="1"/>
  <c r="V30" i="14"/>
  <c r="P30" i="14" l="1"/>
  <c r="Q30" i="14" s="1"/>
  <c r="P32" i="14"/>
  <c r="Q32" i="14" s="1"/>
  <c r="P31" i="14"/>
  <c r="Q31" i="14" s="1"/>
  <c r="AH30" i="14" l="1"/>
  <c r="AI30" i="14" s="1"/>
  <c r="V29" i="14" l="1"/>
  <c r="V28" i="14"/>
  <c r="P28" i="14"/>
  <c r="Q28" i="14" s="1"/>
  <c r="V27" i="14"/>
  <c r="AC27" i="14" l="1"/>
  <c r="AC28" i="14" s="1"/>
  <c r="AC29" i="14" s="1"/>
  <c r="AD27" i="14" s="1"/>
  <c r="AG27" i="14" s="1"/>
  <c r="AH27" i="14" s="1"/>
  <c r="AI27" i="14" s="1"/>
  <c r="P27" i="14"/>
  <c r="Q27" i="14" s="1"/>
  <c r="P29" i="14"/>
  <c r="Q29" i="14" s="1"/>
  <c r="V26" i="14" l="1"/>
  <c r="V25" i="14"/>
  <c r="AH24" i="14"/>
  <c r="AI24" i="14" s="1"/>
  <c r="V24" i="14"/>
  <c r="V22" i="14"/>
  <c r="Y22" i="14" s="1"/>
  <c r="V21" i="14"/>
  <c r="Y21" i="14" s="1"/>
  <c r="AC21" i="14" l="1"/>
  <c r="AC22" i="14" s="1"/>
  <c r="AC23" i="14" s="1"/>
  <c r="AD21" i="14" s="1"/>
  <c r="P21" i="14"/>
  <c r="Q21" i="14" s="1"/>
  <c r="P24" i="14"/>
  <c r="Q24" i="14" s="1"/>
  <c r="AG21" i="14" l="1"/>
  <c r="AH21" i="14" s="1"/>
  <c r="AI21" i="14" s="1"/>
  <c r="X19" i="14"/>
  <c r="V19" i="14"/>
  <c r="X18" i="14"/>
  <c r="V18" i="14"/>
  <c r="AF18" i="14"/>
  <c r="H12" i="2"/>
  <c r="H9" i="2"/>
  <c r="H6" i="2"/>
  <c r="Y18" i="14" l="1"/>
  <c r="AC18" i="14" s="1"/>
  <c r="AC19" i="14" s="1"/>
  <c r="AC20" i="14" s="1"/>
  <c r="AD18" i="14" s="1"/>
  <c r="AG18" i="14" s="1"/>
  <c r="Y19" i="14"/>
  <c r="P19" i="14"/>
  <c r="Q19" i="14" s="1"/>
  <c r="P20" i="14"/>
  <c r="Q20" i="14" s="1"/>
  <c r="P18" i="14"/>
  <c r="Q18" i="14" s="1"/>
  <c r="W6" i="2"/>
  <c r="U6" i="2"/>
  <c r="X16" i="14"/>
  <c r="V16" i="14"/>
  <c r="AH18" i="14" l="1"/>
  <c r="AI18" i="14" s="1"/>
  <c r="Y16" i="14"/>
  <c r="X6" i="2"/>
  <c r="M15" i="14" l="1"/>
  <c r="L15" i="14" s="1"/>
  <c r="M16" i="14"/>
  <c r="M17" i="14"/>
  <c r="L6" i="2" l="1"/>
  <c r="O17" i="14"/>
  <c r="O16" i="14"/>
  <c r="P16" i="14" s="1"/>
  <c r="Q16" i="14" s="1"/>
  <c r="X15" i="14"/>
  <c r="V15" i="14"/>
  <c r="O15" i="14"/>
  <c r="N14" i="2"/>
  <c r="O14" i="2" s="1"/>
  <c r="P14" i="2" s="1"/>
  <c r="N13" i="2"/>
  <c r="O13" i="2" s="1"/>
  <c r="P13" i="2" s="1"/>
  <c r="N12" i="2"/>
  <c r="N11" i="2"/>
  <c r="O11" i="2" s="1"/>
  <c r="P11" i="2" s="1"/>
  <c r="N10" i="2"/>
  <c r="O10" i="2" s="1"/>
  <c r="P10" i="2" s="1"/>
  <c r="N9" i="2"/>
  <c r="N7" i="2"/>
  <c r="N8" i="2"/>
  <c r="N6" i="2"/>
  <c r="L7" i="2"/>
  <c r="L8" i="2"/>
  <c r="AD9" i="2" l="1"/>
  <c r="AD10" i="2" s="1"/>
  <c r="AD11" i="2" s="1"/>
  <c r="AE9" i="2" s="1"/>
  <c r="AF9" i="2" s="1"/>
  <c r="O9" i="2"/>
  <c r="P9" i="2" s="1"/>
  <c r="AD8" i="2"/>
  <c r="AE6" i="2" s="1"/>
  <c r="AD6" i="2"/>
  <c r="AD7" i="2" s="1"/>
  <c r="AD12" i="2"/>
  <c r="AD13" i="2" s="1"/>
  <c r="AD14" i="2" s="1"/>
  <c r="AE12" i="2" s="1"/>
  <c r="O12" i="2"/>
  <c r="P12" i="2" s="1"/>
  <c r="AB6" i="2"/>
  <c r="K6" i="2"/>
  <c r="L16" i="14"/>
  <c r="Y15" i="14"/>
  <c r="AC15" i="14" s="1"/>
  <c r="AC17" i="14" s="1"/>
  <c r="AE15" i="14"/>
  <c r="AE16" i="14" s="1"/>
  <c r="AE17" i="14" s="1"/>
  <c r="AF15" i="14" s="1"/>
  <c r="P15" i="14"/>
  <c r="Q15" i="14" s="1"/>
  <c r="L17" i="14"/>
  <c r="P17" i="14"/>
  <c r="Q17" i="14" s="1"/>
  <c r="O8" i="2"/>
  <c r="P8" i="2" s="1"/>
  <c r="O7" i="2"/>
  <c r="P7" i="2" s="1"/>
  <c r="O6" i="2"/>
  <c r="P6" i="2" s="1"/>
  <c r="AG9" i="2" l="1"/>
  <c r="AH9" i="2" s="1"/>
  <c r="AB7" i="2"/>
  <c r="AB8" i="2" s="1"/>
  <c r="AC6" i="2" s="1"/>
  <c r="AF6" i="2" s="1"/>
  <c r="AG6" i="2" s="1"/>
  <c r="AH6" i="2" s="1"/>
  <c r="AF12" i="2"/>
  <c r="K8" i="2"/>
  <c r="K7" i="2"/>
  <c r="AG12" i="2" l="1"/>
  <c r="AH12" i="2" s="1"/>
  <c r="AD15" i="14"/>
  <c r="AG15" i="14" s="1"/>
  <c r="AH15" i="14" s="1"/>
  <c r="AI1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L96" authorId="0" shapeId="0" xr:uid="{453651EE-76A1-4AF7-9954-1B17A021DD59}">
      <text>
        <r>
          <rPr>
            <sz val="11"/>
            <color theme="1"/>
            <rFont val="Calibri"/>
            <family val="2"/>
            <scheme val="minor"/>
          </rPr>
          <t>======
ID#AAAAcNs16E0
ANDRES ARTURO ONATE MENDOZA    (2022-06-28 15:59:24)
ajustar formula dado que la celda de zona de riesgo residual está formulada para generar el texto "Baja", mientras que la presente celda está formulada para recibir el texto "Bajo". Además, es conveniente que cada proceso desde su experticia determine la viabilidad de cada opción de tratamiento cuando un riesgo no pueda ser aceptado (mitigar, transferir o evitar), más no limitar el tratamiento a solo mitigar</t>
        </r>
      </text>
    </comment>
  </commentList>
</comments>
</file>

<file path=xl/sharedStrings.xml><?xml version="1.0" encoding="utf-8"?>
<sst xmlns="http://schemas.openxmlformats.org/spreadsheetml/2006/main" count="2367" uniqueCount="830">
  <si>
    <t>PROBABILIDAD</t>
  </si>
  <si>
    <t>TRATAMIENTO</t>
  </si>
  <si>
    <t>PROCESO:</t>
  </si>
  <si>
    <t>OBJETIVO:</t>
  </si>
  <si>
    <t>ALTA</t>
  </si>
  <si>
    <t>MEDIA</t>
  </si>
  <si>
    <t>BAJA</t>
  </si>
  <si>
    <t>LEVE</t>
  </si>
  <si>
    <t>ANÁLISIS</t>
  </si>
  <si>
    <t>LÍDER:</t>
  </si>
  <si>
    <t>probabilidad</t>
  </si>
  <si>
    <t>IDENTIFICACIÓN DE RIESGOS</t>
  </si>
  <si>
    <t>ZONAS DE RIESGO</t>
  </si>
  <si>
    <t>Moderado</t>
  </si>
  <si>
    <t>MODERADO</t>
  </si>
  <si>
    <t>ZONA DE RIESGO RESIDUAL</t>
  </si>
  <si>
    <t>IMPACTO DEL RIESGO</t>
  </si>
  <si>
    <t>CATASTRÓFICO</t>
  </si>
  <si>
    <t>IMPACTO</t>
  </si>
  <si>
    <t>VALORACIÓN</t>
  </si>
  <si>
    <t>x</t>
  </si>
  <si>
    <t>Referencia</t>
  </si>
  <si>
    <t>Impacto</t>
  </si>
  <si>
    <t>Causa Inmediata</t>
  </si>
  <si>
    <t>Causa Raíz</t>
  </si>
  <si>
    <t>Descripción del Riesgo</t>
  </si>
  <si>
    <t>Frecuencia</t>
  </si>
  <si>
    <t>Probabilidad Inherente</t>
  </si>
  <si>
    <t>Impacto Inherente</t>
  </si>
  <si>
    <t>Zona de Riesgo Inherente</t>
  </si>
  <si>
    <t>Descripción del Control</t>
  </si>
  <si>
    <t>Afectación</t>
  </si>
  <si>
    <t>Probabilidad</t>
  </si>
  <si>
    <t>Tipo</t>
  </si>
  <si>
    <t>Implementación</t>
  </si>
  <si>
    <t>Calificación</t>
  </si>
  <si>
    <t>Documentación</t>
  </si>
  <si>
    <t>Evidencia</t>
  </si>
  <si>
    <t>Probabilidad residual final</t>
  </si>
  <si>
    <t>Probabilidad residual</t>
  </si>
  <si>
    <t>%</t>
  </si>
  <si>
    <t>Impacto residual final</t>
  </si>
  <si>
    <t>Tratamiento</t>
  </si>
  <si>
    <t xml:space="preserve">Plan de Acción </t>
  </si>
  <si>
    <t xml:space="preserve">Responsable </t>
  </si>
  <si>
    <t xml:space="preserve">Fecha Implementación </t>
  </si>
  <si>
    <t>Seguimiento</t>
  </si>
  <si>
    <t xml:space="preserve">Fecha Seguimiento  </t>
  </si>
  <si>
    <t>Estado</t>
  </si>
  <si>
    <t>Clasificación del Riesgo</t>
  </si>
  <si>
    <t>Ejecución y administración de procesos</t>
  </si>
  <si>
    <t>Procesos</t>
  </si>
  <si>
    <t>Fraude externo</t>
  </si>
  <si>
    <t>Evento externo</t>
  </si>
  <si>
    <t>Fraude Interno</t>
  </si>
  <si>
    <t>Talento Humano</t>
  </si>
  <si>
    <t>Fallas tecnológicas</t>
  </si>
  <si>
    <t>Tecnología</t>
  </si>
  <si>
    <t>Relaciones laborales</t>
  </si>
  <si>
    <t>Puede asociarse a varios factores.</t>
  </si>
  <si>
    <t>Usuarios, productos y prácticas</t>
  </si>
  <si>
    <t>Daños a activos fijos/ eventos externos</t>
  </si>
  <si>
    <t>Infraestructura.</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</si>
  <si>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</si>
  <si>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</si>
  <si>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</si>
  <si>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</si>
  <si>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</si>
  <si>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</si>
  <si>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</si>
  <si>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</si>
  <si>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</si>
  <si>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</si>
  <si>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</si>
  <si>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Calificacion frecuencia</t>
  </si>
  <si>
    <t>Frecuencia (veces por año)</t>
  </si>
  <si>
    <t>3 a 24</t>
  </si>
  <si>
    <t>25 a 500</t>
  </si>
  <si>
    <t>&gt; 5000</t>
  </si>
  <si>
    <t>1 a 2</t>
  </si>
  <si>
    <t>501 a 5000</t>
  </si>
  <si>
    <t>Afectación Económica</t>
  </si>
  <si>
    <t>Reputacional</t>
  </si>
  <si>
    <t>Leve 20%</t>
  </si>
  <si>
    <t>Afectación menor a 10 SMLMV .</t>
  </si>
  <si>
    <t>El riesgo afecta la imagen de algún área de la organización.</t>
  </si>
  <si>
    <t>Menor 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</si>
  <si>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</si>
  <si>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</si>
  <si>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</si>
  <si>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</si>
  <si>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</si>
  <si>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</si>
  <si>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</si>
  <si>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Catastrófico 100%</t>
  </si>
  <si>
    <t>Mayor a 500 SMLMV</t>
  </si>
  <si>
    <t>El riesgo afecta la imagen de la entidad a nivel nacional, con efecto publicitario sostenido a nivel país</t>
  </si>
  <si>
    <t>El riesgo afecta la imagen de la entidad con efecto publicitario sostenido a nivel de sector administrativo, nivel departamental o municipal.</t>
  </si>
  <si>
    <t>Leve</t>
  </si>
  <si>
    <t>Menor</t>
  </si>
  <si>
    <t>Mayor</t>
  </si>
  <si>
    <t>Catastrófico</t>
  </si>
  <si>
    <t>Alto</t>
  </si>
  <si>
    <t>Extremo</t>
  </si>
  <si>
    <t>VALOR</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</si>
  <si>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</si>
  <si>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</si>
  <si>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</si>
  <si>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</si>
  <si>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</si>
  <si>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</si>
  <si>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</si>
  <si>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(Procedimientos). Se pueden generar reprocesos.</t>
  </si>
  <si>
    <t>Correctivo</t>
  </si>
  <si>
    <t>Dado que permiten reducir el impacto de la materialización del riesgo.</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</si>
  <si>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</si>
  <si>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</si>
  <si>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</si>
  <si>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</si>
  <si>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t xml:space="preserve">* </t>
    </r>
    <r>
      <rPr>
        <sz val="10"/>
        <color rgb="FF000000"/>
        <rFont val="Garamond"/>
        <family val="1"/>
      </rPr>
      <t>Atributos informativos</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</si>
  <si>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</si>
  <si>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</si>
  <si>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</si>
  <si>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</si>
  <si>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</si>
  <si>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</si>
  <si>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El control se aplica siempre que se realiza la actividad que conlleva el riesgo.</t>
  </si>
  <si>
    <t>Aleatoria</t>
  </si>
  <si>
    <t>El control se aplica aleatoriamente a la actividad que conlleva el riesgo</t>
  </si>
  <si>
    <t>Con registro</t>
  </si>
  <si>
    <t>El control deja un registro permite evidencia la ejecución del control.</t>
  </si>
  <si>
    <t>Sin registro</t>
  </si>
  <si>
    <t>El control no deja registro de la ejecución del control.</t>
  </si>
  <si>
    <t xml:space="preserve">Alto </t>
  </si>
  <si>
    <t>Comunicaciones</t>
  </si>
  <si>
    <t>Control 3</t>
  </si>
  <si>
    <t>Muy BajaLeve</t>
  </si>
  <si>
    <t>Muy BajaMenor</t>
  </si>
  <si>
    <t>Muy BajaModerado</t>
  </si>
  <si>
    <t>Muy BajaMayor</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</si>
  <si>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</si>
  <si>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</si>
  <si>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</si>
  <si>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</si>
  <si>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</si>
  <si>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</si>
  <si>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</si>
  <si>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</si>
  <si>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</si>
  <si>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</si>
  <si>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</si>
  <si>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</si>
  <si>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</si>
  <si>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</si>
  <si>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</si>
  <si>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</si>
  <si>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</si>
  <si>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</si>
  <si>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</si>
  <si>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</si>
  <si>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</si>
  <si>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Componentes del control</t>
  </si>
  <si>
    <t>Aspecto de Autoevaluación de los Controles</t>
  </si>
  <si>
    <t>Opción de respuesta</t>
  </si>
  <si>
    <t>Valor Máximo</t>
  </si>
  <si>
    <t>Asignación del responsable</t>
  </si>
  <si>
    <t>¿Existe un responsable asignado a la ejecución del control?</t>
  </si>
  <si>
    <t>Asignado</t>
  </si>
  <si>
    <t>No Asignado</t>
  </si>
  <si>
    <t>¿El responsable tiene la autoridad y adecuada segregación de funciones en la ejecución del control?</t>
  </si>
  <si>
    <t>Adecuado</t>
  </si>
  <si>
    <t>Inadecuado</t>
  </si>
  <si>
    <t>Periodicidad</t>
  </si>
  <si>
    <t>¿La oportunidad en que se ejecuta el control ayuda a prevenir la mitigación del riesgo o a detectar la materialización del riesgo de manera oportuna?</t>
  </si>
  <si>
    <t>Oportuna</t>
  </si>
  <si>
    <t>Inoportuna</t>
  </si>
  <si>
    <t>Propósito</t>
  </si>
  <si>
    <t>¿Las actividades que se desarrollan en el control realmente buscan por si sola prevenir o detectar las causas que pueden dar origen al riesgo, Ej.: verificar, validar, cotejar, comparar, revisar, etc.?</t>
  </si>
  <si>
    <t>Prevenir</t>
  </si>
  <si>
    <t>Detectar</t>
  </si>
  <si>
    <t>No es un Control</t>
  </si>
  <si>
    <t>Cómo se realiza la actividad de control.</t>
  </si>
  <si>
    <t>¿La fuente de información que se utiliza en el desarrollo del control es información</t>
  </si>
  <si>
    <t>confiable que permita mitigar el riesgo?</t>
  </si>
  <si>
    <t>Confiable</t>
  </si>
  <si>
    <t>No confiable</t>
  </si>
  <si>
    <t>Qué pasa con las observaciones o desviaciones</t>
  </si>
  <si>
    <t>¿Las observaciones, desviaciones o diferencias identificadas como resultados de la ejecución del control son investigadas y resueltas de manera oportuna?</t>
  </si>
  <si>
    <t xml:space="preserve">Se investigan resuelven oportunamente </t>
  </si>
  <si>
    <t>No se investigan y resuelven oportunamente</t>
  </si>
  <si>
    <t>Evidencia de la ejecución del control.</t>
  </si>
  <si>
    <t>¿Se deja evidencia o rastro de la ejecución del control que permita a cualquier tercero con la evidencia llegar a la misma conclusión?</t>
  </si>
  <si>
    <t>Completa</t>
  </si>
  <si>
    <t>Incompleta</t>
  </si>
  <si>
    <t>No existe</t>
  </si>
  <si>
    <t>TOTAL</t>
  </si>
  <si>
    <t>Rara Vez</t>
  </si>
  <si>
    <t>Improbable</t>
  </si>
  <si>
    <t>Posible</t>
  </si>
  <si>
    <t>Probable</t>
  </si>
  <si>
    <t>Casi Seguro</t>
  </si>
  <si>
    <t>El evento puede ocurrir solo en circunstancias excepcionales</t>
  </si>
  <si>
    <t>El evento puede ocurrir en algún momento</t>
  </si>
  <si>
    <t>El evento podrá ocurrir en algún momento</t>
  </si>
  <si>
    <t>El viable que el evento ocurra en la mayoría de las circunstancias.</t>
  </si>
  <si>
    <t>Se espera que el evento ocutra en la mayoría de las circunstancias</t>
  </si>
  <si>
    <t>No se ha presentado en los últimos 5 años</t>
  </si>
  <si>
    <t>Al menos 1 vez en los últimos 5 años</t>
  </si>
  <si>
    <t>Al menos 1 vez en los últimos 2 años</t>
  </si>
  <si>
    <t>Al menos 1 vez en el último año</t>
  </si>
  <si>
    <t>más de 1 vez al año</t>
  </si>
  <si>
    <t>Calificacion PROBABILIDAD</t>
  </si>
  <si>
    <t>N°</t>
  </si>
  <si>
    <t>Si el riesgo de corrupción se materializa podría…</t>
  </si>
  <si>
    <t>RESPUESTA</t>
  </si>
  <si>
    <t>SI</t>
  </si>
  <si>
    <t>NO</t>
  </si>
  <si>
    <t>¿Afectar al grupo de funcionarios del proceso?</t>
  </si>
  <si>
    <t>¿Afectar el cumplimiento de metas y objetivos de la dependencia?</t>
  </si>
  <si>
    <t>¿Afectar el cumplimiento de la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</si>
  <si>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</si>
  <si>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</si>
  <si>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</si>
  <si>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</si>
  <si>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la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</si>
  <si>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</si>
  <si>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</si>
  <si>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</si>
  <si>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</si>
  <si>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</si>
  <si>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</si>
  <si>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</si>
  <si>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</si>
  <si>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</si>
  <si>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</si>
  <si>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 daño ambiental?</t>
  </si>
  <si>
    <t>RESPUESTAS AFIRMATIVAS</t>
  </si>
  <si>
    <t>De 12 a 19 preguntas: Impacto Catastrófico</t>
  </si>
  <si>
    <r>
      <t xml:space="preserve">MODERADO: </t>
    </r>
    <r>
      <rPr>
        <sz val="11"/>
        <color rgb="FF000000"/>
        <rFont val="Garamond"/>
        <family val="1"/>
      </rPr>
      <t>Genera medianas consecuencias sobre la entidad</t>
    </r>
  </si>
  <si>
    <r>
      <t xml:space="preserve">MAYOR: </t>
    </r>
    <r>
      <rPr>
        <sz val="11"/>
        <color rgb="FF000000"/>
        <rFont val="Garamond"/>
        <family val="1"/>
      </rPr>
      <t>Genera altas consecuencias sobre la entidad</t>
    </r>
  </si>
  <si>
    <r>
      <t xml:space="preserve">CATASTRÓFICO: </t>
    </r>
    <r>
      <rPr>
        <sz val="11"/>
        <color rgb="FF000000"/>
        <rFont val="Garamond"/>
        <family val="1"/>
      </rPr>
      <t>Genera consecuencias desastrosas para la entidad</t>
    </r>
  </si>
  <si>
    <t>De 1 a 5 preguntas: Impacto Moderado  De 6 a 11 preguntas: Impacto Mayor</t>
  </si>
  <si>
    <t>RIESGO</t>
  </si>
  <si>
    <t>Corrupción</t>
  </si>
  <si>
    <t>Asignación del Responsable</t>
  </si>
  <si>
    <t>¿Existe	un responsable asignado a la ejecución del control?</t>
  </si>
  <si>
    <t>¿La fuente de información que se utiliza en el desarrollo del control es información confiable que permita mitigar el riesgo?</t>
  </si>
  <si>
    <t xml:space="preserve">Evidencia de la ejecución del control.	¿Se deja evidencia o rastro de la ejecución del control que permita a cualquier tercero con la evidencia llegar a la misma conclusión?
	</t>
  </si>
  <si>
    <t>Si</t>
  </si>
  <si>
    <t>Rango De Calificación Del Diseño</t>
  </si>
  <si>
    <t>Resultado – Peso En La Evaluación Del Diseño Del Control</t>
  </si>
  <si>
    <t>FUERTE</t>
  </si>
  <si>
    <t>Calificación entre 96 y 100</t>
  </si>
  <si>
    <t>Calificación entre 86 y 95</t>
  </si>
  <si>
    <t>DÉBIL</t>
  </si>
  <si>
    <t>Calificación entre 0 y 85</t>
  </si>
  <si>
    <t>RESULTADO – PESO DE LA EJECUCIÓN DEL CONTROL</t>
  </si>
  <si>
    <r>
      <t xml:space="preserve">El control se ejecuta de manera consistente por parte del responsable </t>
    </r>
    <r>
      <rPr>
        <b/>
        <sz val="11"/>
        <color theme="1"/>
        <rFont val="Garamond"/>
        <family val="1"/>
      </rPr>
      <t>(SIEMPRE)</t>
    </r>
  </si>
  <si>
    <r>
      <t xml:space="preserve">El control se ejecuta algunas veces por parte del responsable </t>
    </r>
    <r>
      <rPr>
        <b/>
        <sz val="11"/>
        <color theme="1"/>
        <rFont val="Garamond"/>
        <family val="1"/>
      </rPr>
      <t>(ALGUNAS VECES)</t>
    </r>
  </si>
  <si>
    <t>El control no se ejecuta por parte del responsable (NUNCA)</t>
  </si>
  <si>
    <t>Peso Del Diseño De Cada Control</t>
  </si>
  <si>
    <t>Peso De La Ejecución De Cada Control</t>
  </si>
  <si>
    <t>Solidez Individual De Cada Control Fuerte: 100; Moderado : 50; Débil : 0</t>
  </si>
  <si>
    <t>Debe Establecer Acciones Para Fortalecer El Control Si/No</t>
  </si>
  <si>
    <t>Valor Numérico</t>
  </si>
  <si>
    <t>FUERTE: Calificación entre 96 y 100</t>
  </si>
  <si>
    <t>Fuerte (siempre se ejecuta)</t>
  </si>
  <si>
    <r>
      <t xml:space="preserve">fuerte + fuerte = </t>
    </r>
    <r>
      <rPr>
        <b/>
        <sz val="11"/>
        <color theme="1"/>
        <rFont val="Garamond"/>
        <family val="1"/>
      </rPr>
      <t>fuerte</t>
    </r>
  </si>
  <si>
    <t>Moderado (algunas veces)</t>
  </si>
  <si>
    <r>
      <t xml:space="preserve">fuerte + moderado = </t>
    </r>
    <r>
      <rPr>
        <b/>
        <sz val="11"/>
        <color theme="1"/>
        <rFont val="Garamond"/>
        <family val="1"/>
      </rPr>
      <t>moderado</t>
    </r>
  </si>
  <si>
    <t>Débil (no se ejecuta)</t>
  </si>
  <si>
    <r>
      <t xml:space="preserve">fuerte + débil = </t>
    </r>
    <r>
      <rPr>
        <b/>
        <sz val="11"/>
        <color theme="1"/>
        <rFont val="Garamond"/>
        <family val="1"/>
      </rPr>
      <t>débil</t>
    </r>
  </si>
  <si>
    <t>MODERADO: Calificación entre 86 y 95</t>
  </si>
  <si>
    <r>
      <t xml:space="preserve">moderado + fuerte = </t>
    </r>
    <r>
      <rPr>
        <b/>
        <sz val="11"/>
        <color theme="1"/>
        <rFont val="Garamond"/>
        <family val="1"/>
      </rPr>
      <t>moderado</t>
    </r>
  </si>
  <si>
    <r>
      <t xml:space="preserve">moderado + moderado = </t>
    </r>
    <r>
      <rPr>
        <b/>
        <sz val="11"/>
        <color theme="1"/>
        <rFont val="Garamond"/>
        <family val="1"/>
      </rPr>
      <t>moderado</t>
    </r>
  </si>
  <si>
    <r>
      <t xml:space="preserve">moderado + débil = </t>
    </r>
    <r>
      <rPr>
        <b/>
        <sz val="11"/>
        <color theme="1"/>
        <rFont val="Garamond"/>
        <family val="1"/>
      </rPr>
      <t>débil</t>
    </r>
  </si>
  <si>
    <t>DÉBIL: Calificación entre 0 y 85</t>
  </si>
  <si>
    <r>
      <t xml:space="preserve">débil + fuerte = </t>
    </r>
    <r>
      <rPr>
        <b/>
        <sz val="11"/>
        <color theme="1"/>
        <rFont val="Garamond"/>
        <family val="1"/>
      </rPr>
      <t>débil</t>
    </r>
  </si>
  <si>
    <r>
      <t xml:space="preserve">débil + moderado = </t>
    </r>
    <r>
      <rPr>
        <b/>
        <sz val="11"/>
        <color theme="1"/>
        <rFont val="Garamond"/>
        <family val="1"/>
      </rPr>
      <t>débil</t>
    </r>
  </si>
  <si>
    <r>
      <t xml:space="preserve">débil + débil = </t>
    </r>
    <r>
      <rPr>
        <b/>
        <sz val="11"/>
        <color theme="1"/>
        <rFont val="Garamond"/>
        <family val="1"/>
      </rPr>
      <t>débil</t>
    </r>
  </si>
  <si>
    <t>RANGO DE LA EJECUCIÓN DEL CONTROL</t>
  </si>
  <si>
    <t>Evaluación Diseño control</t>
  </si>
  <si>
    <t>Evaluación  De La Ejecución De Cada Control</t>
  </si>
  <si>
    <t>FUERTEFUERTE</t>
  </si>
  <si>
    <t>FUERTEMODERADO</t>
  </si>
  <si>
    <t>FUERTEDEBIL</t>
  </si>
  <si>
    <t>MODERADOFUERTE</t>
  </si>
  <si>
    <t>MODERADOMODERADO</t>
  </si>
  <si>
    <t>MODERADODÉBIL</t>
  </si>
  <si>
    <t>DÉBILFUERTE</t>
  </si>
  <si>
    <t>DÉBILMODERADO</t>
  </si>
  <si>
    <t>DÉBILDÉBIL</t>
  </si>
  <si>
    <t>Acción</t>
  </si>
  <si>
    <t>MAPA DE CALOR RIESGOS DE CORRUPCIÓN</t>
  </si>
  <si>
    <t>Bajo</t>
  </si>
  <si>
    <t>VALORACIÓN RR CORRUPCIÓN'!A3</t>
  </si>
  <si>
    <t>Riesgo</t>
  </si>
  <si>
    <t>Activo de Información</t>
  </si>
  <si>
    <t>Tipo de activo</t>
  </si>
  <si>
    <t>Amenaza</t>
  </si>
  <si>
    <t>Tipo de Amenaza</t>
  </si>
  <si>
    <t>Ejemplos de vulnerabilidades</t>
  </si>
  <si>
    <t>Ejemplos de amenazas</t>
  </si>
  <si>
    <t>Hardware</t>
  </si>
  <si>
    <t>Almacenamiento de medios sin protección</t>
  </si>
  <si>
    <t>Hurto de medios o documentos</t>
  </si>
  <si>
    <t>Software</t>
  </si>
  <si>
    <t>Ausencia de parches de seguridad</t>
  </si>
  <si>
    <t>Abuso de los derechos</t>
  </si>
  <si>
    <t>Red</t>
  </si>
  <si>
    <t>Líneas de comunicación sin protección</t>
  </si>
  <si>
    <t>Escucha encubierta</t>
  </si>
  <si>
    <t>Información</t>
  </si>
  <si>
    <t>Falta de controles de acceso físico</t>
  </si>
  <si>
    <t>Hurto de información/modificación no autorizada</t>
  </si>
  <si>
    <t>Personal</t>
  </si>
  <si>
    <t>Falta de capacitación en las herramientas</t>
  </si>
  <si>
    <t>Error en el uso</t>
  </si>
  <si>
    <t>Organización</t>
  </si>
  <si>
    <t>Ausencia de políticas de seguridad</t>
  </si>
  <si>
    <t>Pérdida de la confidencialidad</t>
  </si>
  <si>
    <t>Pérdida del a Integridad</t>
  </si>
  <si>
    <t>Pérdida de la disponibilidad de activos.</t>
  </si>
  <si>
    <t>Tipo de riesgos de Seguridad de la Información</t>
  </si>
  <si>
    <t>Causa Raíz (¿porqué?</t>
  </si>
  <si>
    <t>Causa Inmediata (¿Cómo?)</t>
  </si>
  <si>
    <t>Subcausas</t>
  </si>
  <si>
    <t>Seguridad de la Información</t>
  </si>
  <si>
    <t>X</t>
  </si>
  <si>
    <t>Información documentada Sistema Integrado de Gestión</t>
  </si>
  <si>
    <t>hurto de información</t>
  </si>
  <si>
    <t>falta de políticas de seguridad digital, ausencia de políticas de control de acceso, contraseñas sin protección, autenticación debil.</t>
  </si>
  <si>
    <t>No aplica</t>
  </si>
  <si>
    <t>Incumplimiento de las metas y objetivos institucionales</t>
  </si>
  <si>
    <t>Capacitación a funcionarios y colaboradores en temas de riesgos</t>
  </si>
  <si>
    <t>Incumplimiento en el logro de los objetivos del Direccionamiento Estratégico</t>
  </si>
  <si>
    <t xml:space="preserve">Limitar el acceso a los documentos del SIG unicamente usuarios con correo institucional </t>
  </si>
  <si>
    <t>Generar solo dos cuentas administradoras en la plataforma intranet con claves para el cargue y administración de los documentos SIG.</t>
  </si>
  <si>
    <t>Diseño de herramientas para la formulación, seguimiento y modificaciones (implementación trimestral)</t>
  </si>
  <si>
    <t xml:space="preserve">Formular e implementar procedimiento para la gestión de plan de acción, paac, y paa </t>
  </si>
  <si>
    <t>Diseño de herramientas para la formulación, seguimiento y modificaciones (trimestral)</t>
  </si>
  <si>
    <t>Incumplimiento en el objetivo de los procesos</t>
  </si>
  <si>
    <t>normalización de información documentada</t>
  </si>
  <si>
    <t>sin controles para la gestión de los documentos y registros del SIG</t>
  </si>
  <si>
    <t>verificar la Implementación del procedimiento de control de documentos y registros del SIG</t>
  </si>
  <si>
    <t>Divulgación cuatrimestral el procedimiento de control de documentos y registros</t>
  </si>
  <si>
    <t>Profesional Especializado con Funciones de Planeación</t>
  </si>
  <si>
    <t>Segundo semestre de 2022</t>
  </si>
  <si>
    <t>gestión de riesgos</t>
  </si>
  <si>
    <t>sin  el cumplimiento de las políticas actuales para la formulación, valoración y tratamiento de riesgos</t>
  </si>
  <si>
    <t>Implementación del Manual de Riesgos desde los roles de la segunda línea de defensa</t>
  </si>
  <si>
    <t>Formulación de planes de manera inoportuna, y desarticulada con las áreas de la entidad.</t>
  </si>
  <si>
    <t xml:space="preserve">por debilidad en el manejo de las herramientas y directrices para la formulación de los diferentes planes de la entidad. </t>
  </si>
  <si>
    <t xml:space="preserve">Socializar el procedimiento para la gestión de plan de acción, paac, y paa </t>
  </si>
  <si>
    <t>Semestral</t>
  </si>
  <si>
    <t xml:space="preserve">Usuario en canales digitales e información institucional </t>
  </si>
  <si>
    <t>Desconocimiento de directrices relacionadas con la seguridad digital</t>
  </si>
  <si>
    <t xml:space="preserve">Realizar un informe que evidencie el desarrollo de cada uno de los controles establecidos para evitar que se efectúe el riesgo. </t>
  </si>
  <si>
    <t>Noviembre-Diciembre</t>
  </si>
  <si>
    <t>base de datos de las actuaciones administrativas y soportes actas de asignación de los expedientes (investigaciones administratiovas)</t>
  </si>
  <si>
    <t>Quede la información guardada  en los Responsable al retirarse de la institución.</t>
  </si>
  <si>
    <t>Perdida de la trazabilidad  de la Información</t>
  </si>
  <si>
    <t>Verificar las actas de entrega de expedientes y/Az Digital</t>
  </si>
  <si>
    <t xml:space="preserve"> Reparto aleatorio de los expedientes de investigaciones administrativas mediante acta de asignación y/o Az digital.</t>
  </si>
  <si>
    <t>DIRECTORA TECNICA DE INSPECCIÓN Y VIGILANCIA</t>
  </si>
  <si>
    <t>Cuatrimestral</t>
  </si>
  <si>
    <t xml:space="preserve">Actualizar la base de datos de expedientes de investigaciones administrativas </t>
  </si>
  <si>
    <t>Resgitro informes tecnico y los soportes.</t>
  </si>
  <si>
    <t xml:space="preserve">Perdida de la información </t>
  </si>
  <si>
    <t>perdida de la información</t>
  </si>
  <si>
    <t>Verificar las actas de decomiso preventivo. (responsable, frecuencia)</t>
  </si>
  <si>
    <t>Verificar las actas y contratos</t>
  </si>
  <si>
    <t>Verificar las actas de donación  (responsable, frecuencia)</t>
  </si>
  <si>
    <t>Verificar las actas venta directa. (responsable, frecuencia)</t>
  </si>
  <si>
    <t xml:space="preserve">Datos personales </t>
  </si>
  <si>
    <t>Robo de la información</t>
  </si>
  <si>
    <t>Se puede presentar la perdida de los datos personales, en cuanto a falta de seguridad informatica y de copias de seguridad</t>
  </si>
  <si>
    <t>Seguridad de la información</t>
  </si>
  <si>
    <t>Reporte cuatrimestral</t>
  </si>
  <si>
    <t>Daniel Ariza</t>
  </si>
  <si>
    <t>septiembre de 2022</t>
  </si>
  <si>
    <t>Hojas de vida</t>
  </si>
  <si>
    <t>Perdida de la información custodiada en las hojas de vida</t>
  </si>
  <si>
    <t xml:space="preserve">Perdida de información </t>
  </si>
  <si>
    <t>Listas de chequeo de los documentos básicos que debe tener la hoja de vida</t>
  </si>
  <si>
    <t>NO APLICA</t>
  </si>
  <si>
    <t xml:space="preserve">Control a través de las solicitudes de información </t>
  </si>
  <si>
    <t xml:space="preserve">Custodia de los expedientes contractuales </t>
  </si>
  <si>
    <t>Pérdida de la información a cargo del Grupo de Gestión Contractual</t>
  </si>
  <si>
    <t>Hurto de información</t>
  </si>
  <si>
    <t>Implementación procedimiento de préstamo de expedientes contractuales</t>
  </si>
  <si>
    <t>Elaborar e implementar el procedimiento de préstamo de expedientes contractuales</t>
  </si>
  <si>
    <t>Grupo de Gestión Contractual</t>
  </si>
  <si>
    <t>base de datos de la informacion contable y financiera</t>
  </si>
  <si>
    <t>Hurto la información contable y financiera</t>
  </si>
  <si>
    <t>Error en el reconocimiento y revelación de las transacciones, los hechos y las operaciones financieras, económicas, sociales y ambientales</t>
  </si>
  <si>
    <t>Los funcionarios encargados de las funcion contables, presupuesto y tesoreria verificaran el procedimiento establecido para el control de la cadena presupuestal de manera mensual</t>
  </si>
  <si>
    <t>Reducir-Mitigar</t>
  </si>
  <si>
    <t>Realizar reuniones Internas para para recibir retroalimentación de los controles del Procedimiento de Cadena Presupuestal</t>
  </si>
  <si>
    <t>Secretaría General
Coordinadión Financiera</t>
  </si>
  <si>
    <t>Hurto y alteracion de los soportes financieros</t>
  </si>
  <si>
    <t>Expedir certificados de disponibilidad y registros de compromisos presupestal sin los soportes necesarios</t>
  </si>
  <si>
    <t>El jefe de presupuesto revisara los documentos requeridos para la expedición de CDP y RP</t>
  </si>
  <si>
    <t>Realizar seguimiento a la doocumetación requerida para la expedición de CDP y RP.</t>
  </si>
  <si>
    <t>Expedientes documentales de la entidad</t>
  </si>
  <si>
    <t>Seguridad de Información</t>
  </si>
  <si>
    <t>Control 1. Controles definidos en el préstamo de expedientes</t>
  </si>
  <si>
    <t>Seguimiento a los prestamos de documentos mayores a 15 días y revisión de los documentos del expediente</t>
  </si>
  <si>
    <t>PROFESIONAL UNIVERSITARIO 11 CON FUNCIONES DE GD</t>
  </si>
  <si>
    <t>CUATRIMESTRAL</t>
  </si>
  <si>
    <t>Control 2. Seguimiento a los expedientes en prestamo mayores a 15 días.</t>
  </si>
  <si>
    <t>Control 3. Revisión del expediente luego de ser prestado.</t>
  </si>
  <si>
    <t>Hardware y software</t>
  </si>
  <si>
    <t>pérdida de información
mala prestación del servicio 
incumplimiento en la generación de productos</t>
  </si>
  <si>
    <t>mal funcionamiento del equipo</t>
  </si>
  <si>
    <t>falla tecnológica</t>
  </si>
  <si>
    <t>Establecer un cronograma de mantenimiento anual, por el funcionario grado 11 con funciones de TICS</t>
  </si>
  <si>
    <t>Implementar cronograma de mantenimiento preventivo</t>
  </si>
  <si>
    <t>Hacer seguimiento sobre las carpetas creadas en los servidores y su backup en la infraestructura de hiperconvergenia.</t>
  </si>
  <si>
    <t>Datos 
Recurso humano</t>
  </si>
  <si>
    <t>uso de información confidencial de manera indebida por e recurso humano de la entidad</t>
  </si>
  <si>
    <t>Criminal de la computación</t>
  </si>
  <si>
    <t>fraude interno</t>
  </si>
  <si>
    <t>Mantener control sobre las vigencias y actualizaciones de los servidores y licencias que son de uso de la AUNAP</t>
  </si>
  <si>
    <t>Mantener actualizada la plataforma de servidores, firewall e infraestructura de red.</t>
  </si>
  <si>
    <t>OGCI - TICS</t>
  </si>
  <si>
    <t>Hacer seguimiento de los compromisos de confidencialidad diligenciados por contratistas para el mantenimiento de confidencialidad de la información</t>
  </si>
  <si>
    <t>Complementar los instrumentos que garanticen la seguridad de la información (acuerdo de confidencialidad para contratistas ).</t>
  </si>
  <si>
    <t>Investigaciones Penales, Disciplinarias y Fiscales.</t>
  </si>
  <si>
    <t>Aprobación de conceptos con valores ,vigencias y ejecutores errados.</t>
  </si>
  <si>
    <t>Favorecimiento a un tercero en la emisión de un concepto para un proyecto de investigación.</t>
  </si>
  <si>
    <t>comportamiento no etico de los profesionales responsables.</t>
  </si>
  <si>
    <t>Posibilidad de Investigaciones Penales, Disciplinarias y Fiscales debido a la Aprobación de conceptos con valores ,vigencias y ejecutores errados para favorecer a un tercero en la emisión de un concepto para un proyecto de investigación.</t>
  </si>
  <si>
    <t>1.Revisar y controlar cada uno de los Conceptos emitidos por el personal designado de la OGCI.
2. Verificar que en el Procedimiento de Concepto Técnico PR-IC-002 se garantice el cumplimiento de las actividades establecidas en el.
3. Realizar una verificación aleatoria por parte de segundo profesional para que verifique que el concepto este elaborado en forma imparcial.
4.Fortalecer el concepto técnico involucrando ocasionalmente el visto bueno de un segundo profesional."</t>
  </si>
  <si>
    <t>Socialización anual del procedimiento Concepto Técnico PR-IC-002 en su debida aplicación a los profesionales competentes.</t>
  </si>
  <si>
    <t>OGCI</t>
  </si>
  <si>
    <t>Investigaciones fiscales, disciplinarias, penales</t>
  </si>
  <si>
    <t>Manejo de la información en custodia de investigaciones administrativas de manera indebida</t>
  </si>
  <si>
    <t>No se cuenta con el espacio físico adecuado para tener en custodia la información</t>
  </si>
  <si>
    <t>afectación de la imagen de la entidad a nivel nacional, con efecto publicitario sostenido a nivel país</t>
  </si>
  <si>
    <t>Verificar aleatoriamente la existencia de los expedientes de investigaciones administrativas a cargo de los abogados (frecuencia)</t>
  </si>
  <si>
    <t>'VALORACIÓN RR CORRUPCIÓN'!A1</t>
  </si>
  <si>
    <t>Reparto de los expedientes mediante acta de asignación y/o AZ Digital, y Seguimiento a la base de datos de expedientes de investigaciones administrativas</t>
  </si>
  <si>
    <t>DIRECTORA TECNICA DE INSPECCION Y VIGILANCIA</t>
  </si>
  <si>
    <t>cuatrimestral</t>
  </si>
  <si>
    <t>Perdida de confianza y credibilidad institucional</t>
  </si>
  <si>
    <t>Apropiación del recurso pesqueros y acuícolas decomisados en los operativos de control</t>
  </si>
  <si>
    <t>Indebida aplicación de los procedimientos de inspección, vigilancia y control</t>
  </si>
  <si>
    <t>Afectación a la imagen de la entidad internamente, de conocimiento general nivel interno, de junta directiva y accionistas y/o de proveedores.</t>
  </si>
  <si>
    <t>Revisión de la información Tecnica recolectada en los reportes de los operativos de control, sobre la dispocision inmediata de los recursos pesqueros y acuicolas decomisados (frecuencia y responsable)</t>
  </si>
  <si>
    <t>Verificar la informacion tecnica sobre la dispocision inmediata de los recursos pesqueros y acuicolas decomisados en los operativos de control.</t>
  </si>
  <si>
    <t>Se cuenta con un gestor documental donde se presentan alertas para llevar un control sobre las respuestas de las pqrsd en los términos de ley Az-Diigital</t>
  </si>
  <si>
    <t>Se realizará Verificación manual de la información, ejerciendo un control en los tiempos de respuesta.</t>
  </si>
  <si>
    <t>sanciones y pérdidas económicas</t>
  </si>
  <si>
    <t>Innadecuada verificación de requisitos minimos para el cargo a proveer</t>
  </si>
  <si>
    <t>Por falta de información confiable y veraz en los documentos requeridos para la provisión del cargo.</t>
  </si>
  <si>
    <t>Falta de verificación.
Falta de soportes claros.</t>
  </si>
  <si>
    <t>Posibilidad de sanciones y pérdidas económicas por falta de información confiable y veraz en los documentos requeridos para la provisión del cargo.</t>
  </si>
  <si>
    <t>Formato de verificación de requisitos minimos</t>
  </si>
  <si>
    <t>Afectacion economica</t>
  </si>
  <si>
    <t xml:space="preserve">gestión de los registros de manera inadecuada </t>
  </si>
  <si>
    <t>Inobservancia de la normas legales, contables y procedimientos establecidos sobre registros, obligación y pagos en beneficio de terceros</t>
  </si>
  <si>
    <t>El area de contabilidad  verificaran los requisitos para los registros, (cuenta por pagar, obligación y pago de las obligaciones), por medio de listas de chequeo formalizadas.</t>
  </si>
  <si>
    <t>Realizar seguimiento a la correcta aplicación de los procedimientos para registro (cuenta por pagar, obligación y pago de las obligaciones).</t>
  </si>
  <si>
    <t>Secretaría General (Coordinación Financiera)</t>
  </si>
  <si>
    <t>Manipulación inadecuada de los usuarios, contraseñas y códigos establecidos en el Manual de Seguridad para el Manejo de la Banca Virtual.</t>
  </si>
  <si>
    <t>Debilidades en protocolos de seguridad de acceso a la banca virtual</t>
  </si>
  <si>
    <t>La coordinacion Financiera realizara control y verificación a los parámetros establecidos en el Manual de Seguridad para el Manejo de la Banca Virtual.</t>
  </si>
  <si>
    <t>Realizar seguimiento a la aplicación del Manual de Seguridad para el Manejo de la Banca Virtual.
Actualizar el Manual de Seguridad para el Manejo de la Baanca Virtual. de acuerdo a los cambios que produzca el proveedor de la Banca.x</t>
  </si>
  <si>
    <t>Secretaría General 
Coordinación Financiera</t>
  </si>
  <si>
    <t>Alteracion y hurto de la informacion financiera</t>
  </si>
  <si>
    <t>Falta de adecuación de un espacio que brinde confiabilidad y seguridad para el desarrollo de los procesos que se llevan a cabo para la generación de la información financiera.</t>
  </si>
  <si>
    <t>Los funcionarios encargados del area de presupuesto, contabilidad y tesoreria realizara inspeccion a los puestos de trabajo del grupo grupo de gestión financiera para mejorar la custodia de los soportes de información y operaciones financieras de la entidad</t>
  </si>
  <si>
    <t>Verificación de los puestos de trabajo del grupo grupo de gestión financiera.
Mejorar la custodia de los soportes de información y operaciones financieras de la entidad</t>
  </si>
  <si>
    <t>Secretaría General Coordinación Financiera</t>
  </si>
  <si>
    <t>Favorecimiento de terceros</t>
  </si>
  <si>
    <t>Acceso a los archivos documentales de la entidad no controlado</t>
  </si>
  <si>
    <t>Falta de control para acceder a los archivos documentales de la entidad</t>
  </si>
  <si>
    <t>Falta de controles
Falta de seguimiento a los prestamos documentales</t>
  </si>
  <si>
    <t>Verificar la planilla de prestamos documentales en donde figuren los datos de la persona que solicita el expediente por parte del Profesioal Universitario 11 con funciones de GD y con una frecuencia cuatrimestral.</t>
  </si>
  <si>
    <t>Revisar las acciones de monitoreo con el fin de encontrar fallas en las mismas</t>
  </si>
  <si>
    <t>Sanciones disciplinarias</t>
  </si>
  <si>
    <t>defensa judicial inadecuada</t>
  </si>
  <si>
    <t>Hacer caso omiso en las actuaciones jurídicas en las cuales esta involucrada la entidad a favor de terceros.</t>
  </si>
  <si>
    <t>*Falta de ética profesional. (no se identifica el como)
*Indebida valoración de las pruebas o soportes. 
*Omisiones en las funciones de supervisión.
*Presiones de tipo político o personal. 
*Inadecuada aplicación de la normatividad vigente. 
*Inobservancia de la normatividad.
*Conciliaciones inadecuadas.</t>
  </si>
  <si>
    <t>Revisión de la plataforma EKOGUI-RAMA JUDICIAL y el correo de notificaciones judiciales de la entidad de manera diaria por parte de los abogados de la OAJ.</t>
  </si>
  <si>
    <t>NA</t>
  </si>
  <si>
    <t>Sanciones económicas</t>
  </si>
  <si>
    <t>Manejo interno de los expedientes de manera inadecuada</t>
  </si>
  <si>
    <t>Omisión de los lineamientos y normativas internas y externas en gestión documental en el préstamo de expedientes que reposan en el archivo de la OAJ en favor de terceros</t>
  </si>
  <si>
    <t>Se realiza control interno de los expedientes y archivos, de manera continua por parte del cargo de secretaria ejecutiva de la OAJ.
Publicación en la plataforma EKOGUI-RAMA JUDICIAL de los soportes de los expedientes.</t>
  </si>
  <si>
    <t>afectación reputacional</t>
  </si>
  <si>
    <t>por investigaciones de
entes de control</t>
  </si>
  <si>
    <t>tergiversación del procedimiento de auditoría interna</t>
  </si>
  <si>
    <t>deterioro de la integridad del auditor y presiones indebidas</t>
  </si>
  <si>
    <t>posibilidad de que un auditor introduzca sesgos intencionales para desviar un trabajo de auditoría en beneficio privado.</t>
  </si>
  <si>
    <t>Los auditores realizarán los trabajos de manera grupal para mitigar la posibilidad de sesgos intencionales en la determinación de criterios, en el manejo de muestras e información o en los análisis. Si un auditor presenta inconformidad frente al proceder de otro (detección de desviaciones), el asesor de control interno determinará las acciones pertinentes, de lo cual se deja evidencia en los papeles de trabajo.</t>
  </si>
  <si>
    <t>Anualmente, el asesor de control interno si es posible con el apoyo de terceros (función pública, comité sectorial de auditoría interna, universidades, consultores, etc) capacita el equipo de trabajo sobre la política de control interno, el rol de la unidad de auditoría interna, los lineamientos para auditorías internas basadas en riesgos, el estatuto de auditoría interna, el código de ética del auditor interno y las normas internacionales de auditoría interna.</t>
  </si>
  <si>
    <t>asesor de control interno</t>
  </si>
  <si>
    <t>31/01/202x</t>
  </si>
  <si>
    <t>Frente a un trabajo, cada auditor verificará si se encuentra en conflicto de intereses al serle designado o si ello sobreviene durante el trabajo. Si es asi, lo declarará según el procedimiento establecido y el asesor de control interno reasignará el trabajo a un auditor sin impedimento, de lo cual se deja evidencia en los papeles de trabajo. Así mismo, si un auditor detecta que otro se encuentra en posible situción de conflicto de interes así lo comunicará con el debido cuidado profesional al asesor de control interno para que este deternime lo pertinente.</t>
  </si>
  <si>
    <t>Cuando un auditor ingrese al equipo de trabajo, el asesor de control interno asegura que el auditor suscriba su compromiso ético como auditor en manifestación de su voluntad de integridad y transparencia.</t>
  </si>
  <si>
    <t>El asesor de control interno con el apoyo del equipo de trabajo revisan cada informe preliminar antes de ser remitido al auditado para asegurar su objetividad, independencia, precisión, integralidad, oportunidad y aporte de valor. Se realizan los ajustes pertinentes si el equipo presenta objeciones, de lo cual se deja evidencia en los papeles de trabajo.</t>
  </si>
  <si>
    <t xml:space="preserve">Pérdida de credibilidad, afectación a la reputación e imagen institucional. </t>
  </si>
  <si>
    <t>sin la debida apropiación de procedimientos y protocolos para el manejo de la información debido a la no validación técnica previa de la información.</t>
  </si>
  <si>
    <t>Informe de impacto de las comunicaciones oficiales en los medios de comunicación y la opinión publica.  (canales de comunicación dispuestos por AUNAP)</t>
  </si>
  <si>
    <t>Septiembre</t>
  </si>
  <si>
    <t>Posibilidad de afectación económica y/o reputacional por denuncias debido al uso de material audiovisual producido por terceros sin la debida autorización previa del autor.</t>
  </si>
  <si>
    <t>Reforzar los mensajes relacionados con lineamientos sobre derecho de autor y uso de imagen,  a traves de los canales de comunicació interna.</t>
  </si>
  <si>
    <t>II semestre</t>
  </si>
  <si>
    <t>Conformación de galerias de imágenes propias (es más de tratamiento de riesgo y no de control)</t>
  </si>
  <si>
    <t>Comunicación Estratégica</t>
  </si>
  <si>
    <t>divulgación de comunicaciones oficiales en medios</t>
  </si>
  <si>
    <t>Posibilidad de perdida de credbilidad, afectación reputacional e imagen institucional por divulgación de comunicaciones oficiales en medios sin la debida apropiación de procedimientos y protocolos para el manejo de la información debido a la no validación técnica previa de la información.</t>
  </si>
  <si>
    <t>Validación del cumplimiento de procedimiento de comunicaciones PR-CE-001 por parte del equipo de comucaciones</t>
  </si>
  <si>
    <t xml:space="preserve">Afectación económica y/o reputacional por denuncias </t>
  </si>
  <si>
    <t xml:space="preserve">uso de material audiovisual producido por terceros </t>
  </si>
  <si>
    <t>sin la debida autorización previa del autor.</t>
  </si>
  <si>
    <t>Controlar el uso de fotografias, imagenes, presentaciones, diseños, logos, etc.  (enfocados a validar, verificar) de todos los productos generados por el equipo de comunicaciones.</t>
  </si>
  <si>
    <t>Perdida reputacional</t>
  </si>
  <si>
    <t>por Incumplimiento en la realización de operativos de inspección y vigilancia</t>
  </si>
  <si>
    <t>ejecutarlos operativos de inspección y vigilancia de las regionales y Nivel Central, programados en el cronograma semanalmente</t>
  </si>
  <si>
    <t>Control 2</t>
  </si>
  <si>
    <t>Retrasos en la gestión de las actuaciones administrativas.</t>
  </si>
  <si>
    <t>Fuera de los términos establecidos</t>
  </si>
  <si>
    <t>Actualizar base de datos de la ultima actuación que se refleje el agotamiento de las etapas de los procedimientos administrativos sancionatorios por parte de los abogados.</t>
  </si>
  <si>
    <t>perdida reputacional</t>
  </si>
  <si>
    <t>Dirección Técnica de Administración y Fomento</t>
  </si>
  <si>
    <t>Dirección General</t>
  </si>
  <si>
    <t>Dirección Técnica de Inspección y Vigilancia</t>
  </si>
  <si>
    <t xml:space="preserve">Falta de planeación de los operativos </t>
  </si>
  <si>
    <t xml:space="preserve">Afectación de la imagen institucional </t>
  </si>
  <si>
    <t xml:space="preserve">Posibilidasd de afectación de la imagen institucional debido a la realización de actuaciones administrativas por fuera de los terminos de ley. </t>
  </si>
  <si>
    <t xml:space="preserve">Verificar que la información reportada por los abogados sea veraz y precisa </t>
  </si>
  <si>
    <t xml:space="preserve">Realizar seguimiento y revisión a la gestión de las etapas de los procedimientos administrativos sancionatorios según las actualizaciones reportadas por los abogados, de cada una de las Regional y Nivel Central. </t>
  </si>
  <si>
    <t xml:space="preserve">generación de datos no continuos, inexactos e inoportunos </t>
  </si>
  <si>
    <t xml:space="preserve">Fallas en la capacitación del personal de campo y fallas en la veracidad de la información reportada por las fuentes  </t>
  </si>
  <si>
    <t>El profesional del grupo de estadística verifica que el operador haya realizado la capacitación al personal de campo de acuerdo con lo establecido en el MN-IV-007V1 manual operativo, a través del formato FT-IV-051 V2 de seguimiento y medición al desarrollo de la operacion estadística  en el componente de entrenamiento de personal</t>
  </si>
  <si>
    <t>Monitorear los informes del seguimiento y medición al desarrollo de la operacion estadística  en el componente de entrenamiento de personal y sensibilizacion a la fuente</t>
  </si>
  <si>
    <t>El profesional del grupo de estadística verifica que el operador haya realizado la capacitación al personal de campo de acuerdo con lo establecido en el MN-IV-007V1 manual operativo, a través del formato FT-IV-051 V2 de seguimiento y medición al desarrollo de la operacion estadística   en el componente de sensibilizar fuentes</t>
  </si>
  <si>
    <t xml:space="preserve">Generación de datos no continuos, inexactos e inoportunos </t>
  </si>
  <si>
    <t>El Coordinador del grupo interno de trabajo de registro y estadísticas de pesca y acuicultura verifica que el operador haya realizado la capacitación al personal de campo de acuerdo con lo establecido en el MN-IV-007V1 manual operativo, a través del formato FT-IV-051 V2 de seguimiento y medición al desarrollo de la operacion estadística  en el componente de entrenamiento de personal</t>
  </si>
  <si>
    <t>Hallazgos de auditorías internas y externas</t>
  </si>
  <si>
    <t xml:space="preserve">Emisión de conceptos de investigación sin las condiciones técnicas requeridas.  </t>
  </si>
  <si>
    <t xml:space="preserve">Ausencia o debilidades en análisis técnico de la información por desconocimiento del procedimiento Concepto Técnico PR-IC-002  </t>
  </si>
  <si>
    <t xml:space="preserve">Posibilidad de hallazgos de auditorías internas y externas debido a la emisión de conceptos de investigación sin las condiciones técnicas requeridas por Ausencia o debilidades en análisis técnico de la información por desconocimiento del procedimiento Concepto Técnico PR-IC-002  </t>
  </si>
  <si>
    <t>Verificación del cumplimiento del Procedimiento PR-OGCI-02</t>
  </si>
  <si>
    <t xml:space="preserve">Cumplir con las directrices establecidas en el  Procedimiento Concepto Técnico PR-IC-002 en su debida aplicación.
Elaboración de una carpeta soporte  que contenga los archivos recibidos en la correspondencia.
</t>
  </si>
  <si>
    <t>Elaboracion de carpeta virtual de conceptos tecnicos emitidos</t>
  </si>
  <si>
    <t>Pérdida de confianza y credibilidad institucional</t>
  </si>
  <si>
    <t>Respuesta inoportuna de las solicitudes de conceptos tecnicos.</t>
  </si>
  <si>
    <t>Falta de conocimiento del personal de los términos legales  ( ley 1755/2015) para responder solicitudes de los conceptos recibidos.</t>
  </si>
  <si>
    <t>Posibilidad de Pérdida de confianza y credibilidad institucional debido a la respuesta inoportuna de las solicitudes de conceptos tecnicos por la falta de conocimiento del personal de los términos legales  ( ley 1755/2015) para responder solicitudes de los conceptos recibidos.</t>
  </si>
  <si>
    <t>Cumplimiento de la metodología establecida en el  Procedimiento Concepto Técnico PR-IC-002</t>
  </si>
  <si>
    <t xml:space="preserve">
•Registrar en la matriz de seguimiento las fechas de recibo y emisión de  los conceptos técnicos emitidos y almacenarlos en la carpeta virtual.
</t>
  </si>
  <si>
    <t>Socialización de la ley 1755/2015 a los profesionales competentes</t>
  </si>
  <si>
    <t xml:space="preserve"> Investigaciones disciplinarias, legales y perdida de credibilidad institucional,</t>
  </si>
  <si>
    <t xml:space="preserve">Selección y aprobación de proyectos de investigación sin el cumplimiento de los requerimientos establecidos en el procedimiento PR_OGCI 01-V2
</t>
  </si>
  <si>
    <t>No cumplimiento de las actividades establecidas en el  Procedimiento PR_OGCI 01-V2</t>
  </si>
  <si>
    <t>Posibilidad de investigaciones disciplinarias, legales y  Pérdida de credibilidad institucional debido a Selección y aprobación de proyectos de investigación sin el cumplimiento de los actividades establecidas en el procedimiento PR_OGCI 01-V2</t>
  </si>
  <si>
    <t>Verificación del cumplimiento del Procedimiento identificación, selección, priorización, formulación, de los proyectos de investigación. 
PR-OGCI-01- V2</t>
  </si>
  <si>
    <t>Elaboración de una carpeta soporte que contenga los proyectos ejecutados en la vigencia con sus respectivos soportes en cumplimiento del procedimiento PR_OGCI 01-V2</t>
  </si>
  <si>
    <t>Socializacion anual del procedimiento PR_OGCI 01-V2 a los profesionales competentes</t>
  </si>
  <si>
    <t>Acciones legales en contra de la entidad</t>
  </si>
  <si>
    <t xml:space="preserve">definición de presupuesto de proyectos de investigación </t>
  </si>
  <si>
    <t>Estimación elevada de los precios del mercado para la definición del presupuesto del proyecto de Investigación en los estudios previos.</t>
  </si>
  <si>
    <t>Posibilidad de acciones legales en contra de la entidad debido a la definición del presupuesto del proyecto de investigación por estimación elevación de precios de del mercado requeridos en los estudios previos para definir el presupuesto del proyecto de Investigación.</t>
  </si>
  <si>
    <t>Cumplimiento del Procedimiento identificación, selección, priorización, formulación, de los proyectos de investigación. 
PR-OGCI-01- V2</t>
  </si>
  <si>
    <t>•Verificar los precios del mercado se efectue con cotizaciones ó  referentes validos y suficientes para determinar el valor del gasto en la ejecución del proyecto.
•Verificar que el contenido de los estudios de mercado decriba los rubros con sus caracteristicas acorde al proyecto.  
•Seguimiento al cumplimiento del Procedimiento PR-OGCI-01</t>
  </si>
  <si>
    <t>Adecuado análisis de estudios de precios de mercado mediante una revisión interna de cada proyecto.</t>
  </si>
  <si>
    <t>Perdida de credibilidad institucional, investigaciones disciplinaria, legales</t>
  </si>
  <si>
    <t>Inconsistencias técnicas y administrativas en la estructuración de los proyectos de investigación.</t>
  </si>
  <si>
    <t>Falta de controles técnicos, financieros y jurídicos.</t>
  </si>
  <si>
    <t>Posibilidad de Pérdida de confianza y credibilidad institucional debido a nconsistencias técnicas y administrativas en la estructuración de los proyectos de investigación por Falta de controles técnicos, financieros y jurídicos.</t>
  </si>
  <si>
    <t xml:space="preserve">1.Fortalecer la estructuración de los estudios previos involucrando profesionales tecnicos, financieros y juridicos. 
2.Socializar las funciones y competencias de la OGCI para el cumplimiento de su misión. </t>
  </si>
  <si>
    <t>Socializacion anual del procedimiento a los profesionales competentes</t>
  </si>
  <si>
    <t xml:space="preserve">Debilidades en la supervisión dando lugar al incumplimiento del  manual de supervisión e interventoría de la entidad. </t>
  </si>
  <si>
    <t>Perdida de la competencia para la liquidación un Contrato y/o convenio suscrito entre la entidad  cooperantes y/o contratistas dentro de los términos legales.</t>
  </si>
  <si>
    <t xml:space="preserve">Posibilidad de acciones legales en contra de la entidad debido a las debilidades presentadas en la supervisión dando lugar al  incumplimiento del manual de supervisión e interventoría de la entidad por perdida de la competencia para liquidar un Contrato y/o convenio suscrito entre la entidad  cooperantes y/o contratistas dentro de los términos legales.   </t>
  </si>
  <si>
    <t>Cumplimiento del Procedimiento de Seguimiento a los Proyectos de
Investigación  PR-IC-003-V1</t>
  </si>
  <si>
    <t xml:space="preserve">•Capacitar a los funcionarios  y/o contratistas del área el conocimiento y cumplimiento del manual de supervisión de la entidad.
•Socializar a los funcionarios y/o contratistas del área designados como supervisores , los términos legales para la liquidación de un contrato y/o convenio.
•Verificar que los contratos y/o convenios finalizados en vigencias anteriores se liquiden en la oportunidad descrita en la ley. </t>
  </si>
  <si>
    <t>Socializacion anual del manual de supervisión e interventoria a los profesionales competentes</t>
  </si>
  <si>
    <t>Investigaciones disciplinarias, legales y perdida de credibilidad institucional</t>
  </si>
  <si>
    <t>Deficiencia en el seguimiento del avance de ejecución de las actividades establecidas en el plan operativo del proyecto</t>
  </si>
  <si>
    <t>debilidad en la supervisión o interventoría.</t>
  </si>
  <si>
    <t>Posibilidad de investigaciones disciplinarias, legales y  Pérdida de credibilidad institucional debido a la deficiencia en el seguimiento del avance de ejecución de las actividades establecidas en el plan operativo del proyecto por debilidad en la supervisión o interventoría.</t>
  </si>
  <si>
    <t xml:space="preserve">
1. Solicitar de manera periódica al la entidad responsable los informes relacionados con la ejecución de las actividades previstas para el cumplimiento del objeto contractual. 
2. Verificación de los informes allegados por parte de la entidad responsable para poder evidenciar  una ejecución adecuada.
3. Socializar a los funcionarios y/o contratistas del área designados el manual de  supervisión e interventoría de la Entidad.</t>
  </si>
  <si>
    <t>Reuniones semanales equipo de profesionales de apoyo a la supervisión</t>
  </si>
  <si>
    <t>Perdida de credibilidad institucional, investigaciones disciplinarias, legales</t>
  </si>
  <si>
    <t xml:space="preserve">Inclusión de gastos no autorizados en la ejecución de un Proyecto de Investigación.
</t>
  </si>
  <si>
    <t>Falta de seguimiento al presupuesto aprobado en el Convenio y/o Contrato por parte del personal responsable.</t>
  </si>
  <si>
    <t>Posibilidad de Pérdida de confianza y credibilidad institucional debido a la inclusión de gastos no autorizados en la ejecución de un Proyecto de Investigación por falta de seguimiento al presupuesto aprobado en el Convenio y/o Contrato por parte del personal responsable.</t>
  </si>
  <si>
    <t xml:space="preserve">1. Solicitar soportes documentales de la ejecución financiera del Convenio y/o Contrato a la entidad responsable.
2. Verificar que la ejecución financiera este acorde con el presupuesto y el plan de inversión acordado.
3. Darle cumplimiento a lo establecido en manual se supervisión e interventoría de la entidad.
</t>
  </si>
  <si>
    <t>Actas de revisión y priorización de las propuestas de investigación.</t>
  </si>
  <si>
    <t>Direccionamiento Estratégico</t>
  </si>
  <si>
    <t>Definir un cronograma de operativos a realizar semanalmente en cabeza de la Profesional Universitaria encargada del seguimiento. (frecuencia y responsable)</t>
  </si>
  <si>
    <t>- Perdida de credibilidad institucional 
- Perdida economica 
- Reprocesos 
- Hallazgos en auditorias internaz y extrenas 
- Quejas o reclamos de los grupo de valor debido a la falta de competencia y conocimiento y del  servidor público.</t>
  </si>
  <si>
    <t xml:space="preserve">
- Debilidades en análisis técnico de la información
- Personal sin la idoneidad y experticia necesaria
- Carencias en la disponilidad de información técnica</t>
  </si>
  <si>
    <t>- Falencias en la administración de la información.
- Ausencia de herramientas tecnológicas para la optimización del los procesos
- Personal insuficiente o con competencias limitadas.</t>
  </si>
  <si>
    <t xml:space="preserve">Posibilidad de expedir erróneamente los permisos o patentes por documentación incompleta generando también un aumento pago de tasas debido a que no se revisa adecuadamente la documentación por ausencia de conocimiento o falta de la habilidad necesaria </t>
  </si>
  <si>
    <t xml:space="preserve">El profesional encargado de llevar la relación matriz de control de tramites estableciendo tiempos, semanalmente revisa tiempos de respuesta </t>
  </si>
  <si>
    <t xml:space="preserve">- Procedimientos para la expedición de permisos y patentes
- Capacitación de inducción proceso expedicion de trámites </t>
  </si>
  <si>
    <t xml:space="preserve">Director Tecnico de Administración y Fomento </t>
  </si>
  <si>
    <t>Abril 
Agosto
Diciembre</t>
  </si>
  <si>
    <t xml:space="preserve">Activo </t>
  </si>
  <si>
    <t xml:space="preserve">El profesional encargado de expedir el tramite verifica el listado de documentación </t>
  </si>
  <si>
    <t xml:space="preserve">El profesional encargado de expedir el tramite debe verificar la Resolucion vigente de pago de tasas y liquidar debidamente </t>
  </si>
  <si>
    <t xml:space="preserve">Posibilidad de incumplir con los tiempos establecidos para cada trámite por desconocimiento de la normatividad aplicable, ya que no se realiza un adecuado control </t>
  </si>
  <si>
    <t xml:space="preserve">- Procedimientos para la expedición de permisos y patentes
- Capacitación de inducción proceso expedicion de trámites 
- Socialización de la normatividad vigente </t>
  </si>
  <si>
    <t>El profesional encargado debe tener en cuenta las resoluciones vigentes aplicable</t>
  </si>
  <si>
    <t>- Perdida de credibilidad institucional
- Incumplimiento de las metas y objetivos institucionales
- Reprocesos 
- Hallazgos de auditorías internas y externas.</t>
  </si>
  <si>
    <t>- Falta de comunicación
- No hay lineamientos claros para la definición de acciones
- Exclusión de la Direcciones Regionales en la definición de acciones</t>
  </si>
  <si>
    <t>- Inasistencia a las reuniones periodicas de seguimiento entre la DTAF y la Direcciones Regionales 
- Omitir lineamientos por parte de las Direcciones Regionales, que se dicten desde la DTAF</t>
  </si>
  <si>
    <t>Posibilidad de inaplicabilidad de los lineamientos de la DTAF por parte de las Direcciones regionales por omisión o inobservancia por falta de intéres, sentido de pertenencia o compromiso</t>
  </si>
  <si>
    <t>Mesas de trabajo para la definición y prorización de acciones misionales</t>
  </si>
  <si>
    <t xml:space="preserve">- Capacitaciones 
- Mesas de trabajo 
- Divulgación de información </t>
  </si>
  <si>
    <t xml:space="preserve">Memorandos de directrices por parte de la DTAF </t>
  </si>
  <si>
    <t xml:space="preserve">Capacitaciones impartidad por la DTAF </t>
  </si>
  <si>
    <t>- Hallazgos en auditorías internas y externas.
- Investigaciones penales
- Incertidumbre en la gestión y procesos, el cumplimiento del objetivo de los procesos y la misionalidad 
- Cambios y limitaciones en los procesos y actividades diarias
- Perdida de la información 
- Procesos interrumpidos 
- Demora en la atención de trámites y PQRSD</t>
  </si>
  <si>
    <t xml:space="preserve">- Enfermedad epidémica que se extiende a muchos países o que ataca a casi todos los individuos de una localidad o región
- Emergencias ambientales o naturales y/o casos fortuitos 
- Paros y movilizaciones que afectan la movilidad </t>
  </si>
  <si>
    <t>- Desconocimiento de la situación y de como actuar frente a estos eventos 
- Se desconoce la prevención que ayuda a disminuir su impacto en perdida de información y continuidad en los procesos</t>
  </si>
  <si>
    <t xml:space="preserve">Posibilidad de interrupción de los procesos de la DTAF y perdida de la información por emergencias, desastres naturales, eventos externos, orden público, entre otros, debido a que no se tiene un protocolo de respuesta y de acciones para estas incidencias </t>
  </si>
  <si>
    <t xml:space="preserve">Implementar estrategias y cambios tecnológicos para la continuidad de los procesos
</t>
  </si>
  <si>
    <t xml:space="preserve">Capacitacion al persona para saber actuar en caso de que ocurran estos eventos </t>
  </si>
  <si>
    <t xml:space="preserve">Divulgar y socializar actividades y procesos laborales </t>
  </si>
  <si>
    <t>- Hallazgos en auditorías internas y externas.
- Investigaciones penales
- Incertidumbre en la gestión y procesos, el cumplimiento del objetivo de los procesos y la misionalidad 
- Reprocesos 
- Quejas o reclamos de los grupo de valor debido a la falta de competencia y conocimiento y del  servidor público</t>
  </si>
  <si>
    <t xml:space="preserve">
- Falta de control a las regionales en el proceso de expedicion del permisos</t>
  </si>
  <si>
    <t xml:space="preserve">- Falencias en enviar la información completa y a tiempo parte de las regionales </t>
  </si>
  <si>
    <t xml:space="preserve">Posibilidad de  generar dilaciones en la expedición de prorrogas debido a que las regionales retrasan el envío de documentos, ademas de que esten incompletos debido a la debilidad en la aplicación del procedimiento y directrisces por parte de la DTAF </t>
  </si>
  <si>
    <t xml:space="preserve">- Capacitaciones 
- Mesas de trabajo 
- Divulgación de información 
- Matriz de control de tramites y tiempos </t>
  </si>
  <si>
    <t xml:space="preserve">- Hallazgos en auditorías internas y externas.
- Investigaciones penales
- Incertidumbre en la gestión y procesos, el cumplimiento del objetivo de los procesos y la misionalidad 
- Reprocesos </t>
  </si>
  <si>
    <t xml:space="preserve">
- No llevar un registro de copias de las notificaciones que realizan las regionales</t>
  </si>
  <si>
    <t xml:space="preserve">- Omitir el procedimiento 
</t>
  </si>
  <si>
    <t xml:space="preserve">Posibilidad de abstener de realizar el registro y control de las copias de notificación de las regionales a las resoluciones omitiendo el registro y control de las notificaciones 
debido a la ausencia de conocimiento o falta de la habilidad necesaria 
y por saltarse las actividades el procedimiento 
</t>
  </si>
  <si>
    <t xml:space="preserve">- Realizar el registro de control en la matriz de tramites, incluyendo columna de notificaciones  semaforo </t>
  </si>
  <si>
    <t>- Capacitaciones al personal que realiza el registro y control
- Revisión periodica de la matriz de registro y control</t>
  </si>
  <si>
    <t>Director Tecnico de Administración y Fomento</t>
  </si>
  <si>
    <t>Sanciones</t>
  </si>
  <si>
    <t>Innadecuada liquidación de la nomina</t>
  </si>
  <si>
    <t>No inclusión de Novedades en en software de nómina</t>
  </si>
  <si>
    <t>Posibilidad de sanciones por la no inclusión de novedades en el software de nómina</t>
  </si>
  <si>
    <t>Fomatos de cada una de las novedades que pueden afectar nómina</t>
  </si>
  <si>
    <t>Incumplimiento de los terminos legales para la liquidación de los actos contractuales</t>
  </si>
  <si>
    <t>Descuido del contrato asignado para ejercer la supervisión</t>
  </si>
  <si>
    <t>Indebida supervisión</t>
  </si>
  <si>
    <t>Manual de supervisión</t>
  </si>
  <si>
    <t>Remitir oficio de vencimiento de términos de liquidación de los actos contractuales</t>
  </si>
  <si>
    <t>Grupo Gestión contractual</t>
  </si>
  <si>
    <t>Requerimiento por parte de GGC</t>
  </si>
  <si>
    <t>Afectacion Economica</t>
  </si>
  <si>
    <t>Traslado de documentos de gestión financiera a archivo central</t>
  </si>
  <si>
    <t>debilidad en  la custodia durante  el traslado</t>
  </si>
  <si>
    <t>La coordinancion Financiera realizara control y seguimiento de la ubicacion fisica de los documentos.</t>
  </si>
  <si>
    <t>Control y seguimiento de la ubicacion fisica de los documentos.</t>
  </si>
  <si>
    <t>Gestión Financiera</t>
  </si>
  <si>
    <t>Incumplimiento de  la norma vigente para la administración de los archivos de gestión</t>
  </si>
  <si>
    <t>envio de la documentación al archivo central de manera inoportuna</t>
  </si>
  <si>
    <t>Desorganización al interior de las áreas en la gestión de archivos</t>
  </si>
  <si>
    <t>Requerimientos escritos a las áreas para que actualicen los archivos generados en sus actividades.   (frecuencia, responsable)</t>
  </si>
  <si>
    <t xml:space="preserve"> Campaña de sensibilización y comunicación del sistema de gestión documental</t>
  </si>
  <si>
    <t>Gestión Documental</t>
  </si>
  <si>
    <t>Desactualización del sistema de inventarios a nivel nacional</t>
  </si>
  <si>
    <t>Las diferentes oficinas de las areas a nivel central y las  regionales no reportan los cambios o reasignaciones de los inventarios</t>
  </si>
  <si>
    <t>Debilidad en la implementación de la política de inventarios.</t>
  </si>
  <si>
    <t xml:space="preserve">El Grupo Administrativo debera actualizar y monitorear los inventarios cuatrimestralmente </t>
  </si>
  <si>
    <t>Divulgación</t>
  </si>
  <si>
    <t>Grupo Admiistrativo</t>
  </si>
  <si>
    <t>El Grupo Administrativo realizara piezas de comunicación en el uso correcto del manejo de los inventarios  semestralmente</t>
  </si>
  <si>
    <t>Detrimento Patrimonial</t>
  </si>
  <si>
    <t>Perdida de equipos electrónicos</t>
  </si>
  <si>
    <t>Ausencia de control de los activos asignados por parte de los funcionarios o siniestros por tercero o caso fortuito</t>
  </si>
  <si>
    <t>El Grupo Administrativo debe realizar boletines informativos para el buen uso y cuidado de los bienes electronicos de la entidad de manera cuatrimestral</t>
  </si>
  <si>
    <t>Gestión Administrativa</t>
  </si>
  <si>
    <t>Cese de operaciones totales o parciales de la entidad</t>
  </si>
  <si>
    <t>Uso de  software no licenciados</t>
  </si>
  <si>
    <t>debilidad en los controles para el vencimiento de las licencias</t>
  </si>
  <si>
    <t>Adelantar una matriz  en la cual se registre  la infraestructura tecnológica de la entidad especialmente las licencias de software estableciendo su vigencia  y su periodicidad para iniciar proceso de contratación para su renovación</t>
  </si>
  <si>
    <t>Establecer el Plan anual de compras de infraestructura Tics.
 Establecer una matriz de control de vigencias de las licencias de uso de software y de inicio de proceso contractual.</t>
  </si>
  <si>
    <t xml:space="preserve">OGCI - TICS </t>
  </si>
  <si>
    <t xml:space="preserve">CUATRIMESTRAL </t>
  </si>
  <si>
    <t>Posibilidad de afectación reputacional</t>
  </si>
  <si>
    <t>observaciones de entes externos de control o requerimientos de otras entidades</t>
  </si>
  <si>
    <t>presentación extemporánea de informes de ley</t>
  </si>
  <si>
    <t>Posibilidad de afectación reputacional al proceso por observaciones de entes externos de control o requerimientos de otras entidades por presentación extemporánea de informes de ley</t>
  </si>
  <si>
    <t>El asesor de control interno con el apoyo del respectivo auditor, verifica en el Plan Anual de Auditoría la fecha de presentación de un informe y agenda con 5 días de antelación la revisión de la versión preliminar del informe y sus papeles de trabajo. Si hay posibilidad de incumplimiento se formula una acción de choque. Se realiza seguimiento semanal al avance de los trabajos.</t>
  </si>
  <si>
    <t>No aplica (el tratamiento para un riesgo en zona de riesgo inherente baja es aceptar)</t>
  </si>
  <si>
    <t>insatisfacción de los grupos de interés</t>
  </si>
  <si>
    <t>fallas en las evaluaciones independientes de los controles</t>
  </si>
  <si>
    <t>Posibilidad de afectación reputacional al proceso por insatisfacción de los grupos de interés por fallas en las evaluaciones independientes de los controles</t>
  </si>
  <si>
    <t>El asesor de control interno con el apoyo del equipo de trabajo revisan cada informe preliminar antes de ser remitido al auditado para asegurar su objetividad, independencia, precisión, integralidad, oportunidad y aporte de valor.</t>
  </si>
  <si>
    <t>Proceso</t>
  </si>
  <si>
    <t>Área</t>
  </si>
  <si>
    <t>Gestión de Inspección y Vigilancia</t>
  </si>
  <si>
    <t>Dirección Técnica de
 Inspección y Vigilancia</t>
  </si>
  <si>
    <t>Atención al Ciudadano</t>
  </si>
  <si>
    <t>Coordinación Administrativa</t>
  </si>
  <si>
    <t>Gestión de Talento Humano</t>
  </si>
  <si>
    <t>Coordinación Talento Humano</t>
  </si>
  <si>
    <t>Gestión Contratación</t>
  </si>
  <si>
    <t>Coordinación grupo Contractual</t>
  </si>
  <si>
    <t>Coordinación grupo financiera</t>
  </si>
  <si>
    <t>Gestión Servicios TIC</t>
  </si>
  <si>
    <t>Vulneración de derechos de los usuarios o partes interesadas</t>
  </si>
  <si>
    <t>La atención de las pqrsd de manera inoportuna</t>
  </si>
  <si>
    <t>Debilidad en el compromiso por parte de los funcionarios y colaboradores.</t>
  </si>
  <si>
    <t xml:space="preserve">Falta de controles </t>
  </si>
  <si>
    <t>Se cuenta con una herramienta, la cual ejerce controles y alertas para el cumplimiento de las respuestas de las pqrsd, y tiene parametizado los termino que indica la Ley (Responsable y frecuencia).</t>
  </si>
  <si>
    <t>10</t>
  </si>
  <si>
    <t>Gestión de la Información y Generación del Conocimiento</t>
  </si>
  <si>
    <t>Oficina de la Generación del Conocimiento y la Información</t>
  </si>
  <si>
    <t>Secretaría General Coordinación Administrativa</t>
  </si>
  <si>
    <t>Secretaría General Coordinación Talento Humano</t>
  </si>
  <si>
    <t>Evaluación, Seguimiento y Control</t>
  </si>
  <si>
    <t>Dirección General - Control Interno</t>
  </si>
  <si>
    <t xml:space="preserve">- Hallazgos en auditorías internas y externas.
- Investigaciones penales
- Incertidumbre en la gestión y procesos, el cumplimiento del objetivo de los procesos y la misionalidad 
- Enriquecimiento ilicito </t>
  </si>
  <si>
    <t xml:space="preserve">
- Inaplicación de los procedimientos para los diferentes trámites
- Omision del procedimiento</t>
  </si>
  <si>
    <t xml:space="preserve">- Interes economico del funcionario o contratista </t>
  </si>
  <si>
    <t xml:space="preserve">- Beneficio economico personal 
- Falta de etica y valores por parte de la persona quienn comete el hecho </t>
  </si>
  <si>
    <t xml:space="preserve">Posibilidad de cobro por expedir el carné de pesca artesanal o cobro indebido de los trámites registrado, sin la debida revisión documental e incumplimiento de los requisitos por garantizar o acelerar la expedición del carné o trámite, omitiendo el procedimiento o por un interes o beneficio economico </t>
  </si>
  <si>
    <t xml:space="preserve">- Realizacion de instagram live sobre todos los tramites de la AUNAP y sus caracteristicas 
- Divulgación de la información y caracteristicas de los trámites en pagina web </t>
  </si>
  <si>
    <t xml:space="preserve">- Socialización de información  del tramite de carné </t>
  </si>
  <si>
    <t xml:space="preserve">LIDER DTAF </t>
  </si>
  <si>
    <t xml:space="preserve">Abril 
Agosto
Diciembre
</t>
  </si>
  <si>
    <t>- Investigaciones disciplinarias y penales
- Perdida de confianza y credibilidad institucional
- Reprocesos 
- Algunas colectividades pierden oportunidad de beneficiarse 
- Transgredir las normas legales y los principios éticos
- Incumplimiento de manera intencionada del principio de imparcialidad y de la Ley</t>
  </si>
  <si>
    <t>- Interés personales,
- Trafico de influencias y sobornos</t>
  </si>
  <si>
    <t xml:space="preserve">- Favorecimiento por algun tipo de interes por parte del funcionario o contratista que realiza la acción
- Falta de etica y valores profesionales 
- Ausencia de compromiso con la Entidad </t>
  </si>
  <si>
    <t xml:space="preserve">- Beneficio economico personal  
- Fragilidad institucional </t>
  </si>
  <si>
    <t xml:space="preserve">Posibilidad de atender a colectividades del programa de fomento, sin el lleno de requisitos estableciendo la selección de los posibles beneficiarios, por parte de las direcciones regionales debido a la omisión de los criterios establecidos por la DTAF </t>
  </si>
  <si>
    <t xml:space="preserve">- Expedicion y socialización de la Reglamentacion vigente 
- Socializacion y publicacion del procedimiento del programa de Fomento </t>
  </si>
  <si>
    <t>VALORACIÓN RR CORRUPCIÓN'!A2</t>
  </si>
  <si>
    <t xml:space="preserve">-Socializaciones y publicacion </t>
  </si>
  <si>
    <t>Posibilidad de expedición de documento invalido por utilización indebida de la firma del Representante legal de la AUNAP debido a un interés económico</t>
  </si>
  <si>
    <t xml:space="preserve">- Expedicion y socialización de la Reglamentacion vigente 
- Socializacion y publicacion del procedimiento </t>
  </si>
  <si>
    <t xml:space="preserve">Posibilidad de pérdida de material biológico en las estaciones a cargo de la AUNAP generando retraso en los procesos biológicos e incapacidad de cobertura para el fomento asi como el detrimento económico, debido a la debilidad en los controles </t>
  </si>
  <si>
    <t xml:space="preserve">- Aplicabilidad de controles 
- Realizar visitas a las estaciones </t>
  </si>
  <si>
    <t>VALORACIÓN RR CORRUPCIÓN'!A4</t>
  </si>
  <si>
    <t xml:space="preserve">- Visitas y controles </t>
  </si>
  <si>
    <t>Gestión de Administración y Fomento</t>
  </si>
  <si>
    <t>Dirección General/planeación</t>
  </si>
  <si>
    <t>Dirección General/Comunicaciones</t>
  </si>
  <si>
    <t>Gestión De La Información Y Generación Del Conocimiento</t>
  </si>
  <si>
    <t>Oficina de Generación del Conocimiento y la Información</t>
  </si>
  <si>
    <t>Gestion de Administración y Fomento</t>
  </si>
  <si>
    <t>Secretaría General - Coordinación de Talento Humano</t>
  </si>
  <si>
    <t>Gestión de la Contratación</t>
  </si>
  <si>
    <t>Secretaría General- Coordinación Gestión Contractual</t>
  </si>
  <si>
    <t>Reducción con controles</t>
  </si>
  <si>
    <t>Zona de Riesgo Residual</t>
  </si>
  <si>
    <t>Monitorear  impacto de la información oficial en los medios externos o en la opinión pública por parte del equipo de comunicaciones</t>
  </si>
  <si>
    <t>Verificación bimestral por parte del equipo de comunicaciones del uso de contraseñas seguras (combinar diferentes caracteres)</t>
  </si>
  <si>
    <t>Renovar de manera bimestral por parte del equipo de comunicaciones Periodicamente las contraseñas de los canales digitales</t>
  </si>
  <si>
    <t>GESTIÓN DE CONTROL INTERNO DISCIPLINARIO</t>
  </si>
  <si>
    <t>CD</t>
  </si>
  <si>
    <t>Adelantar las investigaciones disciplinarias relacionadas con la conducta de los servidores públicos de la AUNAP, bajo los lineamientos del debido proceso y la celeridad.</t>
  </si>
  <si>
    <t>Ausencia de controles o insuficiencia de los mismos.
 Escaso seguimiento de los superiores.</t>
  </si>
  <si>
    <t>Evaluación inadecuada de la queja o la denuncia en beneficio particular.</t>
  </si>
  <si>
    <t>•Perdida de imagen institucional.
 Pérdida de credibilidad.
 Vulneracion de derechos.</t>
  </si>
  <si>
    <t>Activo</t>
  </si>
  <si>
    <t>Rara vez</t>
  </si>
  <si>
    <t>RARA VEZ</t>
  </si>
  <si>
    <t>MAYOR</t>
  </si>
  <si>
    <t>Autocontrol de proceso
Seguimiento a la evaluación por parte del jefe de la dependencia</t>
  </si>
  <si>
    <t>Reducir, evitar, compartir o transferir el riesgo</t>
  </si>
  <si>
    <t>Seguimiento a la evaluacion de las quejas (Reunion de gestión).</t>
  </si>
  <si>
    <t>Seguimiento realizado a la evaluacion de las quejas (Reunion de gestión).</t>
  </si>
  <si>
    <t>Reunión de gestión realizada / Reunión de gestión programada</t>
  </si>
  <si>
    <t>Secretaría General</t>
  </si>
  <si>
    <t>Insuficiencia de los controles</t>
  </si>
  <si>
    <t>Prescripcion por mora intencional en beneficio particular</t>
  </si>
  <si>
    <t>Autocontrol de proceso
 Seguimiento por parte del Jefe de la Dependencia</t>
  </si>
  <si>
    <t>Priorizar los procesos que tienen menor tiempo de gestión (Reunion de gestión).</t>
  </si>
  <si>
    <t>Reunión de gestión realizada para la prorización de procesos
(Reunion de gestión).</t>
  </si>
  <si>
    <t>Desconocimiento del manejo documental
 No aplicación de controles en el manejo de la información y la custodia de los expedientes.</t>
  </si>
  <si>
    <t>Pérdida de expedientes o piezas procesales en beneficio particular o de terceros</t>
  </si>
  <si>
    <t>Operativo</t>
  </si>
  <si>
    <t>Confidencialidad en la información</t>
  </si>
  <si>
    <t>Consecución de elementos apropiados para conservar la seguridad de los expedientes
 Capacitación en gestión documental a los operadores.</t>
  </si>
  <si>
    <t>Garantizar la seguridad y custodia del archivo de los expedientes .</t>
  </si>
  <si>
    <t>Custodia de expedientes</t>
  </si>
  <si>
    <t>No aplicación del debido proceso, de manera deliberada.
 Insuficiencia de los controles</t>
  </si>
  <si>
    <t>Proferir fallos contra derecho en beneficio particular</t>
  </si>
  <si>
    <t>•Perdida de imagen institucional.
 Pérdida de credibilidad.
 Vulneracion de derechos.
 Daño patrimonial al Estado</t>
  </si>
  <si>
    <t>Seguimiento del trabajo del operador.
 Capacitación en cultura de la legalidad e Integridad
 Capacitación en temas de derecho disciplinario</t>
  </si>
  <si>
    <t>Revision de la proyeccion de los fallos antes de la firma</t>
  </si>
  <si>
    <t>Proyección de fallos revisados</t>
  </si>
  <si>
    <t>Proyectos revisados / Proyectos entregados</t>
  </si>
  <si>
    <t>No aplicación del procedimiento establecido</t>
  </si>
  <si>
    <t>No enviar para registro las sanciones ejecutoriadas</t>
  </si>
  <si>
    <t>Seguimiento al registro de las sanciones ejecutoriadas</t>
  </si>
  <si>
    <t>Seguimiento al registro de las sanciones ejecutoriadas. (Reunion de gestión).</t>
  </si>
  <si>
    <t>Reunión de gestión realizada para la prorización de procesos</t>
  </si>
  <si>
    <t>IDENTIFICACIÓN DEL RIESGO</t>
  </si>
  <si>
    <t>ANÁLISIS DE RIESGOS</t>
  </si>
  <si>
    <t>VALORACIÓN DE RIESGOS</t>
  </si>
  <si>
    <t>MONITOREO Y SEGUIMIENTO</t>
  </si>
  <si>
    <t>RIESGO INHERENTE</t>
  </si>
  <si>
    <t>RIESGO RESIDUAL</t>
  </si>
  <si>
    <t>Cod.</t>
  </si>
  <si>
    <t>Objetivo del Proceso</t>
  </si>
  <si>
    <t>#</t>
  </si>
  <si>
    <t>Id.</t>
  </si>
  <si>
    <t>Causa</t>
  </si>
  <si>
    <t>Clase de Riesgo</t>
  </si>
  <si>
    <t>Consecuencias Potenciales</t>
  </si>
  <si>
    <t>Probabilidad de Ocurrencia</t>
  </si>
  <si>
    <t>Probabilidad de Ocurrencia REVISIÓN</t>
  </si>
  <si>
    <t># Prob.</t>
  </si>
  <si>
    <t># Prob. REVISIÓN</t>
  </si>
  <si>
    <t>Impacto REVISIÓN</t>
  </si>
  <si>
    <t># Imp.</t>
  </si>
  <si>
    <t># Imp. REVISIÓN</t>
  </si>
  <si>
    <t>Tipo de Impacto</t>
  </si>
  <si>
    <t>Zona de Riesgo</t>
  </si>
  <si>
    <t>PROBIMP</t>
  </si>
  <si>
    <t>Zona de Riesgo REVISIÓN</t>
  </si>
  <si>
    <t>Descripción Control</t>
  </si>
  <si>
    <t>Tipo de Controles</t>
  </si>
  <si>
    <t># Prob. - REVISIÓN</t>
  </si>
  <si>
    <t>Impacto - REVISIÓN</t>
  </si>
  <si>
    <t># Imp. - REVISIÓN</t>
  </si>
  <si>
    <t>PROBIMP RESIDUAL</t>
  </si>
  <si>
    <t>Zona de Riesgo - REVISIÓN</t>
  </si>
  <si>
    <t>Tratamiento - REVISIÓN</t>
  </si>
  <si>
    <t>Acciones</t>
  </si>
  <si>
    <t>Indicador</t>
  </si>
  <si>
    <t>Formula del Indicador</t>
  </si>
  <si>
    <t>Meta</t>
  </si>
  <si>
    <t>Periodicidad de seguimiento</t>
  </si>
  <si>
    <t>Fecha de Inicio</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</si>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</sst>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
    <numFmt numFmtId="165" formatCode="dd/mm/yyyy"/>
  </numFmts>
  <fonts count="63">
    <font>
      <sz val="11"/>
      <color theme="1"/>
      <name val="Calibri"/>
      <family val="2"/>
      <scheme val="minor"/>
    </font>
    <font>
      <sz val="8"/>
      <name val="Calibri"/>
      <family val="2"/>
    </font>
    <font>
      <sz val="11"/>
      <color indexed="8"/>
      <name val="Calibri"/>
      <family val="2"/>
    </font>
    <font>
      <b/>
      <sz val="11"/>
      <color indexed="8"/>
      <name val="Arial"/>
      <family val="2"/>
    </font>
    <font>
      <sz val="11"/>
      <color indexed="8"/>
      <name val="Arial"/>
      <family val="2"/>
    </font>
    <font>
      <b/>
      <sz val="12"/>
      <color indexed="8"/>
      <name val="Arial"/>
      <family val="2"/>
    </font>
    <font>
      <sz val="11"/>
      <name val="Arial"/>
      <family val="2"/>
    </font>
    <font>
      <sz val="16"/>
      <name val="Arial"/>
      <family val="2"/>
    </font>
    <font>
      <sz val="10"/>
      <color indexed="8"/>
      <name val="Arial"/>
      <family val="2"/>
    </font>
    <font>
      <sz val="12"/>
      <color indexed="8"/>
      <name val="Arial"/>
      <family val="2"/>
    </font>
    <font>
      <b/>
      <sz val="10"/>
      <color indexed="16"/>
      <name val="Arial"/>
      <family val="2"/>
    </font>
    <font>
      <b/>
      <sz val="11"/>
      <color indexed="9"/>
      <name val="Arial"/>
      <family val="2"/>
    </font>
    <font>
      <b/>
      <sz val="11"/>
      <color indexed="16"/>
      <name val="Arial"/>
      <family val="2"/>
    </font>
    <font>
      <b/>
      <sz val="9"/>
      <name val="Arial"/>
      <family val="2"/>
    </font>
    <font>
      <b/>
      <sz val="9"/>
      <color indexed="16"/>
      <name val="Arial"/>
      <family val="2"/>
    </font>
    <font>
      <b/>
      <shadow/>
      <sz val="12"/>
      <color indexed="9"/>
      <name val="Arial"/>
      <family val="2"/>
    </font>
    <font>
      <b/>
      <sz val="11"/>
      <color indexed="63"/>
      <name val="Arial"/>
      <family val="2"/>
    </font>
    <font>
      <b/>
      <sz val="11"/>
      <color rgb="FF2888F7"/>
      <name val="Arial"/>
      <family val="2"/>
    </font>
    <font>
      <b/>
      <sz val="11"/>
      <color rgb="FF2888F7"/>
      <name val="Calibri Light"/>
      <family val="2"/>
    </font>
    <font>
      <sz val="11"/>
      <color rgb="FF2888F7"/>
      <name val="Calibri Light"/>
      <family val="2"/>
    </font>
    <font>
      <b/>
      <sz val="9"/>
      <color rgb="FF2888F7"/>
      <name val="Calibri Light"/>
      <family val="2"/>
    </font>
    <font>
      <sz val="10"/>
      <color theme="1"/>
      <name val="Garamond"/>
      <family val="1"/>
    </font>
    <font>
      <sz val="11"/>
      <color theme="1"/>
      <name val="Garamond"/>
      <family val="1"/>
    </font>
    <font>
      <b/>
      <sz val="11"/>
      <color rgb="FF000000"/>
      <name val="Garamond"/>
      <family val="1"/>
    </font>
    <font>
      <sz val="11"/>
      <color rgb="FF000000"/>
      <name val="Garamond"/>
      <family val="1"/>
    </font>
    <font>
      <sz val="11"/>
      <color rgb="FFFFFFFF"/>
      <name val="Garamond"/>
      <family val="1"/>
    </font>
    <font>
      <b/>
      <sz val="8"/>
      <color rgb="FF2888F7"/>
      <name val="Arial"/>
      <family val="2"/>
    </font>
    <font>
      <b/>
      <shadow/>
      <sz val="11"/>
      <color theme="0"/>
      <name val="Arial"/>
      <family val="2"/>
    </font>
    <font>
      <sz val="12"/>
      <name val="Calibri Light"/>
      <family val="2"/>
    </font>
    <font>
      <sz val="12"/>
      <color theme="1"/>
      <name val="Calibri Light"/>
      <family val="2"/>
    </font>
    <font>
      <sz val="10"/>
      <color theme="1"/>
      <name val="Arial"/>
      <family val="2"/>
    </font>
    <font>
      <b/>
      <i/>
      <sz val="10"/>
      <color rgb="FF000000"/>
      <name val="Garamond"/>
      <family val="1"/>
    </font>
    <font>
      <sz val="10"/>
      <color rgb="FF000000"/>
      <name val="Garamond"/>
      <family val="1"/>
    </font>
    <font>
      <b/>
      <sz val="10"/>
      <color rgb="FFE26B0A"/>
      <name val="Garamond"/>
      <family val="1"/>
    </font>
    <font>
      <b/>
      <sz val="11"/>
      <color theme="1"/>
      <name val="Garamond"/>
      <family val="1"/>
    </font>
    <font>
      <sz val="8"/>
      <name val="Calibri"/>
      <family val="2"/>
      <scheme val="minor"/>
    </font>
    <font>
      <b/>
      <sz val="11"/>
      <color rgb="FF44546A"/>
      <name val="Garamond"/>
      <family val="1"/>
    </font>
    <font>
      <b/>
      <sz val="11"/>
      <color theme="0"/>
      <name val="Calibri"/>
      <family val="2"/>
      <scheme val="minor"/>
    </font>
    <font>
      <sz val="11"/>
      <color theme="0"/>
      <name val="Calibri"/>
      <family val="2"/>
      <scheme val="minor"/>
    </font>
    <font>
      <sz val="11"/>
      <color theme="0"/>
      <name val="Garamond"/>
      <family val="1"/>
    </font>
    <font>
      <b/>
      <sz val="12"/>
      <color theme="0"/>
      <name val="Calibri Light"/>
      <family val="2"/>
    </font>
    <font>
      <u/>
      <sz val="11"/>
      <color theme="10"/>
      <name val="Calibri"/>
      <family val="2"/>
      <scheme val="minor"/>
    </font>
    <font>
      <sz val="11"/>
      <color rgb="FF000000"/>
      <name val="Arial"/>
    </font>
    <font>
      <sz val="11"/>
      <color rgb="FF000000"/>
      <name val="Arial"/>
      <family val="2"/>
    </font>
    <font>
      <sz val="16"/>
      <color theme="1"/>
      <name val="Arial"/>
    </font>
    <font>
      <sz val="11"/>
      <name val="Calibri"/>
    </font>
    <font>
      <sz val="11"/>
      <color theme="1"/>
      <name val="Arial"/>
      <family val="2"/>
    </font>
    <font>
      <sz val="16"/>
      <color theme="1"/>
      <name val="Arial"/>
      <family val="2"/>
    </font>
    <font>
      <b/>
      <sz val="9"/>
      <color theme="1"/>
      <name val="Arial"/>
      <family val="2"/>
    </font>
    <font>
      <u/>
      <sz val="11"/>
      <color rgb="FF0000FF"/>
      <name val="Calibri"/>
      <family val="2"/>
      <scheme val="minor"/>
    </font>
    <font>
      <sz val="11"/>
      <color theme="1"/>
      <name val="Calibri"/>
      <family val="2"/>
    </font>
    <font>
      <sz val="11"/>
      <name val="Calibri"/>
      <family val="2"/>
    </font>
    <font>
      <u/>
      <sz val="11"/>
      <color theme="10"/>
      <name val="Calibri"/>
      <family val="2"/>
    </font>
    <font>
      <sz val="11"/>
      <color indexed="8"/>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70C0"/>
      <name val="Calibri"/>
      <family val="2"/>
      <scheme val="minor"/>
    </font>
    <font>
      <sz val="11"/>
      <color theme="0"/>
      <name val="Arial"/>
      <family val="2"/>
    </font>
    <font>
      <sz val="11"/>
      <color rgb="FF000000"/>
      <name val="Century Gothic"/>
    </font>
    <font>
      <sz val="10"/>
      <color rgb="FF000000"/>
      <name val="Century Gothic"/>
    </font>
    <font>
      <b/>
      <sz val="11"/>
      <color rgb="FFFFFFFF"/>
      <name val="Century Gothic"/>
    </font>
    <font>
      <sz val="10"/>
      <name val="Calibri"/>
    </font>
  </fonts>
  <fills count="3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rgb="FFFF0000"/>
        <bgColor indexed="64"/>
      </patternFill>
    </fill>
    <fill>
      <patternFill patternType="solid">
        <fgColor rgb="FF2888F7"/>
        <bgColor indexed="64"/>
      </patternFill>
    </fill>
    <fill>
      <patternFill patternType="solid">
        <fgColor rgb="FFFFF2CC"/>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00FF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
      <patternFill patternType="solid">
        <fgColor rgb="FFD9E2F3"/>
        <bgColor indexed="64"/>
      </patternFill>
    </fill>
    <fill>
      <patternFill patternType="solid">
        <fgColor rgb="FFF4E6B5"/>
        <bgColor indexed="64"/>
      </patternFill>
    </fill>
    <fill>
      <patternFill patternType="solid">
        <fgColor rgb="FFFFFFFF"/>
        <bgColor rgb="FFFFFFFF"/>
      </patternFill>
    </fill>
    <fill>
      <patternFill patternType="solid">
        <fgColor rgb="FF00FF00"/>
        <bgColor rgb="FF00FF00"/>
      </patternFill>
    </fill>
    <fill>
      <patternFill patternType="solid">
        <fgColor theme="0"/>
        <bgColor theme="0"/>
      </patternFill>
    </fill>
    <fill>
      <patternFill patternType="solid">
        <fgColor rgb="FF63BE7B"/>
        <bgColor indexed="64"/>
      </patternFill>
    </fill>
    <fill>
      <patternFill patternType="solid">
        <fgColor rgb="FFE36C09"/>
        <bgColor indexed="64"/>
      </patternFill>
    </fill>
    <fill>
      <patternFill patternType="solid">
        <fgColor rgb="FFFFFF00"/>
        <bgColor rgb="FFFFFF00"/>
      </patternFill>
    </fill>
    <fill>
      <patternFill patternType="solid">
        <fgColor theme="0"/>
        <bgColor rgb="FFFFFFFF"/>
      </patternFill>
    </fill>
    <fill>
      <patternFill patternType="solid">
        <fgColor theme="0"/>
        <bgColor rgb="FFFFFF00"/>
      </patternFill>
    </fill>
    <fill>
      <patternFill patternType="solid">
        <fgColor theme="0"/>
        <bgColor rgb="FFFF0000"/>
      </patternFill>
    </fill>
    <fill>
      <patternFill patternType="solid">
        <fgColor rgb="FFF3F3F3"/>
        <bgColor rgb="FFF3F3F3"/>
      </patternFill>
    </fill>
    <fill>
      <patternFill patternType="solid">
        <fgColor rgb="FFFFE599"/>
        <bgColor rgb="FFFFE599"/>
      </patternFill>
    </fill>
    <fill>
      <patternFill patternType="solid">
        <fgColor rgb="FFD9D9D9"/>
        <bgColor rgb="FFD9D9D9"/>
      </patternFill>
    </fill>
    <fill>
      <patternFill patternType="solid">
        <fgColor rgb="FFCCCCCC"/>
        <bgColor rgb="FFCCCCCC"/>
      </patternFill>
    </fill>
    <fill>
      <patternFill patternType="solid">
        <fgColor rgb="FF1E4E79"/>
        <bgColor rgb="FF1E4E79"/>
      </patternFill>
    </fill>
    <fill>
      <patternFill patternType="solid">
        <fgColor rgb="FF2E75B5"/>
        <bgColor rgb="FF2E75B5"/>
      </patternFill>
    </fill>
    <fill>
      <patternFill patternType="solid">
        <fgColor rgb="FF385623"/>
        <bgColor rgb="FF385623"/>
      </patternFill>
    </fill>
    <fill>
      <patternFill patternType="solid">
        <fgColor rgb="FF480000"/>
        <bgColor rgb="FF480000"/>
      </patternFill>
    </fill>
  </fills>
  <borders count="33">
    <border>
      <left/>
      <right/>
      <top/>
      <bottom/>
      <diagonal/>
    </border>
    <border>
      <left/>
      <right/>
      <top/>
      <bottom style="thin">
        <color indexed="64"/>
      </bottom>
      <diagonal/>
    </border>
    <border>
      <left style="thin">
        <color rgb="FF2888F7"/>
      </left>
      <right style="thin">
        <color rgb="FF2888F7"/>
      </right>
      <top style="thin">
        <color rgb="FF2888F7"/>
      </top>
      <bottom style="thin">
        <color rgb="FF2888F7"/>
      </bottom>
      <diagonal/>
    </border>
    <border>
      <left style="thin">
        <color rgb="FF2888F7"/>
      </left>
      <right/>
      <top style="thin">
        <color rgb="FF2888F7"/>
      </top>
      <bottom style="thin">
        <color rgb="FF2888F7"/>
      </bottom>
      <diagonal/>
    </border>
    <border>
      <left/>
      <right/>
      <top style="thin">
        <color rgb="FF2888F7"/>
      </top>
      <bottom style="thin">
        <color rgb="FF2888F7"/>
      </bottom>
      <diagonal/>
    </border>
    <border>
      <left/>
      <right style="thin">
        <color rgb="FF2888F7"/>
      </right>
      <top style="thin">
        <color rgb="FF2888F7"/>
      </top>
      <bottom style="thin">
        <color rgb="FF2888F7"/>
      </bottom>
      <diagonal/>
    </border>
    <border>
      <left style="thin">
        <color rgb="FF2888F7"/>
      </left>
      <right style="thin">
        <color rgb="FF2888F7"/>
      </right>
      <top style="thin">
        <color rgb="FF2888F7"/>
      </top>
      <bottom/>
      <diagonal/>
    </border>
    <border>
      <left style="thin">
        <color rgb="FF2888F7"/>
      </left>
      <right style="thin">
        <color rgb="FF2888F7"/>
      </right>
      <top/>
      <bottom style="thin">
        <color rgb="FF2888F7"/>
      </bottom>
      <diagonal/>
    </border>
    <border>
      <left style="medium">
        <color rgb="FF2888F7"/>
      </left>
      <right style="medium">
        <color rgb="FF2888F7"/>
      </right>
      <top style="medium">
        <color rgb="FF2888F7"/>
      </top>
      <bottom style="medium">
        <color rgb="FF2888F7"/>
      </bottom>
      <diagonal/>
    </border>
    <border>
      <left style="medium">
        <color rgb="FF2888F7"/>
      </left>
      <right style="medium">
        <color rgb="FF2888F7"/>
      </right>
      <top style="medium">
        <color rgb="FF2888F7"/>
      </top>
      <bottom/>
      <diagonal/>
    </border>
    <border>
      <left style="medium">
        <color rgb="FF2888F7"/>
      </left>
      <right style="medium">
        <color rgb="FF2888F7"/>
      </right>
      <top/>
      <bottom style="medium">
        <color rgb="FF2888F7"/>
      </bottom>
      <diagonal/>
    </border>
    <border>
      <left/>
      <right style="medium">
        <color rgb="FF2888F7"/>
      </right>
      <top style="medium">
        <color rgb="FF2888F7"/>
      </top>
      <bottom style="medium">
        <color rgb="FF2888F7"/>
      </bottom>
      <diagonal/>
    </border>
    <border>
      <left/>
      <right style="medium">
        <color rgb="FF2888F7"/>
      </right>
      <top/>
      <bottom style="medium">
        <color rgb="FF2888F7"/>
      </bottom>
      <diagonal/>
    </border>
    <border>
      <left/>
      <right style="medium">
        <color rgb="FF2888F7"/>
      </right>
      <top/>
      <bottom/>
      <diagonal/>
    </border>
    <border>
      <left style="medium">
        <color rgb="FF2888F7"/>
      </left>
      <right/>
      <top style="medium">
        <color rgb="FF2888F7"/>
      </top>
      <bottom style="medium">
        <color rgb="FF2888F7"/>
      </bottom>
      <diagonal/>
    </border>
    <border>
      <left/>
      <right/>
      <top style="medium">
        <color rgb="FF2888F7"/>
      </top>
      <bottom style="medium">
        <color rgb="FF2888F7"/>
      </bottom>
      <diagonal/>
    </border>
    <border>
      <left style="medium">
        <color rgb="FF2888F7"/>
      </left>
      <right style="medium">
        <color rgb="FF2888F7"/>
      </right>
      <top/>
      <bottom/>
      <diagonal/>
    </border>
    <border>
      <left style="thin">
        <color rgb="FF2888F7"/>
      </left>
      <right style="thin">
        <color rgb="FF2888F7"/>
      </right>
      <top/>
      <bottom/>
      <diagonal/>
    </border>
    <border>
      <left style="medium">
        <color rgb="FF2888F7"/>
      </left>
      <right/>
      <top/>
      <bottom style="medium">
        <color rgb="FF2888F7"/>
      </bottom>
      <diagonal/>
    </border>
    <border>
      <left/>
      <right/>
      <top/>
      <bottom style="medium">
        <color rgb="FF2888F7"/>
      </bottom>
      <diagonal/>
    </border>
    <border>
      <left style="medium">
        <color rgb="FF2888F7"/>
      </left>
      <right/>
      <top/>
      <bottom/>
      <diagonal/>
    </border>
    <border>
      <left style="medium">
        <color rgb="FF2888F7"/>
      </left>
      <right/>
      <top style="medium">
        <color rgb="FF2888F7"/>
      </top>
      <bottom/>
      <diagonal/>
    </border>
    <border>
      <left/>
      <right/>
      <top style="medium">
        <color rgb="FF2888F7"/>
      </top>
      <bottom/>
      <diagonal/>
    </border>
    <border>
      <left/>
      <right style="medium">
        <color rgb="FF2888F7"/>
      </right>
      <top style="medium">
        <color rgb="FF2888F7"/>
      </top>
      <bottom/>
      <diagonal/>
    </border>
    <border>
      <left style="medium">
        <color indexed="64"/>
      </left>
      <right style="medium">
        <color rgb="FF2888F7"/>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2888F7"/>
      </bottom>
      <diagonal/>
    </border>
    <border>
      <left style="thin">
        <color rgb="FF2888F7"/>
      </left>
      <right/>
      <top/>
      <bottom/>
      <diagonal/>
    </border>
    <border>
      <left style="medium">
        <color rgb="FF2888F7"/>
      </left>
      <right style="medium">
        <color rgb="FF2888F7"/>
      </right>
      <top style="medium">
        <color rgb="FFCCCCCC"/>
      </top>
      <bottom/>
      <diagonal/>
    </border>
    <border>
      <left style="medium">
        <color rgb="FFCCCCCC"/>
      </left>
      <right style="medium">
        <color rgb="FF2888F7"/>
      </right>
      <top style="medium">
        <color rgb="FFCCCCCC"/>
      </top>
      <bottom style="medium">
        <color rgb="FFCCCCCC"/>
      </bottom>
      <diagonal/>
    </border>
    <border>
      <left/>
      <right style="thin">
        <color rgb="FF2888F7"/>
      </right>
      <top/>
      <bottom/>
      <diagonal/>
    </border>
    <border>
      <left/>
      <right style="thin">
        <color rgb="FF2888F7"/>
      </right>
      <top/>
      <bottom style="thin">
        <color rgb="FF2888F7"/>
      </bottom>
      <diagonal/>
    </border>
    <border>
      <left/>
      <right style="thin">
        <color rgb="FF2888F7"/>
      </right>
      <top style="thin">
        <color rgb="FF2888F7"/>
      </top>
      <bottom/>
      <diagonal/>
    </border>
  </borders>
  <cellStyleXfs count="3">
    <xf numFmtId="0" fontId="0" fillId="0" borderId="0"/>
    <xf numFmtId="9" fontId="2" fillId="0" borderId="0" applyFont="0" applyFill="0" applyBorder="0" applyAlignment="0" applyProtection="0"/>
    <xf numFmtId="0" fontId="41" fillId="0" borderId="0" applyNumberFormat="0" applyFill="0" applyBorder="0" applyAlignment="0" applyProtection="0"/>
  </cellStyleXfs>
  <cellXfs count="432">
    <xf numFmtId="0" fontId="0" fillId="0" borderId="0" xfId="0"/>
    <xf numFmtId="0" fontId="6"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vertical="center" wrapText="1"/>
    </xf>
    <xf numFmtId="0" fontId="8" fillId="2" borderId="0" xfId="0" applyFont="1" applyFill="1" applyAlignment="1">
      <alignment horizontal="center" vertical="center" wrapText="1"/>
    </xf>
    <xf numFmtId="0" fontId="9" fillId="2" borderId="0" xfId="0" applyFont="1" applyFill="1" applyAlignment="1">
      <alignment horizontal="justify" wrapText="1"/>
    </xf>
    <xf numFmtId="0" fontId="5"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0"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2" borderId="0" xfId="0" applyFill="1"/>
    <xf numFmtId="0" fontId="12" fillId="2" borderId="0" xfId="0" applyFont="1" applyFill="1" applyBorder="1" applyAlignment="1">
      <alignment horizontal="center" wrapText="1"/>
    </xf>
    <xf numFmtId="0" fontId="4" fillId="2" borderId="2" xfId="0" applyFont="1" applyFill="1" applyBorder="1" applyAlignment="1">
      <alignment horizontal="center" vertical="center" wrapText="1"/>
    </xf>
    <xf numFmtId="0" fontId="0" fillId="0" borderId="2" xfId="0" applyBorder="1"/>
    <xf numFmtId="0" fontId="12"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4" fillId="4"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4" fillId="2" borderId="2" xfId="0" applyFont="1" applyFill="1" applyBorder="1" applyAlignment="1">
      <alignment vertical="center" wrapText="1"/>
    </xf>
    <xf numFmtId="0" fontId="18"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21" fillId="0" borderId="10" xfId="0" applyFont="1" applyBorder="1" applyAlignment="1">
      <alignment vertical="center" wrapText="1"/>
    </xf>
    <xf numFmtId="0" fontId="21" fillId="0" borderId="12" xfId="0" applyFont="1" applyBorder="1" applyAlignment="1">
      <alignment vertical="center" wrapText="1"/>
    </xf>
    <xf numFmtId="0" fontId="22" fillId="0" borderId="8" xfId="0" applyFont="1" applyBorder="1" applyAlignment="1">
      <alignment vertical="center" wrapText="1"/>
    </xf>
    <xf numFmtId="0" fontId="23" fillId="7" borderId="11" xfId="0" applyFont="1" applyFill="1" applyBorder="1" applyAlignment="1">
      <alignment vertical="center" wrapText="1"/>
    </xf>
    <xf numFmtId="0" fontId="23" fillId="7" borderId="11"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2" fillId="0" borderId="12" xfId="0" applyFont="1" applyBorder="1" applyAlignment="1">
      <alignment vertical="center" wrapText="1"/>
    </xf>
    <xf numFmtId="9" fontId="22" fillId="0" borderId="12" xfId="0" applyNumberFormat="1" applyFont="1" applyBorder="1" applyAlignment="1">
      <alignment horizontal="center" vertical="center" wrapText="1"/>
    </xf>
    <xf numFmtId="0" fontId="24" fillId="9" borderId="10"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22" fillId="0" borderId="12" xfId="0" applyFont="1" applyBorder="1" applyAlignment="1">
      <alignment horizontal="justify" vertical="center" wrapText="1"/>
    </xf>
    <xf numFmtId="0" fontId="25" fillId="5" borderId="10" xfId="0" applyFont="1" applyFill="1" applyBorder="1" applyAlignment="1">
      <alignment horizontal="center" vertical="center" wrapText="1"/>
    </xf>
    <xf numFmtId="0" fontId="22" fillId="0" borderId="8" xfId="0" applyFont="1" applyBorder="1" applyAlignment="1">
      <alignment horizontal="center" vertical="center" wrapText="1"/>
    </xf>
    <xf numFmtId="0" fontId="24" fillId="12" borderId="10" xfId="0" applyFont="1" applyFill="1" applyBorder="1" applyAlignment="1">
      <alignment horizontal="center" vertical="center" wrapText="1"/>
    </xf>
    <xf numFmtId="0" fontId="22" fillId="0" borderId="13" xfId="0" applyFont="1" applyBorder="1" applyAlignment="1">
      <alignment horizontal="justify" vertical="center" wrapText="1"/>
    </xf>
    <xf numFmtId="0" fontId="24" fillId="11" borderId="9" xfId="0" applyFont="1" applyFill="1" applyBorder="1" applyAlignment="1">
      <alignment horizontal="center" vertical="center" wrapText="1"/>
    </xf>
    <xf numFmtId="0" fontId="22" fillId="0" borderId="9" xfId="0" applyFont="1" applyBorder="1" applyAlignment="1">
      <alignment vertical="center" wrapText="1"/>
    </xf>
    <xf numFmtId="9" fontId="5" fillId="2" borderId="0" xfId="1" applyFont="1" applyFill="1" applyBorder="1" applyAlignment="1">
      <alignment horizontal="center" vertical="center" wrapText="1"/>
    </xf>
    <xf numFmtId="9" fontId="4" fillId="2" borderId="0" xfId="1" applyFont="1" applyFill="1" applyAlignment="1">
      <alignment horizontal="center" vertical="center" wrapText="1"/>
    </xf>
    <xf numFmtId="9" fontId="10" fillId="2" borderId="0" xfId="1" applyFont="1" applyFill="1" applyBorder="1" applyAlignment="1">
      <alignment vertical="center" wrapText="1"/>
    </xf>
    <xf numFmtId="9" fontId="4" fillId="2" borderId="0" xfId="1" applyFont="1" applyFill="1" applyBorder="1" applyAlignment="1">
      <alignment vertical="center" wrapText="1"/>
    </xf>
    <xf numFmtId="9" fontId="12" fillId="2" borderId="2" xfId="1" applyFont="1" applyFill="1" applyBorder="1" applyAlignment="1">
      <alignment horizontal="center" vertical="center" wrapText="1"/>
    </xf>
    <xf numFmtId="2" fontId="5" fillId="2" borderId="0" xfId="0" applyNumberFormat="1" applyFont="1" applyFill="1" applyBorder="1" applyAlignment="1">
      <alignment horizontal="center" vertical="center" wrapText="1"/>
    </xf>
    <xf numFmtId="2" fontId="4" fillId="2" borderId="0" xfId="0" applyNumberFormat="1" applyFont="1" applyFill="1" applyAlignment="1">
      <alignment horizontal="center" vertical="center" wrapText="1"/>
    </xf>
    <xf numFmtId="2" fontId="10"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2" fontId="12" fillId="2" borderId="2" xfId="0" applyNumberFormat="1" applyFont="1" applyFill="1" applyBorder="1" applyAlignment="1">
      <alignment horizontal="center" vertical="center" wrapText="1"/>
    </xf>
    <xf numFmtId="2" fontId="22" fillId="0" borderId="12" xfId="0" applyNumberFormat="1" applyFont="1" applyBorder="1" applyAlignment="1">
      <alignment horizontal="center" vertical="center" wrapText="1"/>
    </xf>
    <xf numFmtId="2" fontId="22" fillId="0" borderId="2" xfId="0" applyNumberFormat="1" applyFont="1" applyBorder="1" applyAlignment="1">
      <alignment horizontal="center" vertical="center" wrapText="1"/>
    </xf>
    <xf numFmtId="0" fontId="28" fillId="14" borderId="2" xfId="0" applyFont="1" applyFill="1" applyBorder="1" applyAlignment="1">
      <alignment horizontal="center" vertical="center" wrapText="1"/>
    </xf>
    <xf numFmtId="0" fontId="28" fillId="13" borderId="2" xfId="0" applyFont="1" applyFill="1" applyBorder="1" applyAlignment="1">
      <alignment horizontal="center" vertical="center" wrapText="1"/>
    </xf>
    <xf numFmtId="0" fontId="29" fillId="5" borderId="2" xfId="0" applyFont="1" applyFill="1" applyBorder="1" applyAlignment="1">
      <alignment horizontal="center" vertical="center"/>
    </xf>
    <xf numFmtId="0" fontId="29" fillId="8" borderId="2" xfId="0" applyFont="1" applyFill="1" applyBorder="1" applyAlignment="1">
      <alignment horizontal="center" vertical="center"/>
    </xf>
    <xf numFmtId="0" fontId="30" fillId="0" borderId="0" xfId="0" applyFont="1"/>
    <xf numFmtId="0" fontId="30" fillId="0" borderId="0" xfId="0" applyFont="1" applyAlignment="1">
      <alignment horizontal="left" vertical="top" wrapText="1"/>
    </xf>
    <xf numFmtId="0" fontId="30" fillId="8" borderId="0" xfId="0" applyFont="1" applyFill="1" applyAlignment="1">
      <alignment horizontal="left" vertical="top"/>
    </xf>
    <xf numFmtId="0" fontId="30" fillId="13" borderId="0" xfId="0" applyFont="1" applyFill="1" applyAlignment="1">
      <alignment horizontal="left" vertical="top"/>
    </xf>
    <xf numFmtId="0" fontId="30" fillId="14" borderId="0" xfId="0" applyFont="1" applyFill="1" applyAlignment="1">
      <alignment horizontal="left" vertical="top"/>
    </xf>
    <xf numFmtId="0" fontId="30" fillId="5" borderId="0" xfId="0" applyFont="1" applyFill="1" applyAlignment="1">
      <alignment horizontal="left" vertical="top"/>
    </xf>
    <xf numFmtId="0" fontId="18" fillId="0" borderId="2" xfId="0" applyFont="1" applyFill="1" applyBorder="1" applyAlignment="1">
      <alignment horizontal="center" vertical="center" wrapText="1"/>
    </xf>
    <xf numFmtId="0" fontId="31" fillId="16" borderId="11" xfId="0" applyFont="1" applyFill="1" applyBorder="1" applyAlignment="1">
      <alignment horizontal="center" vertical="center" wrapText="1"/>
    </xf>
    <xf numFmtId="0" fontId="32" fillId="15" borderId="12" xfId="0" applyFont="1" applyFill="1" applyBorder="1" applyAlignment="1">
      <alignment horizontal="center" vertical="center" wrapText="1"/>
    </xf>
    <xf numFmtId="0" fontId="32" fillId="15" borderId="12" xfId="0" applyFont="1" applyFill="1" applyBorder="1" applyAlignment="1">
      <alignment horizontal="justify" vertical="center" wrapText="1"/>
    </xf>
    <xf numFmtId="9" fontId="32" fillId="15" borderId="12" xfId="0" applyNumberFormat="1" applyFont="1" applyFill="1" applyBorder="1" applyAlignment="1">
      <alignment horizontal="center" vertical="center" wrapText="1"/>
    </xf>
    <xf numFmtId="0" fontId="32" fillId="15" borderId="12" xfId="0" applyFont="1" applyFill="1" applyBorder="1" applyAlignment="1">
      <alignment vertical="center" wrapText="1"/>
    </xf>
    <xf numFmtId="2" fontId="4" fillId="2" borderId="2" xfId="0" applyNumberFormat="1" applyFont="1" applyFill="1" applyBorder="1" applyAlignment="1">
      <alignment horizontal="center" vertical="center" wrapText="1"/>
    </xf>
    <xf numFmtId="2" fontId="5" fillId="2" borderId="0" xfId="0" applyNumberFormat="1" applyFont="1" applyFill="1" applyBorder="1" applyAlignment="1">
      <alignment vertical="center" wrapText="1"/>
    </xf>
    <xf numFmtId="2" fontId="20" fillId="0" borderId="2" xfId="0" applyNumberFormat="1" applyFont="1" applyFill="1" applyBorder="1" applyAlignment="1">
      <alignment horizontal="center" vertical="center" wrapText="1"/>
    </xf>
    <xf numFmtId="2" fontId="14" fillId="2" borderId="2" xfId="0" applyNumberFormat="1" applyFont="1" applyFill="1" applyBorder="1" applyAlignment="1">
      <alignment horizontal="center" vertical="center" wrapText="1"/>
    </xf>
    <xf numFmtId="2" fontId="4" fillId="2" borderId="2" xfId="1" applyNumberFormat="1" applyFont="1" applyFill="1" applyBorder="1" applyAlignment="1">
      <alignment horizontal="center" vertical="center" wrapText="1"/>
    </xf>
    <xf numFmtId="0" fontId="0" fillId="0" borderId="0" xfId="0" applyAlignment="1">
      <alignment horizontal="center"/>
    </xf>
    <xf numFmtId="0" fontId="24" fillId="4" borderId="0" xfId="0" applyFont="1" applyFill="1" applyBorder="1" applyAlignment="1">
      <alignment horizontal="center" vertical="center" wrapText="1"/>
    </xf>
    <xf numFmtId="0" fontId="23" fillId="7" borderId="8" xfId="0" applyFont="1" applyFill="1" applyBorder="1" applyAlignment="1">
      <alignment horizontal="justify" vertical="center" wrapText="1"/>
    </xf>
    <xf numFmtId="0" fontId="23" fillId="7" borderId="11" xfId="0" applyFont="1" applyFill="1" applyBorder="1" applyAlignment="1">
      <alignment horizontal="justify" vertical="center" wrapText="1"/>
    </xf>
    <xf numFmtId="0" fontId="34" fillId="0" borderId="12" xfId="0" applyFont="1" applyBorder="1" applyAlignment="1">
      <alignment horizontal="justify" vertical="center" wrapText="1"/>
    </xf>
    <xf numFmtId="0" fontId="25" fillId="4"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7" borderId="12" xfId="0" applyFont="1" applyFill="1" applyBorder="1" applyAlignment="1">
      <alignment horizontal="justify" vertical="center" wrapText="1"/>
    </xf>
    <xf numFmtId="0" fontId="34" fillId="0" borderId="10" xfId="0" applyFont="1" applyBorder="1" applyAlignment="1">
      <alignment horizontal="justify" vertical="center" wrapText="1"/>
    </xf>
    <xf numFmtId="0" fontId="30" fillId="4" borderId="0" xfId="0" applyFont="1" applyFill="1"/>
    <xf numFmtId="0" fontId="30" fillId="4" borderId="0" xfId="0" applyFont="1" applyFill="1" applyAlignment="1">
      <alignment horizontal="left" vertical="top"/>
    </xf>
    <xf numFmtId="0" fontId="0" fillId="4" borderId="0" xfId="0" applyFill="1"/>
    <xf numFmtId="0" fontId="18" fillId="0" borderId="3" xfId="0" applyFont="1" applyFill="1" applyBorder="1" applyAlignment="1">
      <alignment horizontal="center" vertical="center" wrapText="1"/>
    </xf>
    <xf numFmtId="0" fontId="34" fillId="0" borderId="16" xfId="0" applyFont="1" applyBorder="1" applyAlignment="1">
      <alignment horizontal="justify" vertical="center" wrapText="1"/>
    </xf>
    <xf numFmtId="0" fontId="34" fillId="0" borderId="10" xfId="0" applyFont="1" applyBorder="1" applyAlignment="1">
      <alignment vertical="center" wrapText="1"/>
    </xf>
    <xf numFmtId="0" fontId="34" fillId="0" borderId="24" xfId="0" applyFont="1" applyBorder="1" applyAlignment="1">
      <alignment vertical="center" wrapText="1"/>
    </xf>
    <xf numFmtId="0" fontId="22" fillId="0" borderId="25" xfId="0" applyFont="1" applyBorder="1" applyAlignment="1">
      <alignment horizontal="justify"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18" fillId="0" borderId="5" xfId="0" applyFont="1" applyFill="1" applyBorder="1" applyAlignment="1">
      <alignment vertical="center" wrapText="1"/>
    </xf>
    <xf numFmtId="0" fontId="5" fillId="2" borderId="0" xfId="0" applyFont="1" applyFill="1" applyBorder="1" applyAlignment="1">
      <alignment vertical="center" wrapText="1"/>
    </xf>
    <xf numFmtId="0" fontId="39" fillId="0" borderId="0" xfId="0" applyFont="1" applyFill="1" applyBorder="1" applyAlignment="1">
      <alignment horizontal="justify" vertical="center" wrapText="1"/>
    </xf>
    <xf numFmtId="0" fontId="38" fillId="0" borderId="0" xfId="0" applyFont="1" applyBorder="1"/>
    <xf numFmtId="0" fontId="39" fillId="0" borderId="0" xfId="0" applyFont="1" applyBorder="1" applyAlignment="1">
      <alignment horizontal="justify" vertical="center" wrapText="1"/>
    </xf>
    <xf numFmtId="0" fontId="37" fillId="5" borderId="0" xfId="0" applyFont="1" applyFill="1" applyAlignment="1">
      <alignment horizontal="left"/>
    </xf>
    <xf numFmtId="0" fontId="37" fillId="14" borderId="0" xfId="0" applyFont="1" applyFill="1" applyAlignment="1">
      <alignment horizontal="left"/>
    </xf>
    <xf numFmtId="0" fontId="40" fillId="13" borderId="27" xfId="0" applyFont="1" applyFill="1" applyBorder="1" applyAlignment="1">
      <alignment horizontal="left" vertical="center" wrapText="1"/>
    </xf>
    <xf numFmtId="0" fontId="37" fillId="8" borderId="0" xfId="0" applyFont="1" applyFill="1" applyAlignment="1">
      <alignment horizontal="left"/>
    </xf>
    <xf numFmtId="0" fontId="23" fillId="17" borderId="8" xfId="0" applyFont="1" applyFill="1" applyBorder="1" applyAlignment="1">
      <alignment horizontal="center" vertical="center" wrapText="1"/>
    </xf>
    <xf numFmtId="0" fontId="23" fillId="17" borderId="11"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vertical="center"/>
    </xf>
    <xf numFmtId="0" fontId="22" fillId="0" borderId="10" xfId="0" applyFont="1" applyBorder="1" applyAlignment="1">
      <alignment horizontal="center" vertical="top" wrapText="1"/>
    </xf>
    <xf numFmtId="0" fontId="29" fillId="5" borderId="17" xfId="0" applyFont="1" applyFill="1" applyBorder="1" applyAlignment="1">
      <alignment horizontal="center" vertical="center"/>
    </xf>
    <xf numFmtId="0" fontId="26" fillId="0" borderId="2" xfId="0" applyFont="1" applyFill="1" applyBorder="1" applyAlignment="1">
      <alignment horizontal="center" vertical="center" textRotation="45" wrapText="1"/>
    </xf>
    <xf numFmtId="0" fontId="4" fillId="4" borderId="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4" fillId="18" borderId="2" xfId="0" applyFont="1" applyFill="1" applyBorder="1" applyAlignment="1">
      <alignment horizontal="center" vertical="center" wrapText="1"/>
    </xf>
    <xf numFmtId="0" fontId="42" fillId="18" borderId="2" xfId="0" applyFont="1" applyFill="1" applyBorder="1" applyAlignment="1">
      <alignment horizontal="center" vertical="center" wrapText="1"/>
    </xf>
    <xf numFmtId="0" fontId="42" fillId="18" borderId="2" xfId="0" applyFont="1" applyFill="1" applyBorder="1" applyAlignment="1">
      <alignment vertical="center" wrapText="1"/>
    </xf>
    <xf numFmtId="0" fontId="43" fillId="20" borderId="2" xfId="0" applyFont="1" applyFill="1" applyBorder="1" applyAlignment="1">
      <alignment vertical="center" wrapText="1"/>
    </xf>
    <xf numFmtId="0" fontId="42" fillId="20" borderId="2" xfId="0" applyFont="1" applyFill="1" applyBorder="1" applyAlignment="1">
      <alignment vertical="center" wrapText="1"/>
    </xf>
    <xf numFmtId="0" fontId="4"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vertical="center" wrapText="1"/>
    </xf>
    <xf numFmtId="0" fontId="47" fillId="18" borderId="2" xfId="0" applyFont="1" applyFill="1" applyBorder="1" applyAlignment="1">
      <alignment horizontal="center" vertical="center" wrapText="1"/>
    </xf>
    <xf numFmtId="0" fontId="43" fillId="18" borderId="2" xfId="0" applyFont="1" applyFill="1" applyBorder="1" applyAlignment="1">
      <alignment horizontal="center" vertical="center" wrapText="1"/>
    </xf>
    <xf numFmtId="0" fontId="43" fillId="18" borderId="2" xfId="0" applyFont="1" applyFill="1" applyBorder="1" applyAlignment="1">
      <alignment vertical="center" wrapText="1"/>
    </xf>
    <xf numFmtId="0" fontId="47" fillId="18" borderId="2" xfId="0" applyFont="1" applyFill="1" applyBorder="1" applyAlignment="1">
      <alignment vertical="center" wrapText="1"/>
    </xf>
    <xf numFmtId="0" fontId="50" fillId="0" borderId="6" xfId="0" applyFont="1" applyBorder="1" applyAlignment="1">
      <alignment horizontal="center" vertical="center"/>
    </xf>
    <xf numFmtId="0" fontId="43" fillId="18"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48" fillId="19" borderId="6" xfId="0" applyFont="1" applyFill="1" applyBorder="1" applyAlignment="1">
      <alignment horizontal="center" vertical="center" wrapText="1"/>
    </xf>
    <xf numFmtId="0" fontId="43" fillId="20" borderId="6" xfId="0" applyFont="1" applyFill="1" applyBorder="1" applyAlignment="1">
      <alignment horizontal="center" vertical="center" wrapText="1"/>
    </xf>
    <xf numFmtId="0" fontId="46" fillId="18" borderId="2" xfId="0" applyFont="1" applyFill="1" applyBorder="1" applyAlignment="1">
      <alignment horizontal="center" vertical="center" wrapText="1"/>
    </xf>
    <xf numFmtId="0" fontId="4" fillId="2" borderId="6" xfId="0" applyFont="1" applyFill="1" applyBorder="1" applyAlignment="1">
      <alignment vertical="center" wrapText="1"/>
    </xf>
    <xf numFmtId="165" fontId="43" fillId="20" borderId="6" xfId="0" applyNumberFormat="1" applyFont="1" applyFill="1" applyBorder="1" applyAlignment="1">
      <alignment horizontal="center" vertical="center" wrapText="1"/>
    </xf>
    <xf numFmtId="0" fontId="4" fillId="4" borderId="0" xfId="0" applyFont="1" applyFill="1" applyAlignment="1">
      <alignment horizontal="center" vertical="center" wrapText="1"/>
    </xf>
    <xf numFmtId="0" fontId="46" fillId="4" borderId="29" xfId="0" applyFont="1" applyFill="1" applyBorder="1" applyAlignment="1">
      <alignment horizontal="center" vertical="center" wrapText="1"/>
    </xf>
    <xf numFmtId="0" fontId="43" fillId="4" borderId="2" xfId="0" applyFont="1" applyFill="1" applyBorder="1" applyAlignment="1">
      <alignment vertical="center" wrapText="1"/>
    </xf>
    <xf numFmtId="9" fontId="12" fillId="2" borderId="6" xfId="1" applyFont="1" applyFill="1" applyBorder="1" applyAlignment="1">
      <alignment horizontal="center" vertical="center" wrapText="1"/>
    </xf>
    <xf numFmtId="0" fontId="14" fillId="2" borderId="6" xfId="0" applyFont="1" applyFill="1" applyBorder="1" applyAlignment="1">
      <alignment horizontal="center" vertical="center" wrapText="1"/>
    </xf>
    <xf numFmtId="0" fontId="46" fillId="15" borderId="2" xfId="0" applyFont="1" applyFill="1" applyBorder="1" applyAlignment="1">
      <alignment horizontal="center" vertical="center" wrapText="1"/>
    </xf>
    <xf numFmtId="0" fontId="46" fillId="15" borderId="2" xfId="0" applyFont="1" applyFill="1" applyBorder="1" applyAlignment="1">
      <alignment vertical="center" wrapText="1"/>
    </xf>
    <xf numFmtId="0" fontId="46" fillId="21" borderId="2" xfId="0" applyFont="1" applyFill="1" applyBorder="1" applyAlignment="1">
      <alignment horizontal="center" vertical="center" wrapText="1"/>
    </xf>
    <xf numFmtId="0" fontId="46" fillId="22" borderId="2" xfId="0" applyFont="1" applyFill="1" applyBorder="1" applyAlignment="1">
      <alignment horizontal="center" vertical="center" wrapText="1"/>
    </xf>
    <xf numFmtId="0" fontId="0" fillId="22" borderId="2" xfId="0" applyFill="1" applyBorder="1" applyAlignment="1">
      <alignment horizontal="center" vertical="center" wrapText="1"/>
    </xf>
    <xf numFmtId="0" fontId="47" fillId="15" borderId="2" xfId="0" applyFont="1" applyFill="1" applyBorder="1" applyAlignment="1">
      <alignment horizontal="center" vertical="center" wrapText="1"/>
    </xf>
    <xf numFmtId="0" fontId="47" fillId="15" borderId="2" xfId="0" applyFont="1" applyFill="1" applyBorder="1" applyAlignment="1">
      <alignment vertical="center" wrapText="1"/>
    </xf>
    <xf numFmtId="0" fontId="46" fillId="15" borderId="2" xfId="0" applyFont="1" applyFill="1" applyBorder="1" applyAlignment="1">
      <alignment horizontal="right" vertical="center" wrapText="1"/>
    </xf>
    <xf numFmtId="0" fontId="48" fillId="12" borderId="2" xfId="0" applyFont="1" applyFill="1" applyBorder="1" applyAlignment="1">
      <alignment horizontal="center" vertical="center" wrapText="1"/>
    </xf>
    <xf numFmtId="15" fontId="46" fillId="15" borderId="2" xfId="0" applyNumberFormat="1" applyFont="1" applyFill="1" applyBorder="1" applyAlignment="1">
      <alignment horizontal="center" vertical="center" wrapText="1"/>
    </xf>
    <xf numFmtId="0" fontId="46" fillId="5" borderId="2" xfId="0" applyFont="1" applyFill="1" applyBorder="1" applyAlignment="1">
      <alignment horizontal="center" vertical="center" wrapText="1"/>
    </xf>
    <xf numFmtId="0" fontId="49" fillId="13" borderId="2" xfId="0" applyFont="1" applyFill="1" applyBorder="1" applyAlignment="1">
      <alignment horizontal="center" vertical="center" wrapText="1"/>
    </xf>
    <xf numFmtId="14" fontId="46" fillId="15" borderId="2" xfId="0" applyNumberFormat="1" applyFont="1" applyFill="1" applyBorder="1" applyAlignment="1">
      <alignment horizontal="center" vertical="center" wrapText="1"/>
    </xf>
    <xf numFmtId="0" fontId="0" fillId="15" borderId="2" xfId="0" applyFill="1" applyBorder="1" applyAlignment="1">
      <alignment vertical="center" wrapText="1"/>
    </xf>
    <xf numFmtId="0" fontId="4" fillId="4" borderId="2" xfId="0" applyFont="1" applyFill="1" applyBorder="1" applyAlignment="1">
      <alignment horizontal="center" vertical="center" wrapText="1"/>
    </xf>
    <xf numFmtId="0" fontId="41" fillId="0" borderId="2" xfId="2" quotePrefix="1" applyBorder="1" applyAlignment="1">
      <alignment horizontal="center" vertical="center"/>
    </xf>
    <xf numFmtId="0" fontId="13" fillId="3"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1" fillId="0" borderId="2" xfId="2" quotePrefix="1" applyFill="1" applyBorder="1" applyAlignment="1">
      <alignment horizontal="center" vertical="center"/>
    </xf>
    <xf numFmtId="0" fontId="46" fillId="10" borderId="2" xfId="0" applyFont="1" applyFill="1" applyBorder="1" applyAlignment="1">
      <alignment horizontal="center" vertical="center" wrapText="1"/>
    </xf>
    <xf numFmtId="0" fontId="6" fillId="15" borderId="2" xfId="0" applyFont="1" applyFill="1" applyBorder="1" applyAlignment="1">
      <alignment vertical="center" wrapText="1"/>
    </xf>
    <xf numFmtId="0" fontId="46" fillId="15" borderId="6" xfId="0" applyFont="1" applyFill="1" applyBorder="1" applyAlignment="1">
      <alignment horizontal="center" vertical="center" wrapText="1"/>
    </xf>
    <xf numFmtId="0" fontId="30" fillId="4" borderId="2" xfId="0" applyFont="1" applyFill="1" applyBorder="1" applyAlignment="1">
      <alignment vertical="center" wrapText="1"/>
    </xf>
    <xf numFmtId="0" fontId="30" fillId="4" borderId="2" xfId="0" applyFont="1" applyFill="1" applyBorder="1" applyAlignment="1">
      <alignment horizontal="center" vertical="center" wrapText="1"/>
    </xf>
    <xf numFmtId="0" fontId="8" fillId="4" borderId="2" xfId="0" applyFont="1" applyFill="1" applyBorder="1" applyAlignment="1">
      <alignment vertical="center" wrapText="1"/>
    </xf>
    <xf numFmtId="0" fontId="52" fillId="0" borderId="6" xfId="0" applyFont="1" applyBorder="1" applyAlignment="1">
      <alignment horizontal="center" vertical="center"/>
    </xf>
    <xf numFmtId="0" fontId="52" fillId="0" borderId="6" xfId="0" quotePrefix="1" applyFont="1" applyBorder="1" applyAlignment="1">
      <alignment horizontal="center" vertical="center"/>
    </xf>
    <xf numFmtId="0" fontId="46" fillId="21" borderId="6" xfId="0" applyFont="1" applyFill="1" applyBorder="1" applyAlignment="1">
      <alignment vertical="center" wrapText="1"/>
    </xf>
    <xf numFmtId="0" fontId="46" fillId="15" borderId="6" xfId="0" applyFont="1" applyFill="1" applyBorder="1" applyAlignment="1">
      <alignment vertical="center" wrapText="1"/>
    </xf>
    <xf numFmtId="0" fontId="46" fillId="15" borderId="2" xfId="0" applyFont="1" applyFill="1" applyBorder="1" applyAlignment="1">
      <alignment horizontal="left" vertical="center" wrapText="1"/>
    </xf>
    <xf numFmtId="0" fontId="53" fillId="4" borderId="2" xfId="0" applyFont="1" applyFill="1" applyBorder="1" applyAlignment="1">
      <alignment vertical="center" wrapText="1"/>
    </xf>
    <xf numFmtId="0" fontId="53" fillId="2" borderId="2" xfId="0" applyFont="1" applyFill="1" applyBorder="1" applyAlignment="1">
      <alignment horizontal="center" vertical="center" wrapText="1"/>
    </xf>
    <xf numFmtId="2" fontId="53" fillId="2" borderId="2" xfId="1" applyNumberFormat="1" applyFont="1" applyFill="1" applyBorder="1" applyAlignment="1">
      <alignment horizontal="center" vertical="center" wrapText="1"/>
    </xf>
    <xf numFmtId="2" fontId="53" fillId="2" borderId="2" xfId="0" applyNumberFormat="1" applyFont="1" applyFill="1" applyBorder="1" applyAlignment="1">
      <alignment horizontal="center" vertical="center" wrapText="1"/>
    </xf>
    <xf numFmtId="0" fontId="53" fillId="4" borderId="2" xfId="0" applyFont="1" applyFill="1" applyBorder="1" applyAlignment="1">
      <alignment horizontal="center" vertical="center" wrapText="1"/>
    </xf>
    <xf numFmtId="0" fontId="55" fillId="23" borderId="2" xfId="0" applyFont="1" applyFill="1" applyBorder="1" applyAlignment="1">
      <alignment vertical="center" wrapText="1"/>
    </xf>
    <xf numFmtId="0" fontId="55" fillId="18" borderId="2" xfId="0" applyFont="1" applyFill="1" applyBorder="1" applyAlignment="1">
      <alignment horizontal="center" vertical="center" wrapText="1"/>
    </xf>
    <xf numFmtId="0" fontId="55" fillId="20" borderId="2" xfId="0" applyFont="1" applyFill="1" applyBorder="1" applyAlignment="1">
      <alignment horizontal="center" vertical="center" wrapText="1"/>
    </xf>
    <xf numFmtId="0" fontId="55" fillId="20" borderId="2" xfId="0" applyFont="1" applyFill="1" applyBorder="1" applyAlignment="1">
      <alignment vertical="center" wrapText="1"/>
    </xf>
    <xf numFmtId="0" fontId="54" fillId="0" borderId="2" xfId="0" applyFont="1" applyBorder="1"/>
    <xf numFmtId="0" fontId="53" fillId="4" borderId="2" xfId="0" applyFont="1" applyFill="1" applyBorder="1" applyAlignment="1">
      <alignment horizontal="left" vertical="center" wrapText="1"/>
    </xf>
    <xf numFmtId="0" fontId="53" fillId="4" borderId="2" xfId="0" applyFont="1" applyFill="1" applyBorder="1" applyAlignment="1">
      <alignment horizontal="left" vertical="top" wrapText="1"/>
    </xf>
    <xf numFmtId="165" fontId="55" fillId="20" borderId="2" xfId="0" applyNumberFormat="1" applyFont="1" applyFill="1" applyBorder="1" applyAlignment="1">
      <alignment horizontal="center" vertical="center" wrapText="1"/>
    </xf>
    <xf numFmtId="0" fontId="54" fillId="2" borderId="2" xfId="0" applyFont="1" applyFill="1" applyBorder="1" applyAlignment="1">
      <alignment horizontal="center" vertical="center" wrapText="1"/>
    </xf>
    <xf numFmtId="0" fontId="53" fillId="2" borderId="0" xfId="0" applyFont="1" applyFill="1" applyAlignment="1">
      <alignment horizontal="center" vertical="center" wrapText="1"/>
    </xf>
    <xf numFmtId="0" fontId="53" fillId="4" borderId="6" xfId="0" applyFont="1" applyFill="1" applyBorder="1" applyAlignment="1">
      <alignment horizontal="center" vertical="center" wrapText="1"/>
    </xf>
    <xf numFmtId="0" fontId="53" fillId="4" borderId="17" xfId="0" applyFont="1" applyFill="1" applyBorder="1" applyAlignment="1">
      <alignment horizontal="center" vertical="center" wrapText="1"/>
    </xf>
    <xf numFmtId="0" fontId="53" fillId="4" borderId="7" xfId="0" applyFont="1" applyFill="1" applyBorder="1" applyAlignment="1">
      <alignment horizontal="center" vertical="center" wrapText="1"/>
    </xf>
    <xf numFmtId="0" fontId="53" fillId="0" borderId="2" xfId="0" applyFont="1" applyBorder="1" applyAlignment="1">
      <alignment vertical="center" wrapText="1"/>
    </xf>
    <xf numFmtId="0" fontId="55" fillId="0" borderId="2" xfId="0" applyFont="1" applyBorder="1" applyAlignment="1">
      <alignment horizontal="left" wrapText="1"/>
    </xf>
    <xf numFmtId="0" fontId="0" fillId="2" borderId="2" xfId="0" applyFont="1" applyFill="1" applyBorder="1" applyAlignment="1">
      <alignment horizontal="center" vertical="center" wrapText="1"/>
    </xf>
    <xf numFmtId="0" fontId="54" fillId="2" borderId="2" xfId="0" applyFont="1" applyFill="1" applyBorder="1" applyAlignment="1">
      <alignment vertical="center" wrapText="1"/>
    </xf>
    <xf numFmtId="0" fontId="57" fillId="2" borderId="2" xfId="0" applyFont="1" applyFill="1" applyBorder="1" applyAlignment="1">
      <alignment horizontal="center" vertical="center" wrapText="1"/>
    </xf>
    <xf numFmtId="0" fontId="0" fillId="18" borderId="2" xfId="0" applyFont="1" applyFill="1" applyBorder="1" applyAlignment="1">
      <alignment horizontal="center" vertical="center" wrapText="1"/>
    </xf>
    <xf numFmtId="0" fontId="55" fillId="26" borderId="2" xfId="0" applyFont="1" applyFill="1" applyBorder="1" applyAlignment="1">
      <alignment horizontal="center" vertical="center" wrapText="1"/>
    </xf>
    <xf numFmtId="0" fontId="54" fillId="4" borderId="2" xfId="0" applyFont="1" applyFill="1" applyBorder="1"/>
    <xf numFmtId="0" fontId="4" fillId="2" borderId="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6" fillId="0" borderId="6" xfId="0" applyFont="1" applyFill="1" applyBorder="1" applyAlignment="1">
      <alignment horizontal="center" vertical="center" textRotation="45" wrapText="1"/>
    </xf>
    <xf numFmtId="0" fontId="26" fillId="0" borderId="17" xfId="0" applyFont="1" applyFill="1" applyBorder="1" applyAlignment="1">
      <alignment horizontal="center" vertical="center" textRotation="45" wrapText="1"/>
    </xf>
    <xf numFmtId="0" fontId="26" fillId="0" borderId="7" xfId="0" applyFont="1" applyFill="1" applyBorder="1" applyAlignment="1">
      <alignment horizontal="center" vertical="center" textRotation="45" wrapText="1"/>
    </xf>
    <xf numFmtId="0" fontId="26" fillId="0" borderId="17" xfId="0" applyFont="1" applyFill="1" applyBorder="1" applyAlignment="1">
      <alignment horizontal="center" vertical="center" textRotation="45"/>
    </xf>
    <xf numFmtId="0" fontId="26" fillId="0" borderId="7" xfId="0" applyFont="1" applyFill="1" applyBorder="1" applyAlignment="1">
      <alignment horizontal="center" vertical="center" textRotation="45"/>
    </xf>
    <xf numFmtId="0" fontId="5" fillId="2" borderId="0" xfId="0" applyFont="1" applyFill="1" applyBorder="1" applyAlignment="1">
      <alignment vertical="center" wrapText="1"/>
    </xf>
    <xf numFmtId="0" fontId="17" fillId="2" borderId="0"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textRotation="45"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4" fillId="4" borderId="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43" fillId="24" borderId="6" xfId="0" applyFont="1" applyFill="1" applyBorder="1" applyAlignment="1">
      <alignment horizontal="center" vertical="center" wrapText="1"/>
    </xf>
    <xf numFmtId="0" fontId="45" fillId="4" borderId="17" xfId="0" applyFont="1" applyFill="1" applyBorder="1"/>
    <xf numFmtId="0" fontId="45" fillId="4" borderId="7" xfId="0" applyFont="1" applyFill="1" applyBorder="1"/>
    <xf numFmtId="0" fontId="6" fillId="18" borderId="6" xfId="0" applyFont="1" applyFill="1" applyBorder="1" applyAlignment="1">
      <alignment horizontal="center" vertical="center" wrapText="1"/>
    </xf>
    <xf numFmtId="0" fontId="51" fillId="0" borderId="17" xfId="0" applyFont="1" applyBorder="1"/>
    <xf numFmtId="0" fontId="51" fillId="0" borderId="7" xfId="0" applyFont="1" applyBorder="1"/>
    <xf numFmtId="0" fontId="42" fillId="18" borderId="6" xfId="0" applyFont="1" applyFill="1" applyBorder="1" applyAlignment="1">
      <alignment horizontal="center" vertical="center" wrapText="1"/>
    </xf>
    <xf numFmtId="0" fontId="45" fillId="0" borderId="17" xfId="0" applyFont="1" applyBorder="1"/>
    <xf numFmtId="0" fontId="45" fillId="0" borderId="7" xfId="0" applyFont="1" applyBorder="1"/>
    <xf numFmtId="0" fontId="42" fillId="20" borderId="6" xfId="0"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42" fillId="24" borderId="6" xfId="0" applyFont="1" applyFill="1" applyBorder="1" applyAlignment="1">
      <alignment horizontal="center" vertical="center" wrapText="1"/>
    </xf>
    <xf numFmtId="16" fontId="42" fillId="20" borderId="6" xfId="0" applyNumberFormat="1" applyFont="1" applyFill="1" applyBorder="1" applyAlignment="1">
      <alignment horizontal="center" vertical="center" wrapText="1"/>
    </xf>
    <xf numFmtId="0" fontId="46" fillId="10" borderId="9" xfId="0" applyFont="1" applyFill="1" applyBorder="1" applyAlignment="1">
      <alignment horizontal="center" vertical="center" wrapText="1"/>
    </xf>
    <xf numFmtId="0" fontId="46" fillId="10" borderId="16" xfId="0" applyFont="1" applyFill="1" applyBorder="1" applyAlignment="1">
      <alignment horizontal="center" vertical="center" wrapText="1"/>
    </xf>
    <xf numFmtId="0" fontId="46" fillId="10" borderId="10"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6" fillId="4" borderId="16" xfId="0" applyFont="1" applyFill="1" applyBorder="1" applyAlignment="1">
      <alignment horizontal="center" vertical="center" wrapText="1"/>
    </xf>
    <xf numFmtId="0" fontId="46" fillId="4" borderId="10" xfId="0" applyFont="1" applyFill="1" applyBorder="1" applyAlignment="1">
      <alignment horizontal="center" vertical="center" wrapText="1"/>
    </xf>
    <xf numFmtId="14" fontId="46" fillId="4" borderId="9" xfId="0" applyNumberFormat="1" applyFont="1" applyFill="1" applyBorder="1" applyAlignment="1">
      <alignment horizontal="center" vertical="center" wrapText="1"/>
    </xf>
    <xf numFmtId="14" fontId="46" fillId="4" borderId="16" xfId="0" applyNumberFormat="1" applyFont="1" applyFill="1" applyBorder="1" applyAlignment="1">
      <alignment horizontal="center" vertical="center" wrapText="1"/>
    </xf>
    <xf numFmtId="14" fontId="46" fillId="4" borderId="10" xfId="0" applyNumberFormat="1" applyFont="1" applyFill="1" applyBorder="1" applyAlignment="1">
      <alignment horizontal="center" vertical="center" wrapText="1"/>
    </xf>
    <xf numFmtId="0" fontId="46" fillId="8" borderId="9"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10" xfId="0" applyFont="1" applyFill="1" applyBorder="1" applyAlignment="1">
      <alignment horizontal="center" vertical="center" wrapText="1"/>
    </xf>
    <xf numFmtId="17" fontId="46" fillId="4" borderId="9" xfId="0" applyNumberFormat="1" applyFont="1" applyFill="1" applyBorder="1" applyAlignment="1">
      <alignment horizontal="center" vertical="center" wrapText="1"/>
    </xf>
    <xf numFmtId="17" fontId="46" fillId="4" borderId="16" xfId="0" applyNumberFormat="1" applyFont="1" applyFill="1" applyBorder="1" applyAlignment="1">
      <alignment horizontal="center" vertical="center" wrapText="1"/>
    </xf>
    <xf numFmtId="17" fontId="46" fillId="4" borderId="10" xfId="0" applyNumberFormat="1"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9" borderId="1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0" fillId="4" borderId="9"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0" xfId="0" applyFill="1" applyBorder="1" applyAlignment="1">
      <alignment horizontal="center" vertical="center" wrapText="1"/>
    </xf>
    <xf numFmtId="0" fontId="46" fillId="15" borderId="9" xfId="0" applyFont="1" applyFill="1" applyBorder="1" applyAlignment="1">
      <alignment horizontal="center" vertical="center" wrapText="1"/>
    </xf>
    <xf numFmtId="0" fontId="46" fillId="15" borderId="16" xfId="0" applyFont="1" applyFill="1" applyBorder="1" applyAlignment="1">
      <alignment horizontal="center" vertical="center" wrapText="1"/>
    </xf>
    <xf numFmtId="0" fontId="46" fillId="15" borderId="10" xfId="0" applyFont="1" applyFill="1" applyBorder="1" applyAlignment="1">
      <alignment horizontal="center" vertical="center" wrapText="1"/>
    </xf>
    <xf numFmtId="14" fontId="0" fillId="4" borderId="9" xfId="0" applyNumberFormat="1" applyFill="1" applyBorder="1" applyAlignment="1">
      <alignment vertical="center" wrapText="1"/>
    </xf>
    <xf numFmtId="14" fontId="0" fillId="4" borderId="16" xfId="0" applyNumberFormat="1" applyFill="1" applyBorder="1" applyAlignment="1">
      <alignment vertical="center" wrapText="1"/>
    </xf>
    <xf numFmtId="14" fontId="0" fillId="4" borderId="10" xfId="0" applyNumberFormat="1" applyFill="1" applyBorder="1" applyAlignment="1">
      <alignment vertical="center" wrapText="1"/>
    </xf>
    <xf numFmtId="0" fontId="0" fillId="4" borderId="9" xfId="0" applyFill="1" applyBorder="1" applyAlignment="1">
      <alignment vertical="center" wrapText="1"/>
    </xf>
    <xf numFmtId="0" fontId="0" fillId="4" borderId="16" xfId="0" applyFill="1" applyBorder="1" applyAlignment="1">
      <alignment vertical="center" wrapText="1"/>
    </xf>
    <xf numFmtId="0" fontId="0" fillId="4" borderId="10" xfId="0" applyFill="1" applyBorder="1" applyAlignment="1">
      <alignment vertical="center" wrapText="1"/>
    </xf>
    <xf numFmtId="0" fontId="46" fillId="4" borderId="28" xfId="0" applyFont="1" applyFill="1" applyBorder="1" applyAlignment="1">
      <alignment horizontal="center" vertical="center" wrapText="1"/>
    </xf>
    <xf numFmtId="0" fontId="48" fillId="4" borderId="9" xfId="0" applyFont="1" applyFill="1" applyBorder="1" applyAlignment="1">
      <alignment horizontal="center" vertical="center" wrapText="1"/>
    </xf>
    <xf numFmtId="0" fontId="48" fillId="4" borderId="16" xfId="0" applyFont="1" applyFill="1" applyBorder="1" applyAlignment="1">
      <alignment horizontal="center" vertical="center" wrapText="1"/>
    </xf>
    <xf numFmtId="0" fontId="48" fillId="4" borderId="10" xfId="0" applyFont="1" applyFill="1" applyBorder="1" applyAlignment="1">
      <alignment horizontal="center" vertical="center" wrapText="1"/>
    </xf>
    <xf numFmtId="0" fontId="46" fillId="15" borderId="6" xfId="0" applyFont="1" applyFill="1" applyBorder="1" applyAlignment="1">
      <alignment horizontal="center" vertical="center" wrapText="1"/>
    </xf>
    <xf numFmtId="0" fontId="46" fillId="15" borderId="17" xfId="0" applyFont="1" applyFill="1" applyBorder="1" applyAlignment="1">
      <alignment horizontal="center" vertical="center" wrapText="1"/>
    </xf>
    <xf numFmtId="0" fontId="46" fillId="15" borderId="7" xfId="0" applyFont="1" applyFill="1" applyBorder="1" applyAlignment="1">
      <alignment horizontal="center" vertical="center" wrapText="1"/>
    </xf>
    <xf numFmtId="0" fontId="47" fillId="15" borderId="6" xfId="0" quotePrefix="1" applyFont="1" applyFill="1" applyBorder="1" applyAlignment="1">
      <alignment horizontal="center" vertical="center" wrapText="1"/>
    </xf>
    <xf numFmtId="0" fontId="47" fillId="15" borderId="17" xfId="0" applyFont="1" applyFill="1" applyBorder="1" applyAlignment="1">
      <alignment horizontal="center" vertical="center" wrapText="1"/>
    </xf>
    <xf numFmtId="0" fontId="47" fillId="15" borderId="7" xfId="0" applyFont="1" applyFill="1" applyBorder="1" applyAlignment="1">
      <alignment horizontal="center" vertical="center" wrapText="1"/>
    </xf>
    <xf numFmtId="0" fontId="47" fillId="15" borderId="6" xfId="0" applyFont="1" applyFill="1" applyBorder="1" applyAlignment="1">
      <alignment horizontal="center" vertical="center" wrapText="1"/>
    </xf>
    <xf numFmtId="0" fontId="43" fillId="18" borderId="6" xfId="0" applyFont="1" applyFill="1" applyBorder="1" applyAlignment="1">
      <alignment horizontal="center" vertical="center" wrapText="1"/>
    </xf>
    <xf numFmtId="0" fontId="43" fillId="18" borderId="17" xfId="0" applyFont="1" applyFill="1" applyBorder="1" applyAlignment="1">
      <alignment horizontal="center" vertical="center" wrapText="1"/>
    </xf>
    <xf numFmtId="0" fontId="43" fillId="18" borderId="7" xfId="0" applyFont="1" applyFill="1" applyBorder="1" applyAlignment="1">
      <alignment horizontal="center" vertical="center" wrapText="1"/>
    </xf>
    <xf numFmtId="17" fontId="46" fillId="15" borderId="6" xfId="0" applyNumberFormat="1" applyFont="1" applyFill="1" applyBorder="1" applyAlignment="1">
      <alignment horizontal="center" vertical="center" wrapText="1"/>
    </xf>
    <xf numFmtId="17" fontId="46" fillId="15" borderId="17" xfId="0" applyNumberFormat="1" applyFont="1" applyFill="1" applyBorder="1" applyAlignment="1">
      <alignment horizontal="center" vertical="center" wrapText="1"/>
    </xf>
    <xf numFmtId="17" fontId="46" fillId="15" borderId="7" xfId="0" applyNumberFormat="1" applyFont="1" applyFill="1" applyBorder="1" applyAlignment="1">
      <alignment horizontal="center" vertical="center" wrapText="1"/>
    </xf>
    <xf numFmtId="0" fontId="48" fillId="12" borderId="6" xfId="0" applyFont="1" applyFill="1" applyBorder="1" applyAlignment="1">
      <alignment horizontal="center" vertical="center" wrapText="1"/>
    </xf>
    <xf numFmtId="0" fontId="48" fillId="12" borderId="17" xfId="0" applyFont="1" applyFill="1" applyBorder="1" applyAlignment="1">
      <alignment horizontal="center" vertical="center" wrapText="1"/>
    </xf>
    <xf numFmtId="0" fontId="48" fillId="12" borderId="7" xfId="0" applyFont="1" applyFill="1" applyBorder="1" applyAlignment="1">
      <alignment horizontal="center" vertical="center" wrapText="1"/>
    </xf>
    <xf numFmtId="0" fontId="46" fillId="15" borderId="2" xfId="0" applyFont="1" applyFill="1" applyBorder="1" applyAlignment="1">
      <alignment horizontal="center" vertical="center" wrapText="1"/>
    </xf>
    <xf numFmtId="0" fontId="46" fillId="21" borderId="6" xfId="0" applyFont="1" applyFill="1" applyBorder="1" applyAlignment="1">
      <alignment horizontal="center" vertical="center" wrapText="1"/>
    </xf>
    <xf numFmtId="0" fontId="46" fillId="21" borderId="17" xfId="0" applyFont="1" applyFill="1" applyBorder="1" applyAlignment="1">
      <alignment horizontal="center" vertical="center" wrapText="1"/>
    </xf>
    <xf numFmtId="0" fontId="46" fillId="21" borderId="7" xfId="0" applyFont="1" applyFill="1" applyBorder="1" applyAlignment="1">
      <alignment horizontal="center" vertical="center" wrapText="1"/>
    </xf>
    <xf numFmtId="0" fontId="0" fillId="22" borderId="2" xfId="0" applyFill="1" applyBorder="1" applyAlignment="1">
      <alignment horizontal="center" vertical="center" wrapText="1"/>
    </xf>
    <xf numFmtId="0" fontId="46" fillId="10"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53" fillId="4" borderId="2"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17"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0" fillId="0" borderId="2" xfId="0" applyFont="1" applyBorder="1" applyAlignment="1">
      <alignment horizontal="center" vertical="center"/>
    </xf>
    <xf numFmtId="0" fontId="56" fillId="3" borderId="2" xfId="0" applyFont="1" applyFill="1" applyBorder="1" applyAlignment="1">
      <alignment horizontal="center" vertical="center" wrapText="1"/>
    </xf>
    <xf numFmtId="0" fontId="54" fillId="4" borderId="2" xfId="0" applyFont="1" applyFill="1" applyBorder="1" applyAlignment="1">
      <alignment horizontal="center" vertical="center" wrapText="1"/>
    </xf>
    <xf numFmtId="0" fontId="54" fillId="4" borderId="6" xfId="0" applyFont="1" applyFill="1" applyBorder="1" applyAlignment="1">
      <alignment horizontal="center" vertical="center" wrapText="1"/>
    </xf>
    <xf numFmtId="0" fontId="54" fillId="4" borderId="17" xfId="0" applyFont="1" applyFill="1" applyBorder="1" applyAlignment="1">
      <alignment horizontal="center" vertical="center" wrapText="1"/>
    </xf>
    <xf numFmtId="0" fontId="54" fillId="4" borderId="7" xfId="0" applyFont="1" applyFill="1" applyBorder="1" applyAlignment="1">
      <alignment horizontal="center" vertical="center" wrapText="1"/>
    </xf>
    <xf numFmtId="0" fontId="53"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55" fillId="20" borderId="2" xfId="0" applyFont="1" applyFill="1" applyBorder="1" applyAlignment="1">
      <alignment horizontal="center" vertical="center" wrapText="1"/>
    </xf>
    <xf numFmtId="0" fontId="54" fillId="0" borderId="2" xfId="0" applyFont="1" applyBorder="1"/>
    <xf numFmtId="0" fontId="54" fillId="24" borderId="2" xfId="0" applyFont="1" applyFill="1" applyBorder="1" applyAlignment="1">
      <alignment horizontal="center" vertical="center" wrapText="1"/>
    </xf>
    <xf numFmtId="0" fontId="54" fillId="4" borderId="2" xfId="0" applyFont="1" applyFill="1" applyBorder="1"/>
    <xf numFmtId="0" fontId="55" fillId="18"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53" fillId="4" borderId="32" xfId="0" applyFont="1" applyFill="1" applyBorder="1" applyAlignment="1">
      <alignment horizontal="center" vertical="center" wrapText="1"/>
    </xf>
    <xf numFmtId="0" fontId="53" fillId="4" borderId="30" xfId="0" applyFont="1" applyFill="1" applyBorder="1" applyAlignment="1">
      <alignment horizontal="center" vertical="center" wrapText="1"/>
    </xf>
    <xf numFmtId="0" fontId="53" fillId="4" borderId="31" xfId="0" applyFont="1" applyFill="1" applyBorder="1" applyAlignment="1">
      <alignment horizontal="center" vertical="center" wrapText="1"/>
    </xf>
    <xf numFmtId="17" fontId="53" fillId="4" borderId="6" xfId="0" applyNumberFormat="1" applyFont="1" applyFill="1" applyBorder="1" applyAlignment="1">
      <alignment horizontal="center" vertical="center" wrapText="1"/>
    </xf>
    <xf numFmtId="0" fontId="53" fillId="4" borderId="17" xfId="0" applyFont="1" applyFill="1" applyBorder="1" applyAlignment="1">
      <alignment horizontal="center" vertical="center" wrapText="1"/>
    </xf>
    <xf numFmtId="0" fontId="53" fillId="4" borderId="7" xfId="0" applyFont="1" applyFill="1" applyBorder="1" applyAlignment="1">
      <alignment horizontal="center" vertical="center" wrapText="1"/>
    </xf>
    <xf numFmtId="0" fontId="53" fillId="0" borderId="2" xfId="0" applyFont="1" applyBorder="1" applyAlignment="1">
      <alignment horizontal="center" vertical="center" wrapText="1"/>
    </xf>
    <xf numFmtId="0" fontId="53" fillId="4" borderId="6" xfId="0" applyFont="1" applyFill="1" applyBorder="1" applyAlignment="1">
      <alignment horizontal="center" vertical="center" wrapText="1"/>
    </xf>
    <xf numFmtId="165" fontId="55" fillId="20" borderId="2" xfId="0" applyNumberFormat="1" applyFont="1" applyFill="1" applyBorder="1" applyAlignment="1">
      <alignment horizontal="center" vertical="center" wrapText="1"/>
    </xf>
    <xf numFmtId="0" fontId="55" fillId="20" borderId="6" xfId="0" applyFont="1" applyFill="1" applyBorder="1" applyAlignment="1">
      <alignment horizontal="center" vertical="center" wrapText="1"/>
    </xf>
    <xf numFmtId="0" fontId="55" fillId="20" borderId="17" xfId="0" applyFont="1" applyFill="1" applyBorder="1" applyAlignment="1">
      <alignment horizontal="center" vertical="center" wrapText="1"/>
    </xf>
    <xf numFmtId="0" fontId="55" fillId="20" borderId="7" xfId="0" applyFont="1" applyFill="1" applyBorder="1" applyAlignment="1">
      <alignment horizontal="center" vertical="center" wrapText="1"/>
    </xf>
    <xf numFmtId="0" fontId="54" fillId="4" borderId="2" xfId="0" applyFont="1" applyFill="1" applyBorder="1" applyAlignment="1">
      <alignment horizontal="justify" vertical="justify" wrapText="1"/>
    </xf>
    <xf numFmtId="16" fontId="53" fillId="4" borderId="2" xfId="0" applyNumberFormat="1" applyFont="1" applyFill="1" applyBorder="1" applyAlignment="1">
      <alignment horizontal="center" vertical="center" wrapText="1"/>
    </xf>
    <xf numFmtId="0" fontId="54" fillId="24" borderId="2" xfId="0" applyFont="1" applyFill="1" applyBorder="1" applyAlignment="1">
      <alignment horizontal="left" vertical="center" wrapText="1"/>
    </xf>
    <xf numFmtId="0" fontId="54" fillId="25" borderId="2" xfId="0" applyFont="1" applyFill="1" applyBorder="1" applyAlignment="1">
      <alignment horizontal="center" vertical="center" wrapText="1"/>
    </xf>
    <xf numFmtId="164" fontId="55" fillId="20" borderId="2" xfId="0" applyNumberFormat="1" applyFont="1" applyFill="1" applyBorder="1" applyAlignment="1">
      <alignment horizontal="center" vertical="center" wrapText="1"/>
    </xf>
    <xf numFmtId="16" fontId="55" fillId="20" borderId="2" xfId="0" applyNumberFormat="1" applyFont="1" applyFill="1" applyBorder="1" applyAlignment="1">
      <alignment horizontal="center" vertical="center" wrapText="1"/>
    </xf>
    <xf numFmtId="14" fontId="53" fillId="4" borderId="2" xfId="0" applyNumberFormat="1" applyFont="1" applyFill="1" applyBorder="1" applyAlignment="1">
      <alignment horizontal="center"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5" fillId="6" borderId="2" xfId="0" applyFont="1" applyFill="1" applyBorder="1" applyAlignment="1">
      <alignment horizontal="center" vertical="center" wrapText="1"/>
    </xf>
    <xf numFmtId="0" fontId="27" fillId="6" borderId="2" xfId="0" applyFont="1" applyFill="1" applyBorder="1" applyAlignment="1">
      <alignment horizontal="center" vertical="center" textRotation="90" wrapText="1"/>
    </xf>
    <xf numFmtId="0" fontId="31" fillId="16" borderId="14" xfId="0" applyFont="1" applyFill="1" applyBorder="1" applyAlignment="1">
      <alignment horizontal="center" vertical="center" wrapText="1"/>
    </xf>
    <xf numFmtId="0" fontId="31" fillId="16" borderId="15" xfId="0" applyFont="1" applyFill="1" applyBorder="1" applyAlignment="1">
      <alignment horizontal="center" vertical="center" wrapText="1"/>
    </xf>
    <xf numFmtId="0" fontId="31" fillId="16" borderId="11" xfId="0" applyFont="1" applyFill="1" applyBorder="1" applyAlignment="1">
      <alignment horizontal="center" vertical="center" wrapText="1"/>
    </xf>
    <xf numFmtId="0" fontId="32" fillId="15" borderId="9" xfId="0" applyFont="1" applyFill="1" applyBorder="1" applyAlignment="1">
      <alignment vertical="center" wrapText="1"/>
    </xf>
    <xf numFmtId="0" fontId="32" fillId="15" borderId="16" xfId="0" applyFont="1" applyFill="1" applyBorder="1" applyAlignment="1">
      <alignment vertical="center" wrapText="1"/>
    </xf>
    <xf numFmtId="0" fontId="32" fillId="15" borderId="10" xfId="0" applyFont="1" applyFill="1" applyBorder="1" applyAlignment="1">
      <alignment vertical="center" wrapText="1"/>
    </xf>
    <xf numFmtId="0" fontId="32" fillId="15" borderId="9" xfId="0" applyFont="1" applyFill="1" applyBorder="1" applyAlignment="1">
      <alignment horizontal="center" vertical="center" wrapText="1"/>
    </xf>
    <xf numFmtId="0" fontId="32" fillId="15" borderId="16" xfId="0" applyFont="1" applyFill="1" applyBorder="1" applyAlignment="1">
      <alignment horizontal="center" vertical="center" wrapText="1"/>
    </xf>
    <xf numFmtId="0" fontId="32" fillId="15" borderId="10" xfId="0" applyFont="1" applyFill="1" applyBorder="1" applyAlignment="1">
      <alignment horizontal="center" vertical="center" wrapText="1"/>
    </xf>
    <xf numFmtId="0" fontId="33" fillId="15" borderId="9" xfId="0" applyFont="1" applyFill="1" applyBorder="1" applyAlignment="1">
      <alignment vertical="center" wrapText="1"/>
    </xf>
    <xf numFmtId="0" fontId="33" fillId="15" borderId="16" xfId="0" applyFont="1" applyFill="1" applyBorder="1" applyAlignment="1">
      <alignment vertical="center" wrapText="1"/>
    </xf>
    <xf numFmtId="0" fontId="33" fillId="15" borderId="10" xfId="0" applyFont="1" applyFill="1" applyBorder="1" applyAlignment="1">
      <alignment vertical="center" wrapText="1"/>
    </xf>
    <xf numFmtId="0" fontId="22" fillId="0" borderId="9"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10" xfId="0" applyFont="1" applyBorder="1" applyAlignment="1">
      <alignment horizontal="justify" vertical="center" wrapText="1"/>
    </xf>
    <xf numFmtId="0" fontId="34" fillId="0" borderId="14" xfId="0" applyFont="1" applyBorder="1" applyAlignment="1">
      <alignment horizontal="justify" vertical="center" wrapText="1"/>
    </xf>
    <xf numFmtId="0" fontId="34" fillId="0" borderId="15" xfId="0" applyFont="1" applyBorder="1" applyAlignment="1">
      <alignment horizontal="justify" vertical="center" wrapText="1"/>
    </xf>
    <xf numFmtId="0" fontId="34" fillId="0" borderId="11" xfId="0" applyFont="1" applyBorder="1" applyAlignment="1">
      <alignment horizontal="justify" vertical="center" wrapText="1"/>
    </xf>
    <xf numFmtId="0" fontId="34" fillId="0" borderId="9" xfId="0" applyFont="1" applyBorder="1" applyAlignment="1">
      <alignment horizontal="justify" vertical="center" wrapText="1"/>
    </xf>
    <xf numFmtId="0" fontId="34" fillId="0" borderId="16" xfId="0" applyFont="1" applyBorder="1" applyAlignment="1">
      <alignment horizontal="justify" vertical="center" wrapText="1"/>
    </xf>
    <xf numFmtId="0" fontId="34" fillId="0" borderId="10" xfId="0" applyFont="1" applyBorder="1" applyAlignment="1">
      <alignment horizontal="justify" vertical="center" wrapText="1"/>
    </xf>
    <xf numFmtId="0" fontId="36" fillId="7" borderId="14" xfId="0" applyFont="1" applyFill="1" applyBorder="1" applyAlignment="1">
      <alignment horizontal="justify" vertical="center" wrapText="1"/>
    </xf>
    <xf numFmtId="0" fontId="36" fillId="7" borderId="15" xfId="0" applyFont="1" applyFill="1" applyBorder="1" applyAlignment="1">
      <alignment horizontal="justify" vertical="center" wrapText="1"/>
    </xf>
    <xf numFmtId="0" fontId="36" fillId="7" borderId="11" xfId="0" applyFont="1" applyFill="1" applyBorder="1" applyAlignment="1">
      <alignment horizontal="justify" vertical="center" wrapText="1"/>
    </xf>
    <xf numFmtId="0" fontId="23" fillId="7" borderId="14" xfId="0" applyFont="1" applyFill="1" applyBorder="1" applyAlignment="1">
      <alignment horizontal="justify" vertical="center" wrapText="1"/>
    </xf>
    <xf numFmtId="0" fontId="23" fillId="7" borderId="15" xfId="0" applyFont="1" applyFill="1" applyBorder="1" applyAlignment="1">
      <alignment horizontal="justify" vertical="center" wrapText="1"/>
    </xf>
    <xf numFmtId="0" fontId="23" fillId="7" borderId="11" xfId="0" applyFont="1" applyFill="1" applyBorder="1" applyAlignment="1">
      <alignment horizontal="justify" vertical="center" wrapText="1"/>
    </xf>
    <xf numFmtId="0" fontId="23" fillId="7" borderId="9"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36" fillId="7" borderId="21" xfId="0" applyFont="1" applyFill="1" applyBorder="1" applyAlignment="1">
      <alignment horizontal="justify" vertical="center" wrapText="1"/>
    </xf>
    <xf numFmtId="0" fontId="36" fillId="7" borderId="22" xfId="0" applyFont="1" applyFill="1" applyBorder="1" applyAlignment="1">
      <alignment horizontal="justify" vertical="center" wrapText="1"/>
    </xf>
    <xf numFmtId="0" fontId="36" fillId="7" borderId="23" xfId="0" applyFont="1" applyFill="1" applyBorder="1" applyAlignment="1">
      <alignment horizontal="justify" vertical="center" wrapText="1"/>
    </xf>
    <xf numFmtId="0" fontId="24" fillId="7" borderId="20" xfId="0" applyFont="1" applyFill="1" applyBorder="1" applyAlignment="1">
      <alignment horizontal="justify" vertical="center" wrapText="1"/>
    </xf>
    <xf numFmtId="0" fontId="24" fillId="7" borderId="0" xfId="0" applyFont="1" applyFill="1" applyBorder="1" applyAlignment="1">
      <alignment horizontal="justify" vertical="center" wrapText="1"/>
    </xf>
    <xf numFmtId="0" fontId="24" fillId="7" borderId="13" xfId="0" applyFont="1" applyFill="1" applyBorder="1" applyAlignment="1">
      <alignment horizontal="justify" vertical="center" wrapText="1"/>
    </xf>
    <xf numFmtId="0" fontId="0" fillId="0" borderId="26" xfId="0" applyBorder="1" applyAlignment="1">
      <alignment horizontal="center"/>
    </xf>
    <xf numFmtId="0" fontId="24" fillId="7" borderId="18" xfId="0" applyFont="1" applyFill="1" applyBorder="1" applyAlignment="1">
      <alignment horizontal="justify" vertical="center" wrapText="1"/>
    </xf>
    <xf numFmtId="0" fontId="24" fillId="7" borderId="19" xfId="0" applyFont="1" applyFill="1" applyBorder="1" applyAlignment="1">
      <alignment horizontal="justify" vertical="center" wrapText="1"/>
    </xf>
    <xf numFmtId="0" fontId="24" fillId="7" borderId="12" xfId="0" applyFont="1" applyFill="1" applyBorder="1" applyAlignment="1">
      <alignment horizontal="justify" vertical="center" wrapText="1"/>
    </xf>
    <xf numFmtId="0" fontId="58" fillId="2" borderId="6" xfId="0" applyFont="1" applyFill="1" applyBorder="1" applyAlignment="1">
      <alignment horizontal="center" vertical="center" wrapText="1"/>
    </xf>
    <xf numFmtId="0" fontId="58" fillId="2" borderId="17"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58" fillId="15" borderId="2"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8" fillId="15" borderId="2"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15" borderId="2" xfId="0" applyFont="1" applyFill="1" applyBorder="1" applyAlignment="1">
      <alignment horizontal="center" vertical="center" wrapText="1"/>
    </xf>
    <xf numFmtId="0" fontId="59" fillId="0" borderId="2" xfId="0" applyFont="1" applyBorder="1" applyAlignment="1">
      <alignment horizontal="justify" vertical="center" wrapText="1"/>
    </xf>
    <xf numFmtId="0" fontId="59" fillId="27" borderId="2" xfId="0" applyFont="1" applyFill="1" applyBorder="1" applyAlignment="1">
      <alignment horizontal="justify" vertical="center" wrapText="1"/>
    </xf>
    <xf numFmtId="0" fontId="59" fillId="28" borderId="2" xfId="0" applyFont="1" applyFill="1" applyBorder="1" applyAlignment="1">
      <alignment horizontal="justify" vertical="center" wrapText="1"/>
    </xf>
    <xf numFmtId="0" fontId="60" fillId="28" borderId="2" xfId="0" applyFont="1" applyFill="1" applyBorder="1" applyAlignment="1">
      <alignment horizontal="justify" vertical="center" wrapText="1"/>
    </xf>
    <xf numFmtId="0" fontId="60" fillId="0" borderId="2" xfId="0" applyFont="1" applyBorder="1" applyAlignment="1">
      <alignment horizontal="justify" vertical="center" wrapText="1"/>
    </xf>
    <xf numFmtId="0" fontId="59" fillId="29" borderId="2" xfId="0" applyFont="1" applyFill="1" applyBorder="1" applyAlignment="1">
      <alignment horizontal="justify" vertical="center" wrapText="1"/>
    </xf>
    <xf numFmtId="0" fontId="59" fillId="29" borderId="2" xfId="0" applyFont="1" applyFill="1" applyBorder="1" applyAlignment="1">
      <alignment horizontal="center" vertical="center" wrapText="1"/>
    </xf>
    <xf numFmtId="0" fontId="60" fillId="30" borderId="2" xfId="0" applyFont="1" applyFill="1" applyBorder="1" applyAlignment="1">
      <alignment horizontal="justify" vertical="center" wrapText="1"/>
    </xf>
    <xf numFmtId="9" fontId="59" fillId="0" borderId="2" xfId="0" applyNumberFormat="1" applyFont="1" applyBorder="1" applyAlignment="1">
      <alignment horizontal="justify" vertical="center" wrapText="1"/>
    </xf>
    <xf numFmtId="165" fontId="59" fillId="0" borderId="2" xfId="0" applyNumberFormat="1" applyFont="1" applyBorder="1" applyAlignment="1">
      <alignment horizontal="justify" vertical="center" wrapText="1"/>
    </xf>
    <xf numFmtId="0" fontId="61" fillId="31" borderId="32" xfId="0" applyFont="1" applyFill="1" applyBorder="1" applyAlignment="1">
      <alignment horizontal="justify" vertical="center" wrapText="1"/>
    </xf>
    <xf numFmtId="0" fontId="61" fillId="31" borderId="2" xfId="0" applyFont="1" applyFill="1" applyBorder="1" applyAlignment="1">
      <alignment horizontal="justify" vertical="center" wrapText="1"/>
    </xf>
    <xf numFmtId="0" fontId="61" fillId="31" borderId="6" xfId="0" applyFont="1" applyFill="1" applyBorder="1" applyAlignment="1">
      <alignment horizontal="justify" vertical="center" wrapText="1"/>
    </xf>
    <xf numFmtId="0" fontId="61" fillId="31" borderId="3" xfId="0" applyFont="1" applyFill="1" applyBorder="1" applyAlignment="1">
      <alignment horizontal="center" vertical="center" wrapText="1"/>
    </xf>
    <xf numFmtId="0" fontId="62" fillId="0" borderId="4" xfId="0" applyFont="1" applyBorder="1" applyAlignment="1">
      <alignment horizontal="center" vertical="center" wrapText="1"/>
    </xf>
    <xf numFmtId="0" fontId="62" fillId="0" borderId="5" xfId="0" applyFont="1" applyBorder="1" applyAlignment="1">
      <alignment horizontal="center" vertical="center" wrapText="1"/>
    </xf>
    <xf numFmtId="0" fontId="61" fillId="32" borderId="3" xfId="0" applyFont="1" applyFill="1" applyBorder="1" applyAlignment="1">
      <alignment horizontal="center" vertical="center" wrapText="1"/>
    </xf>
    <xf numFmtId="0" fontId="61" fillId="32" borderId="2" xfId="0" applyFont="1" applyFill="1" applyBorder="1" applyAlignment="1">
      <alignment horizontal="justify" vertical="center" wrapText="1"/>
    </xf>
    <xf numFmtId="0" fontId="61" fillId="33" borderId="3" xfId="0" applyFont="1" applyFill="1" applyBorder="1" applyAlignment="1">
      <alignment horizontal="justify" vertical="center" wrapText="1"/>
    </xf>
    <xf numFmtId="0" fontId="62" fillId="0" borderId="4" xfId="0" applyFont="1" applyBorder="1" applyAlignment="1">
      <alignment horizontal="justify" vertical="center" wrapText="1"/>
    </xf>
    <xf numFmtId="0" fontId="62" fillId="0" borderId="5" xfId="0" applyFont="1" applyBorder="1" applyAlignment="1">
      <alignment horizontal="justify" vertical="center" wrapText="1"/>
    </xf>
    <xf numFmtId="0" fontId="61" fillId="33" borderId="2" xfId="0" applyFont="1" applyFill="1" applyBorder="1" applyAlignment="1">
      <alignment horizontal="justify" vertical="center" wrapText="1"/>
    </xf>
    <xf numFmtId="0" fontId="61" fillId="34" borderId="3" xfId="0" applyFont="1" applyFill="1" applyBorder="1" applyAlignment="1">
      <alignment horizontal="justify" vertical="center" wrapText="1"/>
    </xf>
    <xf numFmtId="0" fontId="62" fillId="0" borderId="31" xfId="0" applyFont="1" applyBorder="1" applyAlignment="1">
      <alignment horizontal="justify" vertical="center" wrapText="1"/>
    </xf>
    <xf numFmtId="0" fontId="62" fillId="0" borderId="7" xfId="0" applyFont="1" applyBorder="1" applyAlignment="1">
      <alignment horizontal="justify" vertical="center" wrapText="1"/>
    </xf>
    <xf numFmtId="0" fontId="61" fillId="34" borderId="2" xfId="0" applyFont="1" applyFill="1" applyBorder="1" applyAlignment="1">
      <alignment horizontal="justify" vertical="center" wrapText="1"/>
    </xf>
    <xf numFmtId="0" fontId="61" fillId="31" borderId="5" xfId="0" applyFont="1" applyFill="1" applyBorder="1" applyAlignment="1">
      <alignment horizontal="justify" vertical="center" wrapText="1"/>
    </xf>
    <xf numFmtId="0" fontId="61" fillId="32" borderId="2" xfId="0" applyFont="1" applyFill="1" applyBorder="1" applyAlignment="1">
      <alignment horizontal="center" vertical="center" wrapText="1"/>
    </xf>
    <xf numFmtId="0" fontId="61" fillId="33" borderId="2"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623">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indexed="13"/>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mruColors>
      <color rgb="FFFFFF66"/>
      <color rgb="FF288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295275</xdr:colOff>
      <xdr:row>1</xdr:row>
      <xdr:rowOff>76201</xdr:rowOff>
    </xdr:from>
    <xdr:to>
      <xdr:col>1</xdr:col>
      <xdr:colOff>2305050</xdr:colOff>
      <xdr:row>2</xdr:row>
      <xdr:rowOff>181611</xdr:rowOff>
    </xdr:to>
    <xdr:pic>
      <xdr:nvPicPr>
        <xdr:cNvPr id="2" name="image25.png" descr="Logotipo&#10;&#10;Descripción generada automáticamente">
          <a:extLst>
            <a:ext uri="{FF2B5EF4-FFF2-40B4-BE49-F238E27FC236}">
              <a16:creationId xmlns:a16="http://schemas.microsoft.com/office/drawing/2014/main" id="{9A7286A2-B1A1-22D6-F628-85554F59C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276226"/>
          <a:ext cx="2009775" cy="295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2857500</xdr:colOff>
      <xdr:row>1</xdr:row>
      <xdr:rowOff>85726</xdr:rowOff>
    </xdr:from>
    <xdr:to>
      <xdr:col>3</xdr:col>
      <xdr:colOff>232</xdr:colOff>
      <xdr:row>2</xdr:row>
      <xdr:rowOff>152400</xdr:rowOff>
    </xdr:to>
    <xdr:pic>
      <xdr:nvPicPr>
        <xdr:cNvPr id="3" name="image26.png" descr="Logotipo&#10;&#10;Descripción generada automáticamente">
          <a:extLst>
            <a:ext uri="{FF2B5EF4-FFF2-40B4-BE49-F238E27FC236}">
              <a16:creationId xmlns:a16="http://schemas.microsoft.com/office/drawing/2014/main" id="{66FAFA61-72C3-72C1-BF30-6AAA69178C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0" y="285751"/>
          <a:ext cx="2657707" cy="257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12</xdr:row>
      <xdr:rowOff>1</xdr:rowOff>
    </xdr:from>
    <xdr:to>
      <xdr:col>13</xdr:col>
      <xdr:colOff>35583</xdr:colOff>
      <xdr:row>27</xdr:row>
      <xdr:rowOff>13609</xdr:rowOff>
    </xdr:to>
    <xdr:pic>
      <xdr:nvPicPr>
        <xdr:cNvPr id="2" name="image8405.png">
          <a:extLst>
            <a:ext uri="{FF2B5EF4-FFF2-40B4-BE49-F238E27FC236}">
              <a16:creationId xmlns:a16="http://schemas.microsoft.com/office/drawing/2014/main" id="{40105896-FFFA-42E3-A89E-C5BC34311D58}"/>
            </a:ext>
          </a:extLst>
        </xdr:cNvPr>
        <xdr:cNvPicPr>
          <a:picLocks noChangeAspect="1"/>
        </xdr:cNvPicPr>
      </xdr:nvPicPr>
      <xdr:blipFill>
        <a:blip xmlns:r="http://schemas.openxmlformats.org/officeDocument/2006/relationships" r:embed="rId1" cstate="print"/>
        <a:stretch>
          <a:fillRect/>
        </a:stretch>
      </xdr:blipFill>
      <xdr:spPr>
        <a:xfrm>
          <a:off x="7524751" y="2435680"/>
          <a:ext cx="5369582" cy="3238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DE%20RIESGOS%20F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DE%20RIESGOS%20dta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PA%20DE%20RIESGOS%20CONSOLIDAD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Seguridad Información"/>
      <sheetName val="Riesgos Corrupción"/>
      <sheetName val="Riesgos Gestión"/>
      <sheetName val="PARÁMETROS RIESGOS GESTIÓN"/>
      <sheetName val="Probab e Impacto"/>
      <sheetName val="Zona de riesgo"/>
      <sheetName val="RIESGO RESIDUAL"/>
      <sheetName val="CONTROLES"/>
      <sheetName val="PARAMETROS RIESGOS DE CORRUPCIÓ"/>
      <sheetName val="VALORACIÓN RR CORRUPCIÓN"/>
      <sheetName val="Hoja2"/>
    </sheetNames>
    <sheetDataSet>
      <sheetData sheetId="0"/>
      <sheetData sheetId="1"/>
      <sheetData sheetId="2"/>
      <sheetData sheetId="3"/>
      <sheetData sheetId="4"/>
      <sheetData sheetId="5">
        <row r="12">
          <cell r="L12">
            <v>2060</v>
          </cell>
        </row>
      </sheetData>
      <sheetData sheetId="6"/>
      <sheetData sheetId="7"/>
      <sheetData sheetId="8">
        <row r="4">
          <cell r="Q4" t="str">
            <v>FUERTEFUERTE</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Seguridad Información"/>
      <sheetName val="Riesgos Corrupción"/>
      <sheetName val="Riesgos Gestión"/>
      <sheetName val="PARÁMETROS RIESGOS GESTIÓN"/>
      <sheetName val="Probab e Impacto"/>
      <sheetName val="Zona de riesgo"/>
      <sheetName val="RIESGO RESIDUAL"/>
      <sheetName val="CONTROLES"/>
      <sheetName val="PARAMETROS RIESGOS DE CORRUPCIÓ"/>
      <sheetName val="VALORACIÓN RR CORRUPCIÓN"/>
      <sheetName val="Hoja2"/>
    </sheetNames>
    <sheetDataSet>
      <sheetData sheetId="0"/>
      <sheetData sheetId="1"/>
      <sheetData sheetId="2"/>
      <sheetData sheetId="3"/>
      <sheetData sheetId="4"/>
      <sheetData sheetId="5">
        <row r="12">
          <cell r="L12">
            <v>2060</v>
          </cell>
          <cell r="M12" t="str">
            <v>Moderado</v>
          </cell>
        </row>
        <row r="13">
          <cell r="L13">
            <v>4060</v>
          </cell>
          <cell r="M13" t="str">
            <v>Moderado</v>
          </cell>
        </row>
        <row r="14">
          <cell r="L14">
            <v>6060</v>
          </cell>
          <cell r="M14" t="str">
            <v>Moderado</v>
          </cell>
        </row>
        <row r="15">
          <cell r="L15">
            <v>8060</v>
          </cell>
          <cell r="M15" t="str">
            <v>Moderado</v>
          </cell>
        </row>
        <row r="16">
          <cell r="L16">
            <v>10060</v>
          </cell>
          <cell r="M16" t="str">
            <v>Moderado</v>
          </cell>
        </row>
        <row r="17">
          <cell r="L17">
            <v>8020</v>
          </cell>
          <cell r="M17" t="str">
            <v>Moderado</v>
          </cell>
        </row>
        <row r="18">
          <cell r="L18">
            <v>8040</v>
          </cell>
          <cell r="M18" t="str">
            <v>Moderado</v>
          </cell>
        </row>
        <row r="19">
          <cell r="L19">
            <v>8060</v>
          </cell>
          <cell r="M19" t="str">
            <v>Moderado</v>
          </cell>
        </row>
        <row r="20">
          <cell r="L20">
            <v>8080</v>
          </cell>
          <cell r="M20" t="str">
            <v>Alto</v>
          </cell>
        </row>
        <row r="21">
          <cell r="L21">
            <v>80100</v>
          </cell>
          <cell r="M21" t="str">
            <v>Alto</v>
          </cell>
        </row>
        <row r="22">
          <cell r="L22">
            <v>20100</v>
          </cell>
          <cell r="M22" t="str">
            <v>Alto</v>
          </cell>
        </row>
        <row r="23">
          <cell r="L23">
            <v>40100</v>
          </cell>
          <cell r="M23" t="str">
            <v>Alto</v>
          </cell>
        </row>
        <row r="24">
          <cell r="L24">
            <v>60100</v>
          </cell>
          <cell r="M24" t="str">
            <v>Alto</v>
          </cell>
        </row>
        <row r="25">
          <cell r="L25">
            <v>80100</v>
          </cell>
          <cell r="M25" t="str">
            <v>Alto</v>
          </cell>
        </row>
        <row r="26">
          <cell r="L26">
            <v>100100</v>
          </cell>
          <cell r="M26" t="str">
            <v>Alto</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01"/>
    </sheetNames>
    <sheetDataSet>
      <sheetData sheetId="0">
        <row r="20">
          <cell r="A20">
            <v>11</v>
          </cell>
          <cell r="B20" t="str">
            <v>BAJA</v>
          </cell>
          <cell r="C20" t="str">
            <v>INSUFICIENTE</v>
          </cell>
          <cell r="D20" t="str">
            <v>B</v>
          </cell>
          <cell r="E20" t="str">
            <v>BAJA</v>
          </cell>
        </row>
        <row r="21">
          <cell r="A21">
            <v>12</v>
          </cell>
          <cell r="B21" t="str">
            <v>BAJA</v>
          </cell>
          <cell r="C21" t="str">
            <v>MENOR</v>
          </cell>
          <cell r="D21" t="str">
            <v>B</v>
          </cell>
          <cell r="E21" t="str">
            <v>BAJA</v>
          </cell>
        </row>
        <row r="22">
          <cell r="A22">
            <v>13</v>
          </cell>
          <cell r="B22" t="str">
            <v>MODERADA</v>
          </cell>
          <cell r="C22" t="str">
            <v>MODERADO</v>
          </cell>
          <cell r="D22" t="str">
            <v>M</v>
          </cell>
          <cell r="E22" t="str">
            <v>MODERADA</v>
          </cell>
        </row>
        <row r="23">
          <cell r="A23">
            <v>14</v>
          </cell>
          <cell r="B23" t="str">
            <v>ALTA</v>
          </cell>
          <cell r="C23" t="str">
            <v>MAYOR</v>
          </cell>
          <cell r="D23" t="str">
            <v>A</v>
          </cell>
          <cell r="E23" t="str">
            <v>ALTA</v>
          </cell>
        </row>
        <row r="24">
          <cell r="A24">
            <v>15</v>
          </cell>
          <cell r="B24" t="str">
            <v>EXTREMA</v>
          </cell>
          <cell r="C24" t="str">
            <v>CATÁSTROFICO</v>
          </cell>
          <cell r="D24" t="str">
            <v>E</v>
          </cell>
          <cell r="E24" t="str">
            <v>EXTREMA</v>
          </cell>
        </row>
        <row r="25">
          <cell r="A25">
            <v>21</v>
          </cell>
          <cell r="B25" t="str">
            <v>BAJA</v>
          </cell>
          <cell r="C25" t="str">
            <v>INSUFICIENTE</v>
          </cell>
          <cell r="D25" t="str">
            <v>B</v>
          </cell>
          <cell r="E25" t="str">
            <v>BAJA</v>
          </cell>
        </row>
        <row r="26">
          <cell r="A26">
            <v>22</v>
          </cell>
          <cell r="B26" t="str">
            <v>BAJA</v>
          </cell>
          <cell r="C26" t="str">
            <v>MENOR</v>
          </cell>
          <cell r="D26" t="str">
            <v>B</v>
          </cell>
          <cell r="E26" t="str">
            <v>BAJA</v>
          </cell>
        </row>
        <row r="27">
          <cell r="A27">
            <v>23</v>
          </cell>
          <cell r="B27" t="str">
            <v>MODERADA</v>
          </cell>
          <cell r="C27" t="str">
            <v>MODERADO</v>
          </cell>
          <cell r="D27" t="str">
            <v>M</v>
          </cell>
          <cell r="E27" t="str">
            <v>MODERADA</v>
          </cell>
        </row>
        <row r="28">
          <cell r="A28">
            <v>24</v>
          </cell>
          <cell r="B28" t="str">
            <v>ALTA</v>
          </cell>
          <cell r="C28" t="str">
            <v>MAYOR</v>
          </cell>
          <cell r="D28" t="str">
            <v>A</v>
          </cell>
          <cell r="E28" t="str">
            <v>ALTA</v>
          </cell>
        </row>
        <row r="29">
          <cell r="A29">
            <v>25</v>
          </cell>
          <cell r="B29" t="str">
            <v>EXTREMA</v>
          </cell>
          <cell r="C29" t="str">
            <v>CATÁSTROFICO</v>
          </cell>
          <cell r="D29" t="str">
            <v>E</v>
          </cell>
          <cell r="E29" t="str">
            <v>EXTREMA</v>
          </cell>
        </row>
        <row r="30">
          <cell r="A30">
            <v>31</v>
          </cell>
          <cell r="B30" t="str">
            <v>BAJA</v>
          </cell>
          <cell r="C30" t="str">
            <v>INSUFICIENTE</v>
          </cell>
          <cell r="D30" t="str">
            <v>B</v>
          </cell>
          <cell r="E30" t="str">
            <v>BAJA</v>
          </cell>
        </row>
        <row r="31">
          <cell r="A31">
            <v>32</v>
          </cell>
          <cell r="B31" t="str">
            <v>MODERADA</v>
          </cell>
          <cell r="C31" t="str">
            <v>MENOR</v>
          </cell>
          <cell r="D31" t="str">
            <v>M</v>
          </cell>
          <cell r="E31" t="str">
            <v>MODERADA</v>
          </cell>
        </row>
        <row r="32">
          <cell r="A32">
            <v>33</v>
          </cell>
          <cell r="B32" t="str">
            <v>ALTA</v>
          </cell>
          <cell r="C32" t="str">
            <v>MODERADO</v>
          </cell>
          <cell r="D32" t="str">
            <v>A</v>
          </cell>
          <cell r="E32" t="str">
            <v>ALTA</v>
          </cell>
        </row>
        <row r="33">
          <cell r="A33">
            <v>34</v>
          </cell>
          <cell r="B33" t="str">
            <v>EXTREMA</v>
          </cell>
          <cell r="C33" t="str">
            <v>MAYOR</v>
          </cell>
          <cell r="D33" t="str">
            <v>E</v>
          </cell>
          <cell r="E33" t="str">
            <v>EXTREMA</v>
          </cell>
        </row>
        <row r="34">
          <cell r="A34">
            <v>35</v>
          </cell>
          <cell r="B34" t="str">
            <v>EXTREMA</v>
          </cell>
          <cell r="C34" t="str">
            <v>CATÁSTROFICO</v>
          </cell>
          <cell r="D34" t="str">
            <v>E</v>
          </cell>
          <cell r="E34" t="str">
            <v>EXTREMA</v>
          </cell>
        </row>
        <row r="35">
          <cell r="A35">
            <v>41</v>
          </cell>
          <cell r="B35" t="str">
            <v>MODERADA</v>
          </cell>
          <cell r="C35" t="str">
            <v>INSUFICIENTE</v>
          </cell>
          <cell r="D35" t="str">
            <v>M</v>
          </cell>
          <cell r="E35" t="str">
            <v>MODERADA</v>
          </cell>
        </row>
        <row r="36">
          <cell r="A36">
            <v>42</v>
          </cell>
          <cell r="B36" t="str">
            <v>ALTA</v>
          </cell>
          <cell r="C36" t="str">
            <v>MENOR</v>
          </cell>
          <cell r="D36" t="str">
            <v>A</v>
          </cell>
          <cell r="E36" t="str">
            <v>ALTA</v>
          </cell>
        </row>
        <row r="37">
          <cell r="A37">
            <v>43</v>
          </cell>
          <cell r="B37" t="str">
            <v>ALTA</v>
          </cell>
          <cell r="C37" t="str">
            <v>MODERADO</v>
          </cell>
          <cell r="D37" t="str">
            <v>A</v>
          </cell>
          <cell r="E37" t="str">
            <v>ALTA</v>
          </cell>
        </row>
        <row r="38">
          <cell r="A38">
            <v>44</v>
          </cell>
          <cell r="B38" t="str">
            <v>EXTREMA</v>
          </cell>
          <cell r="C38" t="str">
            <v>MAYOR</v>
          </cell>
          <cell r="D38" t="str">
            <v>E</v>
          </cell>
          <cell r="E38" t="str">
            <v>EXTREMA</v>
          </cell>
        </row>
        <row r="39">
          <cell r="A39">
            <v>45</v>
          </cell>
          <cell r="B39" t="str">
            <v>EXTREMA</v>
          </cell>
          <cell r="C39" t="str">
            <v>CATÁSTROFICO</v>
          </cell>
          <cell r="D39" t="str">
            <v>E</v>
          </cell>
          <cell r="E39" t="str">
            <v>EXTREMA</v>
          </cell>
        </row>
        <row r="48">
          <cell r="A48" t="str">
            <v>BAJA</v>
          </cell>
          <cell r="B48" t="str">
            <v>Asumir el riesgo, Reducir el riesgo</v>
          </cell>
        </row>
        <row r="49">
          <cell r="A49" t="str">
            <v>MODERADA</v>
          </cell>
          <cell r="B49" t="str">
            <v>Reducir el riesgo, Eliminar</v>
          </cell>
        </row>
        <row r="50">
          <cell r="A50" t="str">
            <v>ALTA</v>
          </cell>
          <cell r="B50" t="str">
            <v>Reducir el riesgo, Eliminar, Evitar, Compartir o Transferir</v>
          </cell>
        </row>
        <row r="51">
          <cell r="A51" t="str">
            <v>EXTREMA</v>
          </cell>
          <cell r="B51" t="str">
            <v>Reducir el riesgo, Eliminar, Evitar, Compartir o Transferir</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Z50"/>
  <sheetViews>
    <sheetView tabSelected="1" topLeftCell="A7" zoomScale="70" zoomScaleNormal="70" zoomScaleSheetLayoutView="50" workbookViewId="0">
      <selection activeCell="R19" sqref="R19"/>
    </sheetView>
  </sheetViews>
  <sheetFormatPr baseColWidth="10" defaultRowHeight="14.25"/>
  <cols>
    <col min="1" max="1" width="5.140625" style="2" customWidth="1"/>
    <col min="2" max="2" width="8.140625" style="2" customWidth="1"/>
    <col min="3" max="3" width="23.7109375" style="2" customWidth="1"/>
    <col min="4" max="4" width="17.5703125" style="2" customWidth="1"/>
    <col min="5" max="10" width="30.140625" style="2" customWidth="1"/>
    <col min="11" max="11" width="18" style="2" customWidth="1"/>
    <col min="12" max="12" width="14" style="2" customWidth="1"/>
    <col min="13" max="13" width="4.42578125" style="50" hidden="1" customWidth="1"/>
    <col min="14" max="14" width="12.85546875" style="4" bestFit="1" customWidth="1"/>
    <col min="15" max="15" width="4.5703125" style="45" hidden="1" customWidth="1"/>
    <col min="16" max="16" width="7.85546875" style="2" hidden="1" customWidth="1"/>
    <col min="17" max="17" width="17.140625" style="2" customWidth="1"/>
    <col min="18" max="18" width="42.85546875" style="2" customWidth="1"/>
    <col min="19" max="19" width="15.7109375" style="2" customWidth="1"/>
    <col min="20" max="20" width="16.42578125" style="2" customWidth="1"/>
    <col min="21" max="21" width="11.140625" style="2" customWidth="1"/>
    <col min="22" max="22" width="7.85546875" style="50" hidden="1" customWidth="1"/>
    <col min="23" max="23" width="17.42578125" style="2" customWidth="1"/>
    <col min="24" max="24" width="12.5703125" style="50" hidden="1" customWidth="1"/>
    <col min="25" max="25" width="14.140625" style="50" customWidth="1"/>
    <col min="26" max="26" width="17.140625" style="2" customWidth="1"/>
    <col min="27" max="27" width="12.85546875" style="2" customWidth="1"/>
    <col min="28" max="28" width="11.5703125" style="2" bestFit="1" customWidth="1"/>
    <col min="29" max="29" width="15.85546875" style="2" hidden="1" customWidth="1"/>
    <col min="30" max="30" width="13.5703125" style="2" customWidth="1"/>
    <col min="31" max="31" width="14" style="2" hidden="1" customWidth="1"/>
    <col min="32" max="32" width="23" style="2" bestFit="1" customWidth="1"/>
    <col min="33" max="33" width="13.85546875" style="2" hidden="1" customWidth="1"/>
    <col min="34" max="34" width="19.5703125" style="2" bestFit="1" customWidth="1"/>
    <col min="35" max="35" width="19.5703125" style="2" customWidth="1"/>
    <col min="36" max="36" width="33.7109375" style="1" customWidth="1"/>
    <col min="37" max="37" width="20.42578125" style="2" customWidth="1"/>
    <col min="38" max="38" width="18.42578125" style="2" customWidth="1"/>
    <col min="39" max="39" width="20.7109375" style="2" customWidth="1"/>
    <col min="40" max="40" width="12.140625" style="2" bestFit="1" customWidth="1"/>
    <col min="41" max="41" width="16.42578125" style="2" customWidth="1"/>
    <col min="42" max="16384" width="11.42578125" style="2"/>
  </cols>
  <sheetData>
    <row r="1" spans="2:52" s="8" customFormat="1" ht="15.75">
      <c r="B1" s="6"/>
      <c r="C1" s="6"/>
      <c r="D1" s="6"/>
      <c r="E1" s="6"/>
      <c r="F1" s="6"/>
      <c r="G1" s="6"/>
      <c r="H1" s="6"/>
      <c r="I1" s="6"/>
      <c r="J1" s="6"/>
      <c r="K1" s="6"/>
      <c r="L1" s="6"/>
      <c r="M1" s="49"/>
      <c r="N1" s="6"/>
      <c r="O1" s="44"/>
      <c r="P1" s="6"/>
      <c r="Q1" s="6"/>
      <c r="R1" s="6"/>
      <c r="S1" s="6"/>
      <c r="T1" s="6"/>
      <c r="U1" s="6"/>
      <c r="V1" s="49"/>
      <c r="W1" s="6"/>
      <c r="X1" s="49"/>
      <c r="Y1" s="49"/>
      <c r="Z1" s="6"/>
      <c r="AA1" s="6"/>
      <c r="AB1" s="6"/>
      <c r="AC1" s="6"/>
      <c r="AD1" s="6"/>
      <c r="AE1" s="6"/>
      <c r="AF1" s="6"/>
      <c r="AG1" s="6"/>
      <c r="AH1" s="6"/>
      <c r="AI1" s="6"/>
      <c r="AJ1" s="6"/>
      <c r="AK1" s="11"/>
      <c r="AL1" s="2"/>
      <c r="AM1" s="2"/>
      <c r="AN1" s="2"/>
      <c r="AO1" s="2"/>
      <c r="AP1" s="2"/>
      <c r="AQ1" s="2"/>
      <c r="AR1" s="2"/>
      <c r="AS1" s="2"/>
      <c r="AT1" s="2"/>
      <c r="AU1" s="2"/>
      <c r="AV1" s="2"/>
      <c r="AW1" s="2"/>
      <c r="AX1" s="2"/>
      <c r="AY1" s="2"/>
      <c r="AZ1" s="2"/>
    </row>
    <row r="2" spans="2:52" ht="16.5" customHeight="1">
      <c r="AJ2" s="2"/>
    </row>
    <row r="3" spans="2:52" ht="12.75" customHeight="1">
      <c r="B3" s="9"/>
      <c r="C3" s="9"/>
      <c r="D3" s="9"/>
      <c r="E3" s="9"/>
      <c r="F3" s="9"/>
      <c r="G3" s="9"/>
      <c r="H3" s="9"/>
      <c r="I3" s="9"/>
      <c r="J3" s="9"/>
      <c r="K3" s="9"/>
      <c r="L3" s="9"/>
      <c r="M3" s="51"/>
      <c r="N3" s="9"/>
      <c r="O3" s="46"/>
      <c r="P3" s="9"/>
      <c r="Q3" s="9"/>
      <c r="R3" s="9"/>
      <c r="S3" s="97"/>
      <c r="T3" s="97"/>
      <c r="U3" s="97"/>
      <c r="V3" s="73"/>
      <c r="W3" s="97"/>
      <c r="X3" s="73"/>
      <c r="Y3" s="73"/>
      <c r="Z3" s="97"/>
      <c r="AA3" s="97"/>
      <c r="AB3" s="97"/>
      <c r="AC3" s="97"/>
      <c r="AD3" s="97"/>
      <c r="AE3" s="97"/>
      <c r="AF3" s="97"/>
      <c r="AG3" s="97"/>
      <c r="AH3" s="97"/>
      <c r="AI3" s="97"/>
      <c r="AJ3" s="97"/>
    </row>
    <row r="4" spans="2:52" ht="16.5" customHeight="1">
      <c r="B4" s="9"/>
      <c r="C4" s="9"/>
      <c r="D4" s="9"/>
      <c r="E4" s="9"/>
      <c r="F4" s="9"/>
      <c r="G4" s="9"/>
      <c r="H4" s="9"/>
      <c r="I4" s="9"/>
      <c r="J4" s="9"/>
      <c r="K4" s="9"/>
      <c r="L4" s="9"/>
      <c r="M4" s="51"/>
      <c r="N4" s="9"/>
      <c r="O4" s="46"/>
      <c r="P4" s="9"/>
      <c r="Q4" s="9"/>
      <c r="R4" s="9"/>
      <c r="S4" s="211"/>
      <c r="T4" s="211"/>
      <c r="U4" s="211"/>
      <c r="V4" s="211"/>
      <c r="W4" s="211"/>
      <c r="X4" s="211"/>
      <c r="Y4" s="211"/>
      <c r="Z4" s="211"/>
      <c r="AA4" s="211"/>
      <c r="AB4" s="211"/>
      <c r="AC4" s="211"/>
      <c r="AD4" s="211"/>
      <c r="AE4" s="211"/>
      <c r="AF4" s="211"/>
      <c r="AG4" s="211"/>
      <c r="AH4" s="211"/>
      <c r="AI4" s="211"/>
      <c r="AJ4" s="211"/>
    </row>
    <row r="5" spans="2:52" ht="15">
      <c r="B5" s="212" t="s">
        <v>2</v>
      </c>
      <c r="C5" s="212"/>
      <c r="D5" s="212"/>
      <c r="E5" s="212"/>
      <c r="F5" s="213"/>
      <c r="G5" s="213"/>
      <c r="H5" s="213"/>
      <c r="I5" s="7"/>
      <c r="J5" s="7"/>
      <c r="K5" s="7"/>
      <c r="L5" s="3"/>
      <c r="M5" s="52"/>
      <c r="N5" s="3"/>
      <c r="O5" s="47"/>
      <c r="P5" s="3"/>
      <c r="Q5" s="3"/>
      <c r="S5" s="14"/>
      <c r="T5" s="214"/>
      <c r="U5" s="214"/>
      <c r="V5" s="214"/>
      <c r="W5" s="214"/>
      <c r="X5" s="214"/>
      <c r="Y5" s="214"/>
      <c r="Z5" s="214"/>
      <c r="AA5" s="214"/>
      <c r="AB5" s="214"/>
      <c r="AC5" s="214"/>
      <c r="AD5" s="214"/>
      <c r="AE5" s="214"/>
      <c r="AF5" s="214"/>
      <c r="AG5" s="214"/>
      <c r="AH5" s="214"/>
      <c r="AI5" s="7"/>
      <c r="AJ5" s="7"/>
    </row>
    <row r="6" spans="2:52" ht="15">
      <c r="B6" s="212" t="s">
        <v>9</v>
      </c>
      <c r="C6" s="212"/>
      <c r="D6" s="212"/>
      <c r="E6" s="212"/>
      <c r="F6" s="213"/>
      <c r="G6" s="213"/>
      <c r="H6" s="213"/>
      <c r="I6" s="7"/>
      <c r="J6" s="7"/>
      <c r="K6" s="7"/>
      <c r="L6" s="3"/>
      <c r="M6" s="52"/>
      <c r="N6" s="3"/>
      <c r="O6" s="47"/>
      <c r="P6" s="3"/>
      <c r="Q6" s="3"/>
      <c r="R6" s="3"/>
      <c r="S6" s="7"/>
      <c r="T6" s="3"/>
      <c r="U6" s="3"/>
      <c r="V6" s="52"/>
      <c r="W6" s="3"/>
      <c r="X6" s="52"/>
      <c r="Y6" s="52"/>
      <c r="Z6" s="3"/>
      <c r="AA6" s="3"/>
      <c r="AB6" s="3"/>
      <c r="AC6" s="3"/>
      <c r="AD6" s="3"/>
      <c r="AE6" s="3"/>
      <c r="AF6" s="3"/>
      <c r="AG6" s="3"/>
      <c r="AH6" s="7"/>
      <c r="AI6" s="7"/>
      <c r="AJ6" s="7"/>
    </row>
    <row r="7" spans="2:52" ht="15">
      <c r="B7" s="212" t="s">
        <v>3</v>
      </c>
      <c r="C7" s="212"/>
      <c r="D7" s="212"/>
      <c r="E7" s="212"/>
      <c r="F7" s="213"/>
      <c r="G7" s="213"/>
      <c r="H7" s="213"/>
      <c r="I7" s="7"/>
      <c r="J7" s="7"/>
      <c r="K7" s="7"/>
      <c r="L7" s="3"/>
      <c r="M7" s="52"/>
      <c r="N7" s="3"/>
      <c r="O7" s="47"/>
      <c r="P7" s="3"/>
      <c r="Q7" s="3"/>
      <c r="R7" s="3"/>
      <c r="S7" s="7"/>
      <c r="T7" s="3"/>
      <c r="U7" s="3"/>
      <c r="V7" s="52"/>
      <c r="W7" s="3"/>
      <c r="X7" s="52"/>
      <c r="Y7" s="52"/>
      <c r="Z7" s="3"/>
      <c r="AA7" s="3"/>
      <c r="AB7" s="3"/>
      <c r="AC7" s="3"/>
      <c r="AD7" s="3"/>
      <c r="AE7" s="3"/>
      <c r="AF7" s="3"/>
      <c r="AG7" s="3"/>
      <c r="AH7" s="7"/>
      <c r="AI7" s="7"/>
      <c r="AJ7" s="7"/>
      <c r="AK7" s="7"/>
    </row>
    <row r="8" spans="2:52" ht="15">
      <c r="B8" s="25"/>
      <c r="C8" s="25"/>
      <c r="D8" s="25"/>
      <c r="E8" s="25"/>
      <c r="F8" s="7"/>
      <c r="G8" s="7"/>
      <c r="H8" s="7"/>
      <c r="I8" s="7"/>
      <c r="J8" s="7"/>
      <c r="K8" s="7"/>
      <c r="L8" s="3"/>
      <c r="M8" s="52"/>
      <c r="N8" s="3"/>
      <c r="O8" s="47"/>
      <c r="P8" s="3"/>
      <c r="Q8" s="3"/>
      <c r="R8" s="3"/>
      <c r="S8" s="7"/>
      <c r="T8" s="3"/>
      <c r="U8" s="3"/>
      <c r="V8" s="52"/>
      <c r="W8" s="3"/>
      <c r="X8" s="52"/>
      <c r="Y8" s="52"/>
      <c r="Z8" s="3"/>
      <c r="AA8" s="3"/>
      <c r="AB8" s="3"/>
      <c r="AC8" s="3"/>
      <c r="AD8" s="3"/>
      <c r="AE8" s="3"/>
      <c r="AF8" s="3"/>
      <c r="AG8" s="3"/>
      <c r="AH8" s="7"/>
      <c r="AI8" s="7"/>
      <c r="AJ8" s="7"/>
      <c r="AK8" s="7"/>
    </row>
    <row r="9" spans="2:52" ht="15">
      <c r="B9" s="12"/>
      <c r="C9" s="12"/>
      <c r="D9" s="12"/>
      <c r="E9" s="12"/>
      <c r="F9" s="7"/>
      <c r="G9" s="7"/>
      <c r="H9" s="215"/>
      <c r="I9" s="215"/>
      <c r="J9" s="215"/>
      <c r="K9" s="215"/>
      <c r="L9" s="7"/>
      <c r="M9" s="215"/>
      <c r="N9" s="215"/>
      <c r="O9" s="215"/>
      <c r="P9" s="215"/>
      <c r="Q9" s="215"/>
      <c r="R9" s="215"/>
      <c r="S9" s="215"/>
      <c r="T9" s="215"/>
      <c r="U9" s="3"/>
      <c r="V9" s="52"/>
      <c r="W9" s="3"/>
      <c r="X9" s="52"/>
      <c r="Y9" s="52"/>
      <c r="Z9" s="3"/>
      <c r="AA9" s="3"/>
      <c r="AB9" s="3"/>
      <c r="AC9" s="3"/>
      <c r="AD9" s="3"/>
      <c r="AE9" s="3"/>
      <c r="AF9" s="3"/>
      <c r="AG9" s="3"/>
      <c r="AH9" s="7"/>
      <c r="AI9" s="7"/>
      <c r="AJ9" s="7"/>
      <c r="AK9" s="7"/>
    </row>
    <row r="10" spans="2:52" s="8" customFormat="1" ht="15">
      <c r="B10" s="10"/>
      <c r="C10" s="10"/>
      <c r="D10" s="10"/>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L10" s="2"/>
      <c r="AM10" s="2"/>
      <c r="AN10" s="2"/>
      <c r="AO10" s="2"/>
      <c r="AP10" s="2"/>
      <c r="AQ10" s="2"/>
      <c r="AR10" s="2"/>
      <c r="AS10" s="2"/>
      <c r="AT10" s="2"/>
      <c r="AU10" s="2"/>
      <c r="AV10" s="2"/>
      <c r="AW10" s="2"/>
      <c r="AX10" s="2"/>
      <c r="AY10" s="2"/>
      <c r="AZ10" s="2"/>
    </row>
    <row r="11" spans="2:52" ht="33" customHeight="1">
      <c r="B11" s="217" t="s">
        <v>11</v>
      </c>
      <c r="C11" s="217"/>
      <c r="D11" s="217"/>
      <c r="E11" s="217"/>
      <c r="F11" s="217"/>
      <c r="G11" s="217"/>
      <c r="H11" s="217"/>
      <c r="I11" s="217"/>
      <c r="J11" s="217"/>
      <c r="K11" s="217"/>
      <c r="L11" s="217" t="s">
        <v>8</v>
      </c>
      <c r="M11" s="217"/>
      <c r="N11" s="217"/>
      <c r="O11" s="217"/>
      <c r="P11" s="217"/>
      <c r="Q11" s="217"/>
      <c r="R11" s="217" t="s">
        <v>19</v>
      </c>
      <c r="S11" s="217"/>
      <c r="T11" s="217"/>
      <c r="U11" s="217"/>
      <c r="V11" s="217"/>
      <c r="W11" s="217"/>
      <c r="X11" s="217"/>
      <c r="Y11" s="217"/>
      <c r="Z11" s="217"/>
      <c r="AA11" s="217"/>
      <c r="AB11" s="217"/>
      <c r="AC11" s="217"/>
      <c r="AD11" s="217"/>
      <c r="AE11" s="217"/>
      <c r="AF11" s="217"/>
      <c r="AG11" s="217"/>
      <c r="AH11" s="217"/>
      <c r="AI11" s="218" t="s">
        <v>1</v>
      </c>
      <c r="AJ11" s="219"/>
      <c r="AK11" s="219"/>
      <c r="AL11" s="219"/>
      <c r="AM11" s="219"/>
      <c r="AN11" s="219"/>
      <c r="AO11" s="220"/>
    </row>
    <row r="12" spans="2:52" ht="15">
      <c r="B12" s="222" t="s">
        <v>21</v>
      </c>
      <c r="C12" s="206" t="s">
        <v>690</v>
      </c>
      <c r="D12" s="206" t="s">
        <v>691</v>
      </c>
      <c r="E12" s="221" t="s">
        <v>296</v>
      </c>
      <c r="F12" s="221" t="s">
        <v>297</v>
      </c>
      <c r="G12" s="221" t="s">
        <v>298</v>
      </c>
      <c r="H12" s="221" t="s">
        <v>299</v>
      </c>
      <c r="I12" s="223" t="s">
        <v>300</v>
      </c>
      <c r="J12" s="223" t="s">
        <v>49</v>
      </c>
      <c r="K12" s="223" t="s">
        <v>75</v>
      </c>
      <c r="L12" s="221" t="s">
        <v>27</v>
      </c>
      <c r="M12" s="221"/>
      <c r="N12" s="221" t="s">
        <v>28</v>
      </c>
      <c r="O12" s="221"/>
      <c r="P12" s="221" t="s">
        <v>29</v>
      </c>
      <c r="Q12" s="221"/>
      <c r="R12" s="221" t="s">
        <v>30</v>
      </c>
      <c r="S12" s="221" t="s">
        <v>31</v>
      </c>
      <c r="T12" s="221"/>
      <c r="U12" s="221"/>
      <c r="V12" s="221"/>
      <c r="W12" s="221"/>
      <c r="X12" s="221"/>
      <c r="Y12" s="221"/>
      <c r="Z12" s="221"/>
      <c r="AA12" s="221"/>
      <c r="AB12" s="221"/>
      <c r="AC12" s="221" t="s">
        <v>40</v>
      </c>
      <c r="AD12" s="221" t="s">
        <v>38</v>
      </c>
      <c r="AE12" s="221" t="s">
        <v>40</v>
      </c>
      <c r="AF12" s="221" t="s">
        <v>41</v>
      </c>
      <c r="AG12" s="223"/>
      <c r="AH12" s="221" t="s">
        <v>15</v>
      </c>
      <c r="AI12" s="221" t="s">
        <v>42</v>
      </c>
      <c r="AJ12" s="221" t="s">
        <v>292</v>
      </c>
      <c r="AK12" s="227" t="s">
        <v>44</v>
      </c>
      <c r="AL12" s="225" t="s">
        <v>45</v>
      </c>
      <c r="AM12" s="225" t="s">
        <v>47</v>
      </c>
      <c r="AN12" s="225" t="s">
        <v>46</v>
      </c>
      <c r="AO12" s="225" t="s">
        <v>48</v>
      </c>
    </row>
    <row r="13" spans="2:52" ht="35.25" customHeight="1">
      <c r="B13" s="222"/>
      <c r="C13" s="208"/>
      <c r="D13" s="208"/>
      <c r="E13" s="221"/>
      <c r="F13" s="221"/>
      <c r="G13" s="221"/>
      <c r="H13" s="221"/>
      <c r="I13" s="224"/>
      <c r="J13" s="224"/>
      <c r="K13" s="224"/>
      <c r="L13" s="221"/>
      <c r="M13" s="221"/>
      <c r="N13" s="221"/>
      <c r="O13" s="221"/>
      <c r="P13" s="221"/>
      <c r="Q13" s="221"/>
      <c r="R13" s="221"/>
      <c r="S13" s="24" t="s">
        <v>32</v>
      </c>
      <c r="T13" s="24" t="s">
        <v>22</v>
      </c>
      <c r="U13" s="24" t="s">
        <v>33</v>
      </c>
      <c r="V13" s="74"/>
      <c r="W13" s="24" t="s">
        <v>34</v>
      </c>
      <c r="X13" s="74" t="s">
        <v>40</v>
      </c>
      <c r="Y13" s="74" t="s">
        <v>35</v>
      </c>
      <c r="Z13" s="24" t="s">
        <v>36</v>
      </c>
      <c r="AA13" s="24" t="s">
        <v>26</v>
      </c>
      <c r="AB13" s="24" t="s">
        <v>37</v>
      </c>
      <c r="AC13" s="221"/>
      <c r="AD13" s="221"/>
      <c r="AE13" s="221"/>
      <c r="AF13" s="221"/>
      <c r="AG13" s="224"/>
      <c r="AH13" s="221"/>
      <c r="AI13" s="221"/>
      <c r="AJ13" s="221"/>
      <c r="AK13" s="228"/>
      <c r="AL13" s="226"/>
      <c r="AM13" s="226"/>
      <c r="AN13" s="226"/>
      <c r="AO13" s="226"/>
    </row>
    <row r="14" spans="2:52" ht="9.75" customHeight="1">
      <c r="B14" s="17"/>
      <c r="C14" s="17"/>
      <c r="D14" s="17"/>
      <c r="E14" s="17"/>
      <c r="F14" s="17"/>
      <c r="G14" s="17"/>
      <c r="H14" s="17"/>
      <c r="I14" s="17"/>
      <c r="J14" s="17"/>
      <c r="K14" s="17"/>
      <c r="L14" s="17"/>
      <c r="M14" s="53"/>
      <c r="N14" s="17"/>
      <c r="O14" s="48"/>
      <c r="P14" s="17"/>
      <c r="Q14" s="17"/>
      <c r="R14" s="17"/>
      <c r="S14" s="18"/>
      <c r="T14" s="18"/>
      <c r="U14" s="18"/>
      <c r="V14" s="75"/>
      <c r="W14" s="18"/>
      <c r="X14" s="75"/>
      <c r="Y14" s="75"/>
      <c r="Z14" s="18"/>
      <c r="AA14" s="18"/>
      <c r="AB14" s="18"/>
      <c r="AC14" s="18"/>
      <c r="AD14" s="18"/>
      <c r="AE14" s="18"/>
      <c r="AF14" s="18"/>
      <c r="AG14" s="18"/>
      <c r="AH14" s="17"/>
      <c r="AI14" s="17"/>
      <c r="AJ14" s="17"/>
      <c r="AK14" s="15"/>
      <c r="AL14" s="15"/>
      <c r="AM14" s="15"/>
      <c r="AN14" s="15"/>
      <c r="AO14" s="15"/>
    </row>
    <row r="15" spans="2:52" ht="42.75">
      <c r="B15" s="395">
        <v>1</v>
      </c>
      <c r="C15" s="206" t="s">
        <v>594</v>
      </c>
      <c r="D15" s="206" t="s">
        <v>528</v>
      </c>
      <c r="E15" s="200" t="s">
        <v>322</v>
      </c>
      <c r="F15" s="200" t="s">
        <v>329</v>
      </c>
      <c r="G15" s="200" t="s">
        <v>312</v>
      </c>
      <c r="H15" s="200" t="s">
        <v>330</v>
      </c>
      <c r="I15" s="232" t="s">
        <v>331</v>
      </c>
      <c r="J15" s="200" t="s">
        <v>327</v>
      </c>
      <c r="K15" s="200">
        <v>463</v>
      </c>
      <c r="L15" s="200" t="str">
        <f>VLOOKUP(M15,'PARÁMETROS RIESGOS GESTIÓN'!$D$12:$F$17,3,0)</f>
        <v>Media</v>
      </c>
      <c r="M15" s="200">
        <f>IF(K15&lt;=2,20,IF(K15&lt;=24,40,IF(K15&lt;=500,60,IF(K15&lt;="5000",80,100))))</f>
        <v>60</v>
      </c>
      <c r="N15" s="200" t="s">
        <v>99</v>
      </c>
      <c r="O15" s="200">
        <f>IF(N15="leve",20,IF(N15="Menor",40,IF(N15="Moderado",60,IF(N15="Mayor",80,IF(N15="Catastrófico",100,0)))))</f>
        <v>40</v>
      </c>
      <c r="P15" s="200">
        <f>VALUE(_xlfn.CONCAT(M15,O15))</f>
        <v>6040</v>
      </c>
      <c r="Q15" s="235" t="str">
        <f>VLOOKUP(P15,'Zona de riesgo'!$B$12:$C$36,2,0)</f>
        <v>Moderado</v>
      </c>
      <c r="R15" s="19" t="s">
        <v>336</v>
      </c>
      <c r="S15" s="20" t="s">
        <v>20</v>
      </c>
      <c r="T15" s="20"/>
      <c r="U15" s="15" t="s">
        <v>109</v>
      </c>
      <c r="V15" s="76">
        <f>IF(U15="Preventivo",25,IF(U15="Detectivo",15,IF(U15="Correctivo",10)))</f>
        <v>25</v>
      </c>
      <c r="W15" s="15" t="s">
        <v>115</v>
      </c>
      <c r="X15" s="76">
        <f>IF(W15="Automático",25,IF(W15="manual",15))</f>
        <v>25</v>
      </c>
      <c r="Y15" s="72">
        <f>V15+X15</f>
        <v>50</v>
      </c>
      <c r="Z15" s="15" t="s">
        <v>120</v>
      </c>
      <c r="AA15" s="15" t="s">
        <v>125</v>
      </c>
      <c r="AB15" s="15" t="s">
        <v>129</v>
      </c>
      <c r="AC15" s="72">
        <f>IF(U15="Correctivo",M15,(M15-(M15*Y15)/100))</f>
        <v>30</v>
      </c>
      <c r="AD15" s="200" t="str">
        <f>IF(AC17&gt;80,"Muy Alta",IF(AC17&gt;60,"Alta",IF(AC17&gt;40,"Media",IF(AC17&gt;20,"Baja","Muy Baja"))))</f>
        <v>Muy Baja</v>
      </c>
      <c r="AE15" s="15">
        <f>IF(U15="Correctivo",(O15-(O15*V15)/100),O15)</f>
        <v>40</v>
      </c>
      <c r="AF15" s="200" t="str">
        <f>IF(AE17&gt;80,"Catastrófico",IF(AE17&gt;60,"Mayor",IF(AE17&gt;40,"Moderado",IF(AE17&gt;20,"Menor","Leve"))))</f>
        <v>Menor</v>
      </c>
      <c r="AG15" s="200" t="str">
        <f>CONCATENATE(AD15,AF15)</f>
        <v>Muy BajaMenor</v>
      </c>
      <c r="AH15" s="235" t="str">
        <f>VLOOKUP(AG15,'RIESGO RESIDUAL'!$A$1:$B$25,2,0)</f>
        <v>Baja</v>
      </c>
      <c r="AI15" s="203" t="str">
        <f>IF(AH15="Baja","Aceptar-Asumir","Reducir-Mitigar")</f>
        <v>Aceptar-Asumir</v>
      </c>
      <c r="AJ15" s="229" t="s">
        <v>332</v>
      </c>
      <c r="AK15" s="229" t="s">
        <v>332</v>
      </c>
      <c r="AL15" s="229" t="s">
        <v>332</v>
      </c>
      <c r="AM15" s="229" t="s">
        <v>332</v>
      </c>
      <c r="AN15" s="229" t="s">
        <v>332</v>
      </c>
      <c r="AO15" s="229" t="s">
        <v>332</v>
      </c>
    </row>
    <row r="16" spans="2:52" ht="57">
      <c r="B16" s="396"/>
      <c r="C16" s="207"/>
      <c r="D16" s="207"/>
      <c r="E16" s="201"/>
      <c r="F16" s="201"/>
      <c r="G16" s="201"/>
      <c r="H16" s="201"/>
      <c r="I16" s="233"/>
      <c r="J16" s="201"/>
      <c r="K16" s="201" t="s">
        <v>76</v>
      </c>
      <c r="L16" s="201" t="str">
        <f>VLOOKUP(M16,'PARÁMETROS RIESGOS GESTIÓN'!D13:F18,3,TRUE)</f>
        <v>Baja</v>
      </c>
      <c r="M16" s="201">
        <f t="shared" ref="M16:M50" si="0">IF(K16="1 a 2",20,IF(K16="3 a 24",40,IF(K16="25 a 500",60,IF(K16="501 a 5000",80,100))))</f>
        <v>40</v>
      </c>
      <c r="N16" s="201" t="s">
        <v>101</v>
      </c>
      <c r="O16" s="201">
        <f t="shared" ref="O16:O44" si="1">IF(N16="leve",20,IF(N16="Menor",40,IF(N16="Moderado",60,IF(N16="Mayor",80,IF(N16="Catastrófico",100,0)))))</f>
        <v>100</v>
      </c>
      <c r="P16" s="201">
        <f t="shared" ref="P16:P17" si="2">VALUE(_xlfn.CONCAT(M16,O16))</f>
        <v>40100</v>
      </c>
      <c r="Q16" s="236" t="str">
        <f>VLOOKUP(P16,'Zona de riesgo'!B13:C37,2)</f>
        <v>Extremo</v>
      </c>
      <c r="R16" s="19" t="s">
        <v>337</v>
      </c>
      <c r="S16" s="20" t="s">
        <v>20</v>
      </c>
      <c r="T16" s="20"/>
      <c r="U16" s="15" t="s">
        <v>109</v>
      </c>
      <c r="V16" s="76">
        <f>IF(U16="Preventivo",25,IF(U16="Detectivo",15,IF(U16="Correctivo",10)))</f>
        <v>25</v>
      </c>
      <c r="W16" s="15" t="s">
        <v>115</v>
      </c>
      <c r="X16" s="76">
        <f>IF(W16="Automático",25,IF(W16="manual",15))</f>
        <v>25</v>
      </c>
      <c r="Y16" s="72">
        <f>V16+X16</f>
        <v>50</v>
      </c>
      <c r="Z16" s="15" t="s">
        <v>120</v>
      </c>
      <c r="AA16" s="15" t="s">
        <v>125</v>
      </c>
      <c r="AB16" s="15" t="s">
        <v>129</v>
      </c>
      <c r="AC16" s="72">
        <f>IF(U16="preventivo",(AC15-(AC15*Y16/100)),IF(U16="detectivo",(AC15-(AC15*Y16/100)),IF(U16="Correctivo",AC15,AC15)))</f>
        <v>15</v>
      </c>
      <c r="AD16" s="201"/>
      <c r="AE16" s="15">
        <f>IF(U16="Correctivo",(AE15-(AE15*V15/100)),AE15)</f>
        <v>40</v>
      </c>
      <c r="AF16" s="201"/>
      <c r="AG16" s="201"/>
      <c r="AH16" s="236"/>
      <c r="AI16" s="204"/>
      <c r="AJ16" s="230"/>
      <c r="AK16" s="230"/>
      <c r="AL16" s="230"/>
      <c r="AM16" s="230"/>
      <c r="AN16" s="230"/>
      <c r="AO16" s="230"/>
    </row>
    <row r="17" spans="2:41" ht="20.25">
      <c r="B17" s="397"/>
      <c r="C17" s="208"/>
      <c r="D17" s="208"/>
      <c r="E17" s="202"/>
      <c r="F17" s="202"/>
      <c r="G17" s="202"/>
      <c r="H17" s="202"/>
      <c r="I17" s="234"/>
      <c r="J17" s="202"/>
      <c r="K17" s="202" t="s">
        <v>77</v>
      </c>
      <c r="L17" s="202" t="str">
        <f>VLOOKUP(M17,'PARÁMETROS RIESGOS GESTIÓN'!D14:F19,3,TRUE)</f>
        <v>Media</v>
      </c>
      <c r="M17" s="202">
        <f t="shared" si="0"/>
        <v>60</v>
      </c>
      <c r="N17" s="202" t="s">
        <v>101</v>
      </c>
      <c r="O17" s="202">
        <f t="shared" si="1"/>
        <v>100</v>
      </c>
      <c r="P17" s="202">
        <f t="shared" si="2"/>
        <v>60100</v>
      </c>
      <c r="Q17" s="236" t="str">
        <f>VLOOKUP(P17,'Zona de riesgo'!B14:C38,2)</f>
        <v>Extremo</v>
      </c>
      <c r="R17" s="19"/>
      <c r="S17" s="20"/>
      <c r="T17" s="21"/>
      <c r="U17" s="15"/>
      <c r="V17" s="76"/>
      <c r="W17" s="15"/>
      <c r="X17" s="76"/>
      <c r="Y17" s="72"/>
      <c r="Z17" s="15"/>
      <c r="AA17" s="15"/>
      <c r="AB17" s="15"/>
      <c r="AC17" s="72">
        <f>IF(U17="preventivo",(AC16-(AC16*Y17/100)),IF(U17="detectivo",(AC16-(AC16*Y17/100)),IF(U17="Correctivo",AC16,AC16)))</f>
        <v>15</v>
      </c>
      <c r="AD17" s="202"/>
      <c r="AE17" s="15">
        <f>IF(U17="Correctivo",(AE16-(AE16*V16/100)),AE16)</f>
        <v>40</v>
      </c>
      <c r="AF17" s="202"/>
      <c r="AG17" s="202"/>
      <c r="AH17" s="236"/>
      <c r="AI17" s="205"/>
      <c r="AJ17" s="231"/>
      <c r="AK17" s="231"/>
      <c r="AL17" s="231"/>
      <c r="AM17" s="231"/>
      <c r="AN17" s="231"/>
      <c r="AO17" s="231"/>
    </row>
    <row r="18" spans="2:41" ht="42.75">
      <c r="B18" s="395">
        <v>2</v>
      </c>
      <c r="C18" s="206" t="s">
        <v>511</v>
      </c>
      <c r="D18" s="206" t="s">
        <v>528</v>
      </c>
      <c r="E18" s="200" t="s">
        <v>321</v>
      </c>
      <c r="F18" s="200" t="s">
        <v>355</v>
      </c>
      <c r="G18" s="200" t="s">
        <v>312</v>
      </c>
      <c r="H18" s="200" t="s">
        <v>356</v>
      </c>
      <c r="I18" s="232" t="s">
        <v>330</v>
      </c>
      <c r="J18" s="232" t="s">
        <v>327</v>
      </c>
      <c r="K18" s="200">
        <v>2</v>
      </c>
      <c r="L18" s="200" t="str">
        <f>VLOOKUP(M18,'PARÁMETROS RIESGOS GESTIÓN'!$D$12:$F$17,3,0)</f>
        <v>Muy Baja</v>
      </c>
      <c r="M18" s="200">
        <f t="shared" ref="M18" si="3">IF(K18&lt;=2,20,IF(K18&lt;=24,40,IF(K18&lt;=500,60,IF(K18&lt;="5000",80,100))))</f>
        <v>20</v>
      </c>
      <c r="N18" s="200" t="s">
        <v>98</v>
      </c>
      <c r="O18" s="200">
        <f t="shared" si="1"/>
        <v>20</v>
      </c>
      <c r="P18" s="200">
        <f>VALUE(_xlfn.CONCAT(M18,O18))</f>
        <v>2020</v>
      </c>
      <c r="Q18" s="235" t="str">
        <f>VLOOKUP(P18,'Zona de riesgo'!$B$12:$C$36,2,0)</f>
        <v>Baja</v>
      </c>
      <c r="R18" s="19" t="s">
        <v>749</v>
      </c>
      <c r="S18" s="20" t="s">
        <v>328</v>
      </c>
      <c r="T18" s="15"/>
      <c r="U18" s="15" t="s">
        <v>109</v>
      </c>
      <c r="V18" s="76">
        <f t="shared" ref="V18:V19" si="4">IF(U18="Preventivo",25,IF(U18="Detectivo",15,IF(U18="Correctivo",10)))</f>
        <v>25</v>
      </c>
      <c r="W18" s="15" t="s">
        <v>117</v>
      </c>
      <c r="X18" s="76">
        <f t="shared" ref="X18:X50" si="5">IF(W18="Automático",25,IF(W18="manual",15))</f>
        <v>15</v>
      </c>
      <c r="Y18" s="72">
        <f t="shared" ref="Y18:Y50" si="6">V18+X18</f>
        <v>40</v>
      </c>
      <c r="Z18" s="15" t="s">
        <v>120</v>
      </c>
      <c r="AA18" s="15" t="s">
        <v>127</v>
      </c>
      <c r="AB18" s="15" t="s">
        <v>131</v>
      </c>
      <c r="AC18" s="72">
        <f>IF(U18="Correctivo",M18,(M18-(M18*Y18)/100))</f>
        <v>12</v>
      </c>
      <c r="AD18" s="200" t="str">
        <f>IF(AC20&gt;80,"Muy Alta",IF(AC20&gt;60,"Alta",IF(AC20&gt;40,"Media",IF(AC20&gt;20,"Baja","Muy Baja"))))</f>
        <v>Muy Baja</v>
      </c>
      <c r="AE18" s="15">
        <f>IF(U18="Correctivo",(O18-(O18*V18)/100),O18)</f>
        <v>20</v>
      </c>
      <c r="AF18" s="200" t="str">
        <f>IF(AE20&gt;80,"Catastrófico",IF(AE20&gt;60,"Mayor",IF(AE20&gt;40,"Moderado",IF(AE20&gt;20,"Menor","Leve"))))</f>
        <v>Leve</v>
      </c>
      <c r="AG18" s="200" t="str">
        <f>CONCATENATE(AD18,AF18)</f>
        <v>Muy BajaLeve</v>
      </c>
      <c r="AH18" s="235" t="str">
        <f>VLOOKUP(AG18,'RIESGO RESIDUAL'!$A$1:$B$25,2,0)</f>
        <v>Baja</v>
      </c>
      <c r="AI18" s="203" t="str">
        <f>IF(AH18="Baja","Aceptar-Asumir","Reducir-Mitigar")</f>
        <v>Aceptar-Asumir</v>
      </c>
      <c r="AJ18" s="229" t="s">
        <v>357</v>
      </c>
      <c r="AK18" s="229" t="s">
        <v>134</v>
      </c>
      <c r="AL18" s="229" t="s">
        <v>358</v>
      </c>
      <c r="AM18" s="229"/>
      <c r="AN18" s="229"/>
      <c r="AO18" s="229"/>
    </row>
    <row r="19" spans="2:41" ht="42.75">
      <c r="B19" s="396"/>
      <c r="C19" s="207"/>
      <c r="D19" s="207"/>
      <c r="E19" s="201"/>
      <c r="F19" s="201"/>
      <c r="G19" s="201"/>
      <c r="H19" s="201"/>
      <c r="I19" s="233"/>
      <c r="J19" s="233"/>
      <c r="K19" s="201"/>
      <c r="L19" s="201" t="str">
        <f>VLOOKUP(M19,'PARÁMETROS RIESGOS GESTIÓN'!D16:F21,3,TRUE)</f>
        <v>Muy Alta</v>
      </c>
      <c r="M19" s="201">
        <f t="shared" si="0"/>
        <v>100</v>
      </c>
      <c r="N19" s="201" t="s">
        <v>101</v>
      </c>
      <c r="O19" s="201">
        <f t="shared" si="1"/>
        <v>100</v>
      </c>
      <c r="P19" s="201">
        <f t="shared" ref="P19:P20" si="7">VALUE(_xlfn.CONCAT(M19,O19))</f>
        <v>100100</v>
      </c>
      <c r="Q19" s="236" t="str">
        <f>VLOOKUP(P19,'Zona de riesgo'!B16:C40,2)</f>
        <v>Extremo</v>
      </c>
      <c r="R19" s="19" t="s">
        <v>750</v>
      </c>
      <c r="S19" s="20" t="s">
        <v>328</v>
      </c>
      <c r="T19" s="15"/>
      <c r="U19" s="15" t="s">
        <v>109</v>
      </c>
      <c r="V19" s="76">
        <f t="shared" si="4"/>
        <v>25</v>
      </c>
      <c r="W19" s="15" t="s">
        <v>117</v>
      </c>
      <c r="X19" s="76">
        <f t="shared" si="5"/>
        <v>15</v>
      </c>
      <c r="Y19" s="72">
        <f t="shared" si="6"/>
        <v>40</v>
      </c>
      <c r="Z19" s="15" t="s">
        <v>120</v>
      </c>
      <c r="AA19" s="15" t="s">
        <v>127</v>
      </c>
      <c r="AB19" s="15" t="s">
        <v>131</v>
      </c>
      <c r="AC19" s="72">
        <f>IF(U19="preventivo",(AC18-(AC18*Y19/100)),IF(U19="detectivo",(AC18-(AC18*Y19/100)),IF(U19="Correctivo",AC18,AC18)))</f>
        <v>7.2</v>
      </c>
      <c r="AD19" s="201"/>
      <c r="AE19" s="15">
        <f>IF(U19="Correctivo",(AE18-(AE18*V18/100)),AE18)</f>
        <v>20</v>
      </c>
      <c r="AF19" s="201"/>
      <c r="AG19" s="201"/>
      <c r="AH19" s="236"/>
      <c r="AI19" s="204"/>
      <c r="AJ19" s="230"/>
      <c r="AK19" s="230"/>
      <c r="AL19" s="230"/>
      <c r="AM19" s="230"/>
      <c r="AN19" s="230"/>
      <c r="AO19" s="230"/>
    </row>
    <row r="20" spans="2:41" ht="20.25">
      <c r="B20" s="397"/>
      <c r="C20" s="208"/>
      <c r="D20" s="208"/>
      <c r="E20" s="202"/>
      <c r="F20" s="202"/>
      <c r="G20" s="202"/>
      <c r="H20" s="202"/>
      <c r="I20" s="234"/>
      <c r="J20" s="234"/>
      <c r="K20" s="202"/>
      <c r="L20" s="202" t="str">
        <f>VLOOKUP(M20,'PARÁMETROS RIESGOS GESTIÓN'!D17:F22,3,TRUE)</f>
        <v>Muy Alta</v>
      </c>
      <c r="M20" s="202">
        <f t="shared" si="0"/>
        <v>100</v>
      </c>
      <c r="N20" s="202" t="s">
        <v>101</v>
      </c>
      <c r="O20" s="202">
        <f t="shared" si="1"/>
        <v>100</v>
      </c>
      <c r="P20" s="202">
        <f t="shared" si="7"/>
        <v>100100</v>
      </c>
      <c r="Q20" s="236" t="str">
        <f>VLOOKUP(P20,'Zona de riesgo'!B17:C41,2)</f>
        <v>Extremo</v>
      </c>
      <c r="R20" s="19"/>
      <c r="S20" s="20"/>
      <c r="T20" s="15"/>
      <c r="U20" s="15"/>
      <c r="V20" s="76"/>
      <c r="W20" s="15"/>
      <c r="X20" s="76"/>
      <c r="Y20" s="72">
        <f t="shared" si="6"/>
        <v>0</v>
      </c>
      <c r="Z20" s="15"/>
      <c r="AA20" s="15"/>
      <c r="AB20" s="15"/>
      <c r="AC20" s="72">
        <f>IF(U20="preventivo",(AC19-(AC19*Y20/100)),IF(U20="detectivo",(AC19-(AC19*Y20/100)),IF(U20="Correctivo",AC19,AC19)))</f>
        <v>7.2</v>
      </c>
      <c r="AD20" s="202"/>
      <c r="AE20" s="15">
        <f>IF(U20="Correctivo",(AE19-(AE19*V19/100)),AE19)</f>
        <v>20</v>
      </c>
      <c r="AF20" s="202"/>
      <c r="AG20" s="202"/>
      <c r="AH20" s="236"/>
      <c r="AI20" s="205"/>
      <c r="AJ20" s="231"/>
      <c r="AK20" s="231"/>
      <c r="AL20" s="231"/>
      <c r="AM20" s="231"/>
      <c r="AN20" s="231"/>
      <c r="AO20" s="231"/>
    </row>
    <row r="21" spans="2:41" ht="24.75" customHeight="1">
      <c r="B21" s="395">
        <v>3</v>
      </c>
      <c r="C21" s="206" t="s">
        <v>692</v>
      </c>
      <c r="D21" s="206" t="s">
        <v>693</v>
      </c>
      <c r="E21" s="243" t="s">
        <v>320</v>
      </c>
      <c r="F21" s="237" t="s">
        <v>359</v>
      </c>
      <c r="G21" s="251" t="s">
        <v>312</v>
      </c>
      <c r="H21" s="237" t="s">
        <v>360</v>
      </c>
      <c r="I21" s="240" t="s">
        <v>361</v>
      </c>
      <c r="J21" s="240" t="s">
        <v>327</v>
      </c>
      <c r="K21" s="243">
        <v>40</v>
      </c>
      <c r="L21" s="200" t="str">
        <f>VLOOKUP(M21,'PARÁMETROS RIESGOS GESTIÓN'!$D$12:$F$17,3,0)</f>
        <v>Media</v>
      </c>
      <c r="M21" s="200">
        <f t="shared" ref="M21" si="8">IF(K21&lt;=2,20,IF(K21&lt;=24,40,IF(K21&lt;=500,60,IF(K21&lt;="5000",80,100))))</f>
        <v>60</v>
      </c>
      <c r="N21" s="243" t="s">
        <v>98</v>
      </c>
      <c r="O21" s="200">
        <f t="shared" si="1"/>
        <v>20</v>
      </c>
      <c r="P21" s="243">
        <f>VALUE(_xlfn.CONCAT(M21,O21))</f>
        <v>6020</v>
      </c>
      <c r="Q21" s="235" t="str">
        <f>VLOOKUP(P21,'Zona de riesgo'!$B$12:$C$36,2,0)</f>
        <v>Moderado</v>
      </c>
      <c r="R21" s="141" t="s">
        <v>362</v>
      </c>
      <c r="S21" s="118" t="s">
        <v>20</v>
      </c>
      <c r="T21" s="119"/>
      <c r="U21" s="119" t="s">
        <v>109</v>
      </c>
      <c r="V21" s="120" t="str">
        <f t="shared" ref="V21:V35" si="9">+IF(U21="X","5","0")</f>
        <v>0</v>
      </c>
      <c r="W21" s="119" t="s">
        <v>117</v>
      </c>
      <c r="X21" s="76">
        <f t="shared" si="5"/>
        <v>15</v>
      </c>
      <c r="Y21" s="72">
        <f t="shared" si="6"/>
        <v>15</v>
      </c>
      <c r="Z21" s="119" t="s">
        <v>120</v>
      </c>
      <c r="AA21" s="119" t="s">
        <v>127</v>
      </c>
      <c r="AB21" s="119" t="s">
        <v>129</v>
      </c>
      <c r="AC21" s="72">
        <f>IF(U21="Correctivo",M21,(M21-(M21*Y21)/100))</f>
        <v>51</v>
      </c>
      <c r="AD21" s="200" t="str">
        <f>IF(AC23&gt;80,"Muy Alta",IF(AC23&gt;60,"Alta",IF(AC23&gt;40,"Media",IF(AC23&gt;20,"Baja","Muy Baja"))))</f>
        <v>Media</v>
      </c>
      <c r="AE21" s="15">
        <f>IF(U21="Correctivo",(O21-(O21*V21)/100),O21)</f>
        <v>20</v>
      </c>
      <c r="AF21" s="200" t="str">
        <f>IF(AE23&gt;80,"Catastrófico",IF(AE23&gt;60,"Mayor",IF(AE23&gt;40,"Moderado",IF(AE23&gt;20,"Menor","Leve"))))</f>
        <v>Leve</v>
      </c>
      <c r="AG21" s="200" t="str">
        <f>CONCATENATE(AD21,AF21)</f>
        <v>MediaLeve</v>
      </c>
      <c r="AH21" s="235" t="str">
        <f>VLOOKUP(AG21,'RIESGO RESIDUAL'!$A$1:$B$25,2,0)</f>
        <v>Moderado</v>
      </c>
      <c r="AI21" s="203" t="str">
        <f t="shared" ref="AI21" si="10">IF(AH21="Baja","Aceptar-Asumir","Reducir-Mitigar")</f>
        <v>Reducir-Mitigar</v>
      </c>
      <c r="AJ21" s="246" t="s">
        <v>363</v>
      </c>
      <c r="AK21" s="246" t="s">
        <v>364</v>
      </c>
      <c r="AL21" s="252">
        <v>44735</v>
      </c>
      <c r="AM21" s="252">
        <v>44858</v>
      </c>
      <c r="AN21" s="246" t="s">
        <v>365</v>
      </c>
      <c r="AO21" s="246"/>
    </row>
    <row r="22" spans="2:41" ht="36.75" customHeight="1">
      <c r="B22" s="396"/>
      <c r="C22" s="207"/>
      <c r="D22" s="209"/>
      <c r="E22" s="244"/>
      <c r="F22" s="238"/>
      <c r="G22" s="238"/>
      <c r="H22" s="238"/>
      <c r="I22" s="241"/>
      <c r="J22" s="241"/>
      <c r="K22" s="244"/>
      <c r="L22" s="201" t="e">
        <f>VLOOKUP(M22,'PARÁMETROS RIESGOS GESTIÓN'!D19:F24,3,TRUE)</f>
        <v>#N/A</v>
      </c>
      <c r="M22" s="201">
        <f t="shared" si="0"/>
        <v>100</v>
      </c>
      <c r="N22" s="244"/>
      <c r="O22" s="201">
        <f t="shared" si="1"/>
        <v>0</v>
      </c>
      <c r="P22" s="244"/>
      <c r="Q22" s="236" t="e">
        <f>VLOOKUP(P22,'Zona de riesgo'!B19:C43,2)</f>
        <v>#N/A</v>
      </c>
      <c r="R22" s="121" t="s">
        <v>366</v>
      </c>
      <c r="S22" s="118"/>
      <c r="T22" s="128" t="s">
        <v>328</v>
      </c>
      <c r="U22" s="119" t="s">
        <v>109</v>
      </c>
      <c r="V22" s="120" t="str">
        <f t="shared" si="9"/>
        <v>0</v>
      </c>
      <c r="W22" s="119" t="s">
        <v>117</v>
      </c>
      <c r="X22" s="76">
        <f t="shared" si="5"/>
        <v>15</v>
      </c>
      <c r="Y22" s="72">
        <f t="shared" si="6"/>
        <v>15</v>
      </c>
      <c r="Z22" s="119" t="s">
        <v>120</v>
      </c>
      <c r="AA22" s="119" t="s">
        <v>125</v>
      </c>
      <c r="AB22" s="119" t="s">
        <v>129</v>
      </c>
      <c r="AC22" s="72">
        <f>IF(U22="preventivo",(AC21-(AC21*Y22/100)),IF(U22="detectivo",(AC21-(AC21*Y22/100)),IF(U22="Correctivo",AC21,AC21)))</f>
        <v>43.35</v>
      </c>
      <c r="AD22" s="201"/>
      <c r="AE22" s="15">
        <f>IF(U22="Correctivo",(AE21-(AE21*V21/100)),AE21)</f>
        <v>20</v>
      </c>
      <c r="AF22" s="201"/>
      <c r="AG22" s="201"/>
      <c r="AH22" s="236"/>
      <c r="AI22" s="204"/>
      <c r="AJ22" s="238"/>
      <c r="AK22" s="238"/>
      <c r="AL22" s="238"/>
      <c r="AM22" s="238"/>
      <c r="AN22" s="238"/>
      <c r="AO22" s="238"/>
    </row>
    <row r="23" spans="2:41" ht="20.25">
      <c r="B23" s="397"/>
      <c r="C23" s="208"/>
      <c r="D23" s="210"/>
      <c r="E23" s="245"/>
      <c r="F23" s="239"/>
      <c r="G23" s="239"/>
      <c r="H23" s="239"/>
      <c r="I23" s="242"/>
      <c r="J23" s="242"/>
      <c r="K23" s="245"/>
      <c r="L23" s="202" t="e">
        <f>VLOOKUP(M23,'PARÁMETROS RIESGOS GESTIÓN'!D20:F25,3,TRUE)</f>
        <v>#N/A</v>
      </c>
      <c r="M23" s="202">
        <f t="shared" si="0"/>
        <v>100</v>
      </c>
      <c r="N23" s="245"/>
      <c r="O23" s="202">
        <f t="shared" si="1"/>
        <v>0</v>
      </c>
      <c r="P23" s="245"/>
      <c r="Q23" s="236" t="e">
        <f>VLOOKUP(P23,'Zona de riesgo'!B20:C44,2)</f>
        <v>#N/A</v>
      </c>
      <c r="R23" s="121"/>
      <c r="S23" s="118"/>
      <c r="T23" s="119"/>
      <c r="U23" s="119"/>
      <c r="V23" s="120"/>
      <c r="W23" s="119"/>
      <c r="X23" s="76" t="b">
        <f t="shared" si="5"/>
        <v>0</v>
      </c>
      <c r="Y23" s="72">
        <f t="shared" si="6"/>
        <v>0</v>
      </c>
      <c r="Z23" s="119"/>
      <c r="AA23" s="119"/>
      <c r="AB23" s="119"/>
      <c r="AC23" s="72">
        <f>IF(U23="preventivo",(AC22-(AC22*Y23/100)),IF(U23="detectivo",(AC22-(AC22*Y23/100)),IF(U23="Correctivo",AC22,AC22)))</f>
        <v>43.35</v>
      </c>
      <c r="AD23" s="202"/>
      <c r="AE23" s="15">
        <f>IF(U23="Correctivo",(AE22-(AE22*V22/100)),AE22)</f>
        <v>20</v>
      </c>
      <c r="AF23" s="202"/>
      <c r="AG23" s="202"/>
      <c r="AH23" s="236"/>
      <c r="AI23" s="205"/>
      <c r="AJ23" s="239"/>
      <c r="AK23" s="239"/>
      <c r="AL23" s="239"/>
      <c r="AM23" s="239"/>
      <c r="AN23" s="239"/>
      <c r="AO23" s="239"/>
    </row>
    <row r="24" spans="2:41" ht="28.5">
      <c r="B24" s="395">
        <v>4</v>
      </c>
      <c r="C24" s="206" t="s">
        <v>692</v>
      </c>
      <c r="D24" s="206" t="s">
        <v>693</v>
      </c>
      <c r="E24" s="243" t="s">
        <v>320</v>
      </c>
      <c r="F24" s="237" t="s">
        <v>367</v>
      </c>
      <c r="G24" s="251" t="s">
        <v>312</v>
      </c>
      <c r="H24" s="237" t="s">
        <v>368</v>
      </c>
      <c r="I24" s="240" t="s">
        <v>369</v>
      </c>
      <c r="J24" s="240" t="s">
        <v>327</v>
      </c>
      <c r="K24" s="243">
        <v>2</v>
      </c>
      <c r="L24" s="200" t="str">
        <f>VLOOKUP(M24,'PARÁMETROS RIESGOS GESTIÓN'!$D$12:$F$17,3,0)</f>
        <v>Muy Baja</v>
      </c>
      <c r="M24" s="200">
        <f t="shared" ref="M24" si="11">IF(K24&lt;=2,20,IF(K24&lt;=24,40,IF(K24&lt;=500,60,IF(K24&lt;="5000",80,100))))</f>
        <v>20</v>
      </c>
      <c r="N24" s="243" t="s">
        <v>98</v>
      </c>
      <c r="O24" s="200">
        <f t="shared" si="1"/>
        <v>20</v>
      </c>
      <c r="P24" s="243">
        <f t="shared" ref="P24" si="12">VALUE(_xlfn.CONCAT(M24,O24))</f>
        <v>2020</v>
      </c>
      <c r="Q24" s="235" t="str">
        <f>VLOOKUP(P24,'Zona de riesgo'!$B$12:$C$36,2,0)</f>
        <v>Baja</v>
      </c>
      <c r="R24" s="121" t="s">
        <v>370</v>
      </c>
      <c r="S24" s="118"/>
      <c r="T24" s="128" t="s">
        <v>328</v>
      </c>
      <c r="U24" s="119" t="s">
        <v>109</v>
      </c>
      <c r="V24" s="120" t="str">
        <f t="shared" si="9"/>
        <v>0</v>
      </c>
      <c r="W24" s="119" t="s">
        <v>117</v>
      </c>
      <c r="X24" s="76">
        <f t="shared" si="5"/>
        <v>15</v>
      </c>
      <c r="Y24" s="72">
        <f t="shared" si="6"/>
        <v>15</v>
      </c>
      <c r="Z24" s="119" t="s">
        <v>120</v>
      </c>
      <c r="AA24" s="119" t="s">
        <v>125</v>
      </c>
      <c r="AB24" s="119" t="s">
        <v>129</v>
      </c>
      <c r="AC24" s="72">
        <f>IF(U24="Correctivo",M24,(M24-(M24*Y24)/100))</f>
        <v>17</v>
      </c>
      <c r="AD24" s="200" t="str">
        <f>IF(AC26&gt;80,"Muy Alta",IF(AC26&gt;60,"Alta",IF(AC26&gt;40,"Media",IF(AC26&gt;20,"Baja","Muy Baja"))))</f>
        <v>Muy Baja</v>
      </c>
      <c r="AE24" s="15">
        <f>IF(U24="Correctivo",(O24-(O24*V24)/100),O24)</f>
        <v>20</v>
      </c>
      <c r="AF24" s="200" t="str">
        <f t="shared" ref="AF24" si="13">IF(AE26&gt;80,"Catastrófico",IF(AE26&gt;60,"Mayor",IF(AE26&gt;40,"Moderado",IF(AE26&gt;20,"Menor","Leve"))))</f>
        <v>Leve</v>
      </c>
      <c r="AG24" s="200" t="str">
        <f>CONCATENATE(AD24,AF24)</f>
        <v>Muy BajaLeve</v>
      </c>
      <c r="AH24" s="235" t="str">
        <f>VLOOKUP(AG24,'RIESGO RESIDUAL'!$A$1:$B$25,2,0)</f>
        <v>Baja</v>
      </c>
      <c r="AI24" s="203" t="str">
        <f t="shared" ref="AI24" si="14">IF(AH24="Baja","Aceptar-Asumir","Reducir-Mitigar")</f>
        <v>Aceptar-Asumir</v>
      </c>
      <c r="AJ24" s="246" t="s">
        <v>371</v>
      </c>
      <c r="AK24" s="246" t="s">
        <v>364</v>
      </c>
      <c r="AL24" s="252">
        <v>44735</v>
      </c>
      <c r="AM24" s="252">
        <v>44858</v>
      </c>
      <c r="AN24" s="246" t="s">
        <v>365</v>
      </c>
      <c r="AO24" s="246"/>
    </row>
    <row r="25" spans="2:41" ht="28.5">
      <c r="B25" s="396"/>
      <c r="C25" s="207"/>
      <c r="D25" s="209"/>
      <c r="E25" s="244"/>
      <c r="F25" s="238"/>
      <c r="G25" s="238"/>
      <c r="H25" s="238"/>
      <c r="I25" s="241"/>
      <c r="J25" s="241"/>
      <c r="K25" s="244"/>
      <c r="L25" s="201" t="e">
        <f>VLOOKUP(M25,'PARÁMETROS RIESGOS GESTIÓN'!D22:F27,3,TRUE)</f>
        <v>#N/A</v>
      </c>
      <c r="M25" s="201">
        <f t="shared" si="0"/>
        <v>100</v>
      </c>
      <c r="N25" s="244"/>
      <c r="O25" s="201">
        <f t="shared" si="1"/>
        <v>0</v>
      </c>
      <c r="P25" s="244"/>
      <c r="Q25" s="236" t="e">
        <f>VLOOKUP(P25,'Zona de riesgo'!B22:C46,2)</f>
        <v>#N/A</v>
      </c>
      <c r="R25" s="122" t="s">
        <v>372</v>
      </c>
      <c r="S25" s="118"/>
      <c r="T25" s="128" t="s">
        <v>328</v>
      </c>
      <c r="U25" s="119" t="s">
        <v>109</v>
      </c>
      <c r="V25" s="120" t="str">
        <f t="shared" si="9"/>
        <v>0</v>
      </c>
      <c r="W25" s="119" t="s">
        <v>117</v>
      </c>
      <c r="X25" s="76">
        <f t="shared" si="5"/>
        <v>15</v>
      </c>
      <c r="Y25" s="72">
        <f t="shared" si="6"/>
        <v>15</v>
      </c>
      <c r="Z25" s="119" t="s">
        <v>120</v>
      </c>
      <c r="AA25" s="119" t="s">
        <v>125</v>
      </c>
      <c r="AB25" s="119" t="s">
        <v>129</v>
      </c>
      <c r="AC25" s="72">
        <f>IF(U25="preventivo",(AC24-(AC24*Y25/100)),IF(U25="detectivo",(AC24-(AC24*Y25/100)),IF(U25="Correctivo",AC24,AC24)))</f>
        <v>14.45</v>
      </c>
      <c r="AD25" s="201"/>
      <c r="AE25" s="15">
        <f>IF(U25="Correctivo",(AE24-(AE24*V24/100)),AE24)</f>
        <v>20</v>
      </c>
      <c r="AF25" s="201"/>
      <c r="AG25" s="201"/>
      <c r="AH25" s="236"/>
      <c r="AI25" s="204"/>
      <c r="AJ25" s="238"/>
      <c r="AK25" s="238"/>
      <c r="AL25" s="238"/>
      <c r="AM25" s="238"/>
      <c r="AN25" s="238"/>
      <c r="AO25" s="238"/>
    </row>
    <row r="26" spans="2:41" ht="28.5">
      <c r="B26" s="397"/>
      <c r="C26" s="208"/>
      <c r="D26" s="210"/>
      <c r="E26" s="245"/>
      <c r="F26" s="239"/>
      <c r="G26" s="239"/>
      <c r="H26" s="239"/>
      <c r="I26" s="242"/>
      <c r="J26" s="242"/>
      <c r="K26" s="245"/>
      <c r="L26" s="202" t="e">
        <f>VLOOKUP(M26,'PARÁMETROS RIESGOS GESTIÓN'!D23:F28,3,TRUE)</f>
        <v>#N/A</v>
      </c>
      <c r="M26" s="202">
        <f t="shared" si="0"/>
        <v>100</v>
      </c>
      <c r="N26" s="245"/>
      <c r="O26" s="202">
        <f t="shared" si="1"/>
        <v>0</v>
      </c>
      <c r="P26" s="245"/>
      <c r="Q26" s="236" t="e">
        <f>VLOOKUP(P26,'Zona de riesgo'!B23:C47,2)</f>
        <v>#N/A</v>
      </c>
      <c r="R26" s="122" t="s">
        <v>373</v>
      </c>
      <c r="S26" s="118"/>
      <c r="T26" s="128" t="s">
        <v>328</v>
      </c>
      <c r="U26" s="119" t="s">
        <v>109</v>
      </c>
      <c r="V26" s="120" t="str">
        <f t="shared" si="9"/>
        <v>0</v>
      </c>
      <c r="W26" s="119" t="s">
        <v>117</v>
      </c>
      <c r="X26" s="76">
        <f t="shared" si="5"/>
        <v>15</v>
      </c>
      <c r="Y26" s="72">
        <f t="shared" si="6"/>
        <v>15</v>
      </c>
      <c r="Z26" s="119" t="s">
        <v>120</v>
      </c>
      <c r="AA26" s="119" t="s">
        <v>125</v>
      </c>
      <c r="AB26" s="119" t="s">
        <v>129</v>
      </c>
      <c r="AC26" s="72">
        <f>IF(U26="preventivo",(AC25-(AC25*Y26/100)),IF(U26="detectivo",(AC25-(AC25*Y26/100)),IF(U26="Correctivo",AC25,AC25)))</f>
        <v>12.282499999999999</v>
      </c>
      <c r="AD26" s="202"/>
      <c r="AE26" s="15">
        <f>IF(U26="Correctivo",(AE25-(AE25*V25/100)),AE25)</f>
        <v>20</v>
      </c>
      <c r="AF26" s="202"/>
      <c r="AG26" s="202"/>
      <c r="AH26" s="236"/>
      <c r="AI26" s="205"/>
      <c r="AJ26" s="239"/>
      <c r="AK26" s="239"/>
      <c r="AL26" s="239"/>
      <c r="AM26" s="239"/>
      <c r="AN26" s="239"/>
      <c r="AO26" s="239"/>
    </row>
    <row r="27" spans="2:41" ht="57">
      <c r="B27" s="395">
        <v>5</v>
      </c>
      <c r="C27" s="206" t="s">
        <v>694</v>
      </c>
      <c r="D27" s="206" t="s">
        <v>695</v>
      </c>
      <c r="E27" s="200" t="s">
        <v>320</v>
      </c>
      <c r="F27" s="200" t="s">
        <v>374</v>
      </c>
      <c r="G27" s="200" t="s">
        <v>312</v>
      </c>
      <c r="H27" s="200" t="s">
        <v>375</v>
      </c>
      <c r="I27" s="232" t="s">
        <v>376</v>
      </c>
      <c r="J27" s="200" t="s">
        <v>377</v>
      </c>
      <c r="K27" s="200">
        <v>3000</v>
      </c>
      <c r="L27" s="200" t="str">
        <f>VLOOKUP(M27,'PARÁMETROS RIESGOS GESTIÓN'!$D$12:$F$17,3,0)</f>
        <v>Alta</v>
      </c>
      <c r="M27" s="200">
        <f t="shared" ref="M27" si="15">IF(K27&lt;=2,20,IF(K27&lt;=24,40,IF(K27&lt;=500,60,IF(K27&lt;="5000",80,100))))</f>
        <v>80</v>
      </c>
      <c r="N27" s="200" t="s">
        <v>13</v>
      </c>
      <c r="O27" s="200">
        <f t="shared" si="1"/>
        <v>60</v>
      </c>
      <c r="P27" s="200">
        <f>VALUE(_xlfn.CONCAT(M27,O27))</f>
        <v>8060</v>
      </c>
      <c r="Q27" s="235" t="str">
        <f>VLOOKUP(P27,'Zona de riesgo'!$B$12:$C$36,2,0)</f>
        <v>Alto</v>
      </c>
      <c r="R27" s="122" t="s">
        <v>451</v>
      </c>
      <c r="S27" s="20" t="s">
        <v>328</v>
      </c>
      <c r="T27" s="15"/>
      <c r="U27" s="15" t="s">
        <v>109</v>
      </c>
      <c r="V27" s="22" t="str">
        <f t="shared" si="9"/>
        <v>0</v>
      </c>
      <c r="W27" s="15" t="s">
        <v>115</v>
      </c>
      <c r="X27" s="76">
        <f t="shared" si="5"/>
        <v>25</v>
      </c>
      <c r="Y27" s="72">
        <f t="shared" si="6"/>
        <v>25</v>
      </c>
      <c r="Z27" s="15" t="s">
        <v>120</v>
      </c>
      <c r="AA27" s="15" t="s">
        <v>125</v>
      </c>
      <c r="AB27" s="15" t="s">
        <v>129</v>
      </c>
      <c r="AC27" s="72">
        <f>IF(U27="Correctivo",M27,(M27-(M27*Y27)/100))</f>
        <v>60</v>
      </c>
      <c r="AD27" s="200" t="str">
        <f>IF(AC29&gt;80,"Muy Alta",IF(AC29&gt;60,"Alta",IF(AC29&gt;40,"Media",IF(AC29&gt;20,"Baja","Muy Baja"))))</f>
        <v>Media</v>
      </c>
      <c r="AE27" s="15">
        <f>IF(U27="Correctivo",(O27-(O27*V27)/100),O27)</f>
        <v>60</v>
      </c>
      <c r="AF27" s="200" t="str">
        <f t="shared" ref="AF27" si="16">IF(AE29&gt;80,"Catastrófico",IF(AE29&gt;60,"Mayor",IF(AE29&gt;40,"Moderado",IF(AE29&gt;20,"Menor","Leve"))))</f>
        <v>Moderado</v>
      </c>
      <c r="AG27" s="200" t="str">
        <f>CONCATENATE(AD27,AF27)</f>
        <v>MediaModerado</v>
      </c>
      <c r="AH27" s="235" t="str">
        <f>VLOOKUP(AG27,'RIESGO RESIDUAL'!$A$1:$B$25,2,0)</f>
        <v>Moderado</v>
      </c>
      <c r="AI27" s="203" t="str">
        <f t="shared" ref="AI27" si="17">IF(AH27="Baja","Aceptar-Asumir","Reducir-Mitigar")</f>
        <v>Reducir-Mitigar</v>
      </c>
      <c r="AJ27" s="229" t="s">
        <v>378</v>
      </c>
      <c r="AK27" s="229" t="s">
        <v>379</v>
      </c>
      <c r="AL27" s="229" t="s">
        <v>380</v>
      </c>
      <c r="AM27" s="248"/>
      <c r="AN27" s="139"/>
      <c r="AO27" s="229" t="s">
        <v>379</v>
      </c>
    </row>
    <row r="28" spans="2:41" ht="42.75">
      <c r="B28" s="396"/>
      <c r="C28" s="207"/>
      <c r="D28" s="209"/>
      <c r="E28" s="201"/>
      <c r="F28" s="201"/>
      <c r="G28" s="201"/>
      <c r="H28" s="201"/>
      <c r="I28" s="233"/>
      <c r="J28" s="201"/>
      <c r="K28" s="201" t="s">
        <v>76</v>
      </c>
      <c r="L28" s="201" t="e">
        <f>VLOOKUP(M28,'PARÁMETROS RIESGOS GESTIÓN'!D25:F30,3,TRUE)</f>
        <v>#N/A</v>
      </c>
      <c r="M28" s="201">
        <f t="shared" si="0"/>
        <v>40</v>
      </c>
      <c r="N28" s="201" t="s">
        <v>101</v>
      </c>
      <c r="O28" s="201">
        <f t="shared" si="1"/>
        <v>100</v>
      </c>
      <c r="P28" s="201">
        <f t="shared" ref="P28:P29" si="18">VALUE(_xlfn.CONCAT(M28,O28))</f>
        <v>40100</v>
      </c>
      <c r="Q28" s="236" t="str">
        <f>VLOOKUP(P28,'Zona de riesgo'!B25:C49,2)</f>
        <v>Extremo</v>
      </c>
      <c r="R28" s="122" t="s">
        <v>452</v>
      </c>
      <c r="S28" s="20" t="s">
        <v>20</v>
      </c>
      <c r="T28" s="15"/>
      <c r="U28" s="15" t="s">
        <v>111</v>
      </c>
      <c r="V28" s="22" t="str">
        <f t="shared" si="9"/>
        <v>0</v>
      </c>
      <c r="W28" s="15" t="s">
        <v>117</v>
      </c>
      <c r="X28" s="76">
        <f t="shared" si="5"/>
        <v>15</v>
      </c>
      <c r="Y28" s="72">
        <f t="shared" si="6"/>
        <v>15</v>
      </c>
      <c r="Z28" s="15" t="s">
        <v>123</v>
      </c>
      <c r="AA28" s="15" t="s">
        <v>125</v>
      </c>
      <c r="AB28" s="15" t="s">
        <v>131</v>
      </c>
      <c r="AC28" s="72">
        <f>IF(U28="preventivo",(AC27-(AC27*Y28/100)),IF(U28="detectivo",(AC27-(AC27*Y28/100)),IF(U28="Correctivo",AC27,AC27)))</f>
        <v>51</v>
      </c>
      <c r="AD28" s="201"/>
      <c r="AE28" s="15">
        <f>IF(U28="Correctivo",(AE27-(AE27*V27/100)),AE27)</f>
        <v>60</v>
      </c>
      <c r="AF28" s="201"/>
      <c r="AG28" s="201"/>
      <c r="AH28" s="236"/>
      <c r="AI28" s="204"/>
      <c r="AJ28" s="230"/>
      <c r="AK28" s="230"/>
      <c r="AL28" s="230"/>
      <c r="AM28" s="249"/>
      <c r="AN28" s="139"/>
      <c r="AO28" s="230"/>
    </row>
    <row r="29" spans="2:41" ht="20.25">
      <c r="B29" s="397"/>
      <c r="C29" s="208"/>
      <c r="D29" s="210"/>
      <c r="E29" s="202"/>
      <c r="F29" s="202"/>
      <c r="G29" s="202"/>
      <c r="H29" s="202"/>
      <c r="I29" s="234"/>
      <c r="J29" s="202"/>
      <c r="K29" s="202" t="s">
        <v>77</v>
      </c>
      <c r="L29" s="202" t="e">
        <f>VLOOKUP(M29,'PARÁMETROS RIESGOS GESTIÓN'!D26:F31,3,TRUE)</f>
        <v>#N/A</v>
      </c>
      <c r="M29" s="202">
        <f t="shared" si="0"/>
        <v>60</v>
      </c>
      <c r="N29" s="202" t="s">
        <v>101</v>
      </c>
      <c r="O29" s="202">
        <f t="shared" si="1"/>
        <v>100</v>
      </c>
      <c r="P29" s="202">
        <f t="shared" si="18"/>
        <v>60100</v>
      </c>
      <c r="Q29" s="236" t="str">
        <f>VLOOKUP(P29,'Zona de riesgo'!B26:C50,2)</f>
        <v>Extremo</v>
      </c>
      <c r="R29" s="19"/>
      <c r="S29" s="20"/>
      <c r="T29" s="15"/>
      <c r="U29" s="21"/>
      <c r="V29" s="22" t="str">
        <f t="shared" si="9"/>
        <v>0</v>
      </c>
      <c r="W29" s="15"/>
      <c r="X29" s="76" t="b">
        <f t="shared" si="5"/>
        <v>0</v>
      </c>
      <c r="Y29" s="72">
        <f t="shared" si="6"/>
        <v>0</v>
      </c>
      <c r="Z29" s="15"/>
      <c r="AA29" s="15"/>
      <c r="AB29" s="15"/>
      <c r="AC29" s="72">
        <f>IF(U29="preventivo",(AC28-(AC28*Y29/100)),IF(U29="detectivo",(AC28-(AC28*Y29/100)),IF(U29="Correctivo",AC28,AC28)))</f>
        <v>51</v>
      </c>
      <c r="AD29" s="202"/>
      <c r="AE29" s="15">
        <f>IF(U29="Correctivo",(AE28-(AE28*V28/100)),AE28)</f>
        <v>60</v>
      </c>
      <c r="AF29" s="202"/>
      <c r="AG29" s="202"/>
      <c r="AH29" s="236"/>
      <c r="AI29" s="205"/>
      <c r="AJ29" s="231"/>
      <c r="AK29" s="231"/>
      <c r="AL29" s="231"/>
      <c r="AM29" s="250"/>
      <c r="AN29" s="139"/>
      <c r="AO29" s="231"/>
    </row>
    <row r="30" spans="2:41" ht="28.5">
      <c r="B30" s="395">
        <v>6</v>
      </c>
      <c r="C30" s="206" t="s">
        <v>696</v>
      </c>
      <c r="D30" s="206" t="s">
        <v>697</v>
      </c>
      <c r="E30" s="200" t="s">
        <v>320</v>
      </c>
      <c r="F30" s="200" t="s">
        <v>381</v>
      </c>
      <c r="G30" s="200" t="s">
        <v>312</v>
      </c>
      <c r="H30" s="200" t="s">
        <v>382</v>
      </c>
      <c r="I30" s="232" t="s">
        <v>383</v>
      </c>
      <c r="J30" s="200" t="s">
        <v>327</v>
      </c>
      <c r="K30" s="200">
        <v>500</v>
      </c>
      <c r="L30" s="200" t="str">
        <f>VLOOKUP(M30,'PARÁMETROS RIESGOS GESTIÓN'!$D$12:$F$17,3,0)</f>
        <v>Media</v>
      </c>
      <c r="M30" s="200">
        <f t="shared" ref="M30" si="19">IF(K30&lt;=2,20,IF(K30&lt;=24,40,IF(K30&lt;=500,60,IF(K30&lt;="5000",80,100))))</f>
        <v>60</v>
      </c>
      <c r="N30" s="200" t="s">
        <v>98</v>
      </c>
      <c r="O30" s="200">
        <f t="shared" si="1"/>
        <v>20</v>
      </c>
      <c r="P30" s="200">
        <f>VALUE(_xlfn.CONCAT(M30,O30))</f>
        <v>6020</v>
      </c>
      <c r="Q30" s="235" t="str">
        <f>VLOOKUP(P30,'Zona de riesgo'!$B$12:$C$36,2,0)</f>
        <v>Moderado</v>
      </c>
      <c r="R30" s="19" t="s">
        <v>384</v>
      </c>
      <c r="S30" s="20" t="s">
        <v>328</v>
      </c>
      <c r="T30" s="15"/>
      <c r="U30" s="15" t="s">
        <v>109</v>
      </c>
      <c r="V30" s="22" t="str">
        <f t="shared" si="9"/>
        <v>0</v>
      </c>
      <c r="W30" s="15" t="s">
        <v>117</v>
      </c>
      <c r="X30" s="76">
        <f t="shared" si="5"/>
        <v>15</v>
      </c>
      <c r="Y30" s="72">
        <f t="shared" si="6"/>
        <v>15</v>
      </c>
      <c r="Z30" s="15" t="s">
        <v>120</v>
      </c>
      <c r="AA30" s="15" t="s">
        <v>127</v>
      </c>
      <c r="AB30" s="15" t="s">
        <v>129</v>
      </c>
      <c r="AC30" s="72">
        <f>IF(U30="Correctivo",M30,(M30-(M30*Y30)/100))</f>
        <v>51</v>
      </c>
      <c r="AD30" s="200" t="str">
        <f t="shared" ref="AD30" si="20">IF(AC32&gt;80,"Muy Alta",IF(AC32&gt;60,"Alta",IF(AC32&gt;40,"Media",IF(AC32&gt;20,"Baja","Muy Baja"))))</f>
        <v>Media</v>
      </c>
      <c r="AE30" s="15">
        <f>IF(U30="Correctivo",(O30-(O30*V30)/100),O30)</f>
        <v>20</v>
      </c>
      <c r="AF30" s="200" t="str">
        <f t="shared" ref="AF30" si="21">IF(AE32&gt;80,"Catastrófico",IF(AE32&gt;60,"Mayor",IF(AE32&gt;40,"Moderado",IF(AE32&gt;20,"Menor","Leve"))))</f>
        <v>Leve</v>
      </c>
      <c r="AG30" s="200" t="str">
        <f>CONCATENATE(AD30,AF30)</f>
        <v>MediaLeve</v>
      </c>
      <c r="AH30" s="235" t="str">
        <f>VLOOKUP(AG30,'RIESGO RESIDUAL'!$A$1:$B$25,2,0)</f>
        <v>Moderado</v>
      </c>
      <c r="AI30" s="203" t="str">
        <f t="shared" ref="AI30" si="22">IF(AH30="Baja","Aceptar-Asumir","Reducir-Mitigar")</f>
        <v>Reducir-Mitigar</v>
      </c>
      <c r="AJ30" s="229" t="s">
        <v>385</v>
      </c>
      <c r="AK30" s="229" t="s">
        <v>385</v>
      </c>
      <c r="AL30" s="229" t="s">
        <v>385</v>
      </c>
      <c r="AM30" s="229" t="s">
        <v>385</v>
      </c>
      <c r="AN30" s="229" t="s">
        <v>385</v>
      </c>
      <c r="AO30" s="229" t="s">
        <v>385</v>
      </c>
    </row>
    <row r="31" spans="2:41" ht="28.5">
      <c r="B31" s="396"/>
      <c r="C31" s="207"/>
      <c r="D31" s="209"/>
      <c r="E31" s="201"/>
      <c r="F31" s="201"/>
      <c r="G31" s="201"/>
      <c r="H31" s="201"/>
      <c r="I31" s="233"/>
      <c r="J31" s="201"/>
      <c r="K31" s="201"/>
      <c r="L31" s="201" t="e">
        <f>VLOOKUP(M31,'PARÁMETROS RIESGOS GESTIÓN'!D28:F33,3,TRUE)</f>
        <v>#N/A</v>
      </c>
      <c r="M31" s="201">
        <f t="shared" si="0"/>
        <v>100</v>
      </c>
      <c r="N31" s="201" t="s">
        <v>101</v>
      </c>
      <c r="O31" s="201">
        <f t="shared" si="1"/>
        <v>100</v>
      </c>
      <c r="P31" s="201">
        <f t="shared" ref="P31:P32" si="23">VALUE(_xlfn.CONCAT(M31,O31))</f>
        <v>100100</v>
      </c>
      <c r="Q31" s="236" t="str">
        <f>VLOOKUP(P31,'Zona de riesgo'!B28:C52,2)</f>
        <v>Extremo</v>
      </c>
      <c r="R31" s="19" t="s">
        <v>386</v>
      </c>
      <c r="S31" s="20" t="s">
        <v>328</v>
      </c>
      <c r="T31" s="15"/>
      <c r="U31" s="15" t="s">
        <v>111</v>
      </c>
      <c r="V31" s="22" t="str">
        <f t="shared" si="9"/>
        <v>0</v>
      </c>
      <c r="W31" s="15" t="s">
        <v>117</v>
      </c>
      <c r="X31" s="76">
        <f t="shared" si="5"/>
        <v>15</v>
      </c>
      <c r="Y31" s="72">
        <f t="shared" si="6"/>
        <v>15</v>
      </c>
      <c r="Z31" s="15" t="s">
        <v>123</v>
      </c>
      <c r="AA31" s="15" t="s">
        <v>127</v>
      </c>
      <c r="AB31" s="15" t="s">
        <v>131</v>
      </c>
      <c r="AC31" s="72">
        <f>IF(U31="preventivo",(AC30-(AC30*Y31/100)),IF(U31="detectivo",(AC30-(AC30*Y31/100)),IF(U31="Correctivo",AC30,AC30)))</f>
        <v>43.35</v>
      </c>
      <c r="AD31" s="201"/>
      <c r="AE31" s="15">
        <f>IF(U31="Correctivo",(AE30-(AE30*V30/100)),AE30)</f>
        <v>20</v>
      </c>
      <c r="AF31" s="201"/>
      <c r="AG31" s="201"/>
      <c r="AH31" s="236"/>
      <c r="AI31" s="204"/>
      <c r="AJ31" s="230"/>
      <c r="AK31" s="230"/>
      <c r="AL31" s="230"/>
      <c r="AM31" s="230"/>
      <c r="AN31" s="230"/>
      <c r="AO31" s="230"/>
    </row>
    <row r="32" spans="2:41" ht="20.25">
      <c r="B32" s="397"/>
      <c r="C32" s="208"/>
      <c r="D32" s="210"/>
      <c r="E32" s="202"/>
      <c r="F32" s="202"/>
      <c r="G32" s="202"/>
      <c r="H32" s="202"/>
      <c r="I32" s="234"/>
      <c r="J32" s="202"/>
      <c r="K32" s="202"/>
      <c r="L32" s="202" t="e">
        <f>VLOOKUP(M32,'PARÁMETROS RIESGOS GESTIÓN'!D29:F34,3,TRUE)</f>
        <v>#N/A</v>
      </c>
      <c r="M32" s="202">
        <f t="shared" si="0"/>
        <v>100</v>
      </c>
      <c r="N32" s="202" t="s">
        <v>101</v>
      </c>
      <c r="O32" s="202">
        <f t="shared" si="1"/>
        <v>100</v>
      </c>
      <c r="P32" s="202">
        <f t="shared" si="23"/>
        <v>100100</v>
      </c>
      <c r="Q32" s="236" t="str">
        <f>VLOOKUP(P32,'Zona de riesgo'!B29:C53,2)</f>
        <v>Extremo</v>
      </c>
      <c r="R32" s="19"/>
      <c r="S32" s="20"/>
      <c r="T32" s="15"/>
      <c r="U32" s="21"/>
      <c r="V32" s="22" t="str">
        <f t="shared" si="9"/>
        <v>0</v>
      </c>
      <c r="W32" s="15"/>
      <c r="X32" s="76" t="b">
        <f t="shared" si="5"/>
        <v>0</v>
      </c>
      <c r="Y32" s="72">
        <f t="shared" si="6"/>
        <v>0</v>
      </c>
      <c r="Z32" s="15"/>
      <c r="AA32" s="15"/>
      <c r="AB32" s="15"/>
      <c r="AC32" s="72">
        <f>IF(U32="preventivo",(AC31-(AC31*Y32/100)),IF(U32="detectivo",(AC31-(AC31*Y32/100)),IF(U32="Correctivo",AC31,AC31)))</f>
        <v>43.35</v>
      </c>
      <c r="AD32" s="202"/>
      <c r="AE32" s="15">
        <f>IF(U32="Correctivo",(AE31-(AE31*V31/100)),AE31)</f>
        <v>20</v>
      </c>
      <c r="AF32" s="202"/>
      <c r="AG32" s="202"/>
      <c r="AH32" s="236"/>
      <c r="AI32" s="205"/>
      <c r="AJ32" s="231"/>
      <c r="AK32" s="231"/>
      <c r="AL32" s="231"/>
      <c r="AM32" s="231"/>
      <c r="AN32" s="231"/>
      <c r="AO32" s="231"/>
    </row>
    <row r="33" spans="2:41" ht="42.75">
      <c r="B33" s="395">
        <v>7</v>
      </c>
      <c r="C33" s="206" t="s">
        <v>698</v>
      </c>
      <c r="D33" s="206" t="s">
        <v>699</v>
      </c>
      <c r="E33" s="200" t="s">
        <v>322</v>
      </c>
      <c r="F33" s="200" t="s">
        <v>387</v>
      </c>
      <c r="G33" s="200" t="s">
        <v>312</v>
      </c>
      <c r="H33" s="200" t="s">
        <v>388</v>
      </c>
      <c r="I33" s="232" t="s">
        <v>389</v>
      </c>
      <c r="J33" s="200" t="s">
        <v>327</v>
      </c>
      <c r="K33" s="200">
        <v>453</v>
      </c>
      <c r="L33" s="200" t="str">
        <f>VLOOKUP(M33,'PARÁMETROS RIESGOS GESTIÓN'!$D$12:$F$17,3,0)</f>
        <v>Media</v>
      </c>
      <c r="M33" s="200">
        <f t="shared" ref="M33" si="24">IF(K33&lt;=2,20,IF(K33&lt;=24,40,IF(K33&lt;=500,60,IF(K33&lt;="5000",80,100))))</f>
        <v>60</v>
      </c>
      <c r="N33" s="200" t="s">
        <v>13</v>
      </c>
      <c r="O33" s="200">
        <f t="shared" si="1"/>
        <v>60</v>
      </c>
      <c r="P33" s="200">
        <f>VALUE(_xlfn.CONCAT(M33,O33))</f>
        <v>6060</v>
      </c>
      <c r="Q33" s="235" t="str">
        <f>VLOOKUP(P33,'Zona de riesgo'!$B$12:$C$36,2,0)</f>
        <v>Moderado</v>
      </c>
      <c r="R33" s="19" t="s">
        <v>390</v>
      </c>
      <c r="S33" s="20" t="s">
        <v>20</v>
      </c>
      <c r="T33" s="15"/>
      <c r="U33" s="15" t="s">
        <v>109</v>
      </c>
      <c r="V33" s="22" t="str">
        <f t="shared" si="9"/>
        <v>0</v>
      </c>
      <c r="W33" s="15" t="s">
        <v>117</v>
      </c>
      <c r="X33" s="76">
        <f t="shared" si="5"/>
        <v>15</v>
      </c>
      <c r="Y33" s="72">
        <f t="shared" si="6"/>
        <v>15</v>
      </c>
      <c r="Z33" s="15" t="s">
        <v>120</v>
      </c>
      <c r="AA33" s="15" t="s">
        <v>125</v>
      </c>
      <c r="AB33" s="15" t="s">
        <v>129</v>
      </c>
      <c r="AC33" s="72">
        <f>IF(U33="Correctivo",M33,(M33-(M33*Y33)/100))</f>
        <v>51</v>
      </c>
      <c r="AD33" s="200" t="str">
        <f t="shared" ref="AD33" si="25">IF(AC35&gt;80,"Muy Alta",IF(AC35&gt;60,"Alta",IF(AC35&gt;40,"Media",IF(AC35&gt;20,"Baja","Muy Baja"))))</f>
        <v>Media</v>
      </c>
      <c r="AE33" s="15">
        <f>IF(U33="Correctivo",(O33-(O33*V33)/100),O33)</f>
        <v>60</v>
      </c>
      <c r="AF33" s="200" t="str">
        <f t="shared" ref="AF33" si="26">IF(AE35&gt;80,"Catastrófico",IF(AE35&gt;60,"Mayor",IF(AE35&gt;40,"Moderado",IF(AE35&gt;20,"Menor","Leve"))))</f>
        <v>Moderado</v>
      </c>
      <c r="AG33" s="200" t="str">
        <f>CONCATENATE(AD33,AF33)</f>
        <v>MediaModerado</v>
      </c>
      <c r="AH33" s="235" t="str">
        <f>VLOOKUP(AG33,'RIESGO RESIDUAL'!$A$1:$B$25,2,0)</f>
        <v>Moderado</v>
      </c>
      <c r="AI33" s="203" t="str">
        <f t="shared" ref="AI33" si="27">IF(AH33="Baja","Aceptar-Asumir","Reducir-Mitigar")</f>
        <v>Reducir-Mitigar</v>
      </c>
      <c r="AJ33" s="113" t="s">
        <v>391</v>
      </c>
      <c r="AK33" s="113" t="s">
        <v>392</v>
      </c>
      <c r="AL33" s="247">
        <v>44228</v>
      </c>
      <c r="AM33" s="229" t="s">
        <v>365</v>
      </c>
      <c r="AN33" s="229"/>
      <c r="AO33" s="229"/>
    </row>
    <row r="34" spans="2:41" ht="28.5">
      <c r="B34" s="396"/>
      <c r="C34" s="207"/>
      <c r="D34" s="209"/>
      <c r="E34" s="201"/>
      <c r="F34" s="201"/>
      <c r="G34" s="201"/>
      <c r="H34" s="201"/>
      <c r="I34" s="233"/>
      <c r="J34" s="201"/>
      <c r="K34" s="201" t="s">
        <v>76</v>
      </c>
      <c r="L34" s="201" t="e">
        <f>VLOOKUP(M34,'PARÁMETROS RIESGOS GESTIÓN'!D31:F36,3,TRUE)</f>
        <v>#N/A</v>
      </c>
      <c r="M34" s="201">
        <f t="shared" si="0"/>
        <v>40</v>
      </c>
      <c r="N34" s="201" t="s">
        <v>101</v>
      </c>
      <c r="O34" s="201">
        <f t="shared" si="1"/>
        <v>100</v>
      </c>
      <c r="P34" s="201">
        <f t="shared" ref="P34:P44" si="28">VALUE(_xlfn.CONCAT(M34,O34))</f>
        <v>40100</v>
      </c>
      <c r="Q34" s="236" t="str">
        <f>VLOOKUP(P34,'Zona de riesgo'!B31:C55,2)</f>
        <v>Extremo</v>
      </c>
      <c r="R34" s="19" t="s">
        <v>390</v>
      </c>
      <c r="S34" s="20"/>
      <c r="T34" s="15"/>
      <c r="U34" s="15" t="s">
        <v>113</v>
      </c>
      <c r="V34" s="22" t="str">
        <f t="shared" si="9"/>
        <v>0</v>
      </c>
      <c r="W34" s="15" t="s">
        <v>117</v>
      </c>
      <c r="X34" s="76">
        <f t="shared" si="5"/>
        <v>15</v>
      </c>
      <c r="Y34" s="72">
        <f t="shared" si="6"/>
        <v>15</v>
      </c>
      <c r="Z34" s="15" t="s">
        <v>120</v>
      </c>
      <c r="AA34" s="15" t="s">
        <v>125</v>
      </c>
      <c r="AB34" s="15" t="s">
        <v>129</v>
      </c>
      <c r="AC34" s="72">
        <f>IF(U34="preventivo",(AC33-(AC33*Y34/100)),IF(U34="detectivo",(AC33-(AC33*Y34/100)),IF(U34="Correctivo",AC33,AC33)))</f>
        <v>51</v>
      </c>
      <c r="AD34" s="201"/>
      <c r="AE34" s="15">
        <f>IF(U34="Correctivo",(AE33-(AE33*V33/100)),AE33)</f>
        <v>60</v>
      </c>
      <c r="AF34" s="201"/>
      <c r="AG34" s="201"/>
      <c r="AH34" s="236"/>
      <c r="AI34" s="204"/>
      <c r="AJ34" s="114"/>
      <c r="AK34" s="114"/>
      <c r="AL34" s="230"/>
      <c r="AM34" s="230"/>
      <c r="AN34" s="230"/>
      <c r="AO34" s="230"/>
    </row>
    <row r="35" spans="2:41" ht="21" thickBot="1">
      <c r="B35" s="397"/>
      <c r="C35" s="208"/>
      <c r="D35" s="210"/>
      <c r="E35" s="202"/>
      <c r="F35" s="202"/>
      <c r="G35" s="202"/>
      <c r="H35" s="202"/>
      <c r="I35" s="234"/>
      <c r="J35" s="202"/>
      <c r="K35" s="202" t="s">
        <v>77</v>
      </c>
      <c r="L35" s="202" t="e">
        <f>VLOOKUP(M35,'PARÁMETROS RIESGOS GESTIÓN'!D32:F37,3,TRUE)</f>
        <v>#N/A</v>
      </c>
      <c r="M35" s="202">
        <f t="shared" si="0"/>
        <v>60</v>
      </c>
      <c r="N35" s="202" t="s">
        <v>101</v>
      </c>
      <c r="O35" s="202">
        <f t="shared" si="1"/>
        <v>100</v>
      </c>
      <c r="P35" s="202">
        <f t="shared" si="28"/>
        <v>60100</v>
      </c>
      <c r="Q35" s="236" t="str">
        <f>VLOOKUP(P35,'Zona de riesgo'!B32:C56,2)</f>
        <v>Extremo</v>
      </c>
      <c r="R35" s="19"/>
      <c r="S35" s="20"/>
      <c r="T35" s="15"/>
      <c r="U35" s="15"/>
      <c r="V35" s="22" t="str">
        <f t="shared" si="9"/>
        <v>0</v>
      </c>
      <c r="W35" s="15"/>
      <c r="X35" s="76" t="b">
        <f t="shared" si="5"/>
        <v>0</v>
      </c>
      <c r="Y35" s="72">
        <f t="shared" si="6"/>
        <v>0</v>
      </c>
      <c r="Z35" s="15"/>
      <c r="AA35" s="15"/>
      <c r="AB35" s="15"/>
      <c r="AC35" s="72">
        <f>IF(U35="preventivo",(AC34-(AC34*Y35/100)),IF(U35="detectivo",(AC34-(AC34*Y35/100)),IF(U35="Correctivo",AC34,AC34)))</f>
        <v>51</v>
      </c>
      <c r="AD35" s="202"/>
      <c r="AE35" s="15">
        <f>IF(U35="Correctivo",(AE34-(AE34*V34/100)),AE34)</f>
        <v>60</v>
      </c>
      <c r="AF35" s="202"/>
      <c r="AG35" s="202"/>
      <c r="AH35" s="236"/>
      <c r="AI35" s="205"/>
      <c r="AJ35" s="115"/>
      <c r="AK35" s="115"/>
      <c r="AL35" s="231"/>
      <c r="AM35" s="231"/>
      <c r="AN35" s="231"/>
      <c r="AO35" s="231"/>
    </row>
    <row r="36" spans="2:41" ht="72" customHeight="1">
      <c r="B36" s="395">
        <v>8</v>
      </c>
      <c r="C36" s="206" t="s">
        <v>654</v>
      </c>
      <c r="D36" s="206" t="s">
        <v>700</v>
      </c>
      <c r="E36" s="200" t="s">
        <v>320</v>
      </c>
      <c r="F36" s="200" t="s">
        <v>393</v>
      </c>
      <c r="G36" s="200" t="s">
        <v>312</v>
      </c>
      <c r="H36" s="200" t="s">
        <v>394</v>
      </c>
      <c r="I36" s="232" t="s">
        <v>395</v>
      </c>
      <c r="J36" s="200" t="s">
        <v>327</v>
      </c>
      <c r="K36" s="200">
        <v>12</v>
      </c>
      <c r="L36" s="200" t="str">
        <f>VLOOKUP(M36,'PARÁMETROS RIESGOS GESTIÓN'!$D$12:$F$17,3,0)</f>
        <v>Baja</v>
      </c>
      <c r="M36" s="200">
        <f t="shared" ref="M36" si="29">IF(K36&lt;=2,20,IF(K36&lt;=24,40,IF(K36&lt;=500,60,IF(K36&lt;="5000",80,100))))</f>
        <v>40</v>
      </c>
      <c r="N36" s="253" t="s">
        <v>13</v>
      </c>
      <c r="O36" s="200">
        <f t="shared" si="1"/>
        <v>60</v>
      </c>
      <c r="P36" s="200">
        <f>VALUE(_xlfn.CONCAT(M36,O36))</f>
        <v>4060</v>
      </c>
      <c r="Q36" s="235" t="str">
        <f>VLOOKUP(P36,'Zona de riesgo'!$B$12:$C$36,2,0)</f>
        <v>Moderado</v>
      </c>
      <c r="R36" s="19" t="s">
        <v>396</v>
      </c>
      <c r="S36" s="20"/>
      <c r="T36" s="15"/>
      <c r="U36" s="15" t="s">
        <v>113</v>
      </c>
      <c r="V36" s="22">
        <v>5</v>
      </c>
      <c r="W36" s="15" t="s">
        <v>117</v>
      </c>
      <c r="X36" s="76">
        <f t="shared" si="5"/>
        <v>15</v>
      </c>
      <c r="Y36" s="72">
        <f t="shared" si="6"/>
        <v>20</v>
      </c>
      <c r="Z36" s="15" t="s">
        <v>120</v>
      </c>
      <c r="AA36" s="15" t="s">
        <v>125</v>
      </c>
      <c r="AB36" s="15" t="s">
        <v>129</v>
      </c>
      <c r="AC36" s="72">
        <f>IF(U36="Correctivo",M36,(M36-(M36*Y36)/100))</f>
        <v>40</v>
      </c>
      <c r="AD36" s="200" t="str">
        <f t="shared" ref="AD36" si="30">IF(AC38&gt;80,"Muy Alta",IF(AC38&gt;60,"Alta",IF(AC38&gt;40,"Media",IF(AC38&gt;20,"Baja","Muy Baja"))))</f>
        <v>Baja</v>
      </c>
      <c r="AE36" s="15">
        <f>IF(U36="Correctivo",(O36-(O36*V36)/100),O36)</f>
        <v>57</v>
      </c>
      <c r="AF36" s="200" t="str">
        <f t="shared" ref="AF36" si="31">IF(AE38&gt;80,"Catastrófico",IF(AE38&gt;60,"Mayor",IF(AE38&gt;40,"Moderado",IF(AE38&gt;20,"Menor","Leve"))))</f>
        <v>Moderado</v>
      </c>
      <c r="AG36" s="200" t="str">
        <f>CONCATENATE(AD36,AF36)</f>
        <v>BajaModerado</v>
      </c>
      <c r="AH36" s="235" t="str">
        <f>VLOOKUP(AG36,'RIESGO RESIDUAL'!$A$1:$B$25,2,0)</f>
        <v>Moderado</v>
      </c>
      <c r="AI36" s="203" t="str">
        <f t="shared" ref="AI36" si="32">IF(AH36="Baja","Aceptar-Asumir","Reducir-Mitigar")</f>
        <v>Reducir-Mitigar</v>
      </c>
      <c r="AJ36" s="256" t="s">
        <v>398</v>
      </c>
      <c r="AK36" s="256" t="s">
        <v>399</v>
      </c>
      <c r="AL36" s="259">
        <v>44713</v>
      </c>
      <c r="AM36" s="256"/>
      <c r="AN36" s="256" t="s">
        <v>365</v>
      </c>
      <c r="AO36" s="256"/>
    </row>
    <row r="37" spans="2:41" ht="20.25">
      <c r="B37" s="396"/>
      <c r="C37" s="207"/>
      <c r="D37" s="209"/>
      <c r="E37" s="201"/>
      <c r="F37" s="201"/>
      <c r="G37" s="201"/>
      <c r="H37" s="201"/>
      <c r="I37" s="233"/>
      <c r="J37" s="201"/>
      <c r="K37" s="201"/>
      <c r="L37" s="201" t="e">
        <f>VLOOKUP(M37,'PARÁMETROS RIESGOS GESTIÓN'!D34:F39,3,TRUE)</f>
        <v>#N/A</v>
      </c>
      <c r="M37" s="201">
        <f t="shared" si="0"/>
        <v>100</v>
      </c>
      <c r="N37" s="254"/>
      <c r="O37" s="201">
        <f t="shared" si="1"/>
        <v>0</v>
      </c>
      <c r="P37" s="201">
        <f t="shared" si="28"/>
        <v>1000</v>
      </c>
      <c r="Q37" s="236" t="e">
        <f>VLOOKUP(P37,'Zona de riesgo'!B34:C58,2)</f>
        <v>#N/A</v>
      </c>
      <c r="R37" s="19"/>
      <c r="S37" s="20"/>
      <c r="T37" s="15"/>
      <c r="U37" s="15"/>
      <c r="V37" s="22">
        <v>0</v>
      </c>
      <c r="W37" s="15"/>
      <c r="X37" s="76" t="b">
        <f t="shared" si="5"/>
        <v>0</v>
      </c>
      <c r="Y37" s="72">
        <f t="shared" si="6"/>
        <v>0</v>
      </c>
      <c r="Z37" s="15"/>
      <c r="AA37" s="15"/>
      <c r="AB37" s="15"/>
      <c r="AC37" s="72">
        <f>IF(U37="preventivo",(AC36-(AC36*Y37/100)),IF(U37="detectivo",(AC36-(AC36*Y37/100)),IF(U37="Correctivo",AC36,AC36)))</f>
        <v>40</v>
      </c>
      <c r="AD37" s="201"/>
      <c r="AE37" s="15">
        <f>IF(U37="Correctivo",(AE36-(AE36*V36/100)),AE36)</f>
        <v>57</v>
      </c>
      <c r="AF37" s="201"/>
      <c r="AG37" s="201"/>
      <c r="AH37" s="236"/>
      <c r="AI37" s="204"/>
      <c r="AJ37" s="257"/>
      <c r="AK37" s="257"/>
      <c r="AL37" s="260"/>
      <c r="AM37" s="257"/>
      <c r="AN37" s="257"/>
      <c r="AO37" s="257"/>
    </row>
    <row r="38" spans="2:41" ht="21" thickBot="1">
      <c r="B38" s="397"/>
      <c r="C38" s="208"/>
      <c r="D38" s="210"/>
      <c r="E38" s="202"/>
      <c r="F38" s="202"/>
      <c r="G38" s="202"/>
      <c r="H38" s="202"/>
      <c r="I38" s="234"/>
      <c r="J38" s="202"/>
      <c r="K38" s="202"/>
      <c r="L38" s="202" t="e">
        <f>VLOOKUP(M38,'PARÁMETROS RIESGOS GESTIÓN'!D35:F40,3,TRUE)</f>
        <v>#N/A</v>
      </c>
      <c r="M38" s="202">
        <f t="shared" si="0"/>
        <v>100</v>
      </c>
      <c r="N38" s="255"/>
      <c r="O38" s="202">
        <f t="shared" si="1"/>
        <v>0</v>
      </c>
      <c r="P38" s="202">
        <f t="shared" si="28"/>
        <v>1000</v>
      </c>
      <c r="Q38" s="236" t="e">
        <f>VLOOKUP(P38,'Zona de riesgo'!B35:C59,2)</f>
        <v>#N/A</v>
      </c>
      <c r="R38" s="19"/>
      <c r="S38" s="20"/>
      <c r="T38" s="15"/>
      <c r="U38" s="15"/>
      <c r="V38" s="22">
        <v>0</v>
      </c>
      <c r="W38" s="15"/>
      <c r="X38" s="76" t="b">
        <f t="shared" si="5"/>
        <v>0</v>
      </c>
      <c r="Y38" s="72">
        <f t="shared" si="6"/>
        <v>0</v>
      </c>
      <c r="Z38" s="15"/>
      <c r="AA38" s="15"/>
      <c r="AB38" s="15"/>
      <c r="AC38" s="72">
        <f>IF(U38="preventivo",(AC37-(AC37*Y38/100)),IF(U38="detectivo",(AC37-(AC37*Y38/100)),IF(U38="Correctivo",AC37,AC37)))</f>
        <v>40</v>
      </c>
      <c r="AD38" s="202"/>
      <c r="AE38" s="15">
        <f>IF(U38="Correctivo",(AE37-(AE37*V37/100)),AE37)</f>
        <v>57</v>
      </c>
      <c r="AF38" s="202"/>
      <c r="AG38" s="202"/>
      <c r="AH38" s="236"/>
      <c r="AI38" s="205"/>
      <c r="AJ38" s="258"/>
      <c r="AK38" s="258"/>
      <c r="AL38" s="261"/>
      <c r="AM38" s="258"/>
      <c r="AN38" s="258"/>
      <c r="AO38" s="258"/>
    </row>
    <row r="39" spans="2:41" ht="45.75" customHeight="1">
      <c r="B39" s="395">
        <v>9</v>
      </c>
      <c r="C39" s="206" t="s">
        <v>654</v>
      </c>
      <c r="D39" s="206" t="s">
        <v>700</v>
      </c>
      <c r="E39" s="200" t="s">
        <v>321</v>
      </c>
      <c r="F39" s="200" t="s">
        <v>393</v>
      </c>
      <c r="G39" s="200" t="s">
        <v>312</v>
      </c>
      <c r="H39" s="200" t="s">
        <v>400</v>
      </c>
      <c r="I39" s="232" t="s">
        <v>401</v>
      </c>
      <c r="J39" s="200" t="s">
        <v>327</v>
      </c>
      <c r="K39" s="200">
        <v>250</v>
      </c>
      <c r="L39" s="200" t="str">
        <f>VLOOKUP(M39,'PARÁMETROS RIESGOS GESTIÓN'!$D$12:$F$17,3,0)</f>
        <v>Media</v>
      </c>
      <c r="M39" s="200">
        <f t="shared" ref="M39" si="33">IF(K39&lt;=2,20,IF(K39&lt;=24,40,IF(K39&lt;=500,60,IF(K39&lt;="5000",80,100))))</f>
        <v>60</v>
      </c>
      <c r="N39" s="262" t="s">
        <v>98</v>
      </c>
      <c r="O39" s="200">
        <f t="shared" si="1"/>
        <v>20</v>
      </c>
      <c r="P39" s="200">
        <f>VALUE(_xlfn.CONCAT(M39,O39))</f>
        <v>6020</v>
      </c>
      <c r="Q39" s="235" t="str">
        <f>VLOOKUP(P39,'Zona de riesgo'!$B$12:$C$36,2,0)</f>
        <v>Moderado</v>
      </c>
      <c r="R39" s="19" t="s">
        <v>402</v>
      </c>
      <c r="S39" s="20" t="s">
        <v>20</v>
      </c>
      <c r="T39" s="15"/>
      <c r="U39" s="15" t="s">
        <v>109</v>
      </c>
      <c r="V39" s="22">
        <v>0</v>
      </c>
      <c r="W39" s="15" t="s">
        <v>117</v>
      </c>
      <c r="X39" s="76">
        <f t="shared" si="5"/>
        <v>15</v>
      </c>
      <c r="Y39" s="72">
        <f t="shared" si="6"/>
        <v>15</v>
      </c>
      <c r="Z39" s="15" t="s">
        <v>120</v>
      </c>
      <c r="AA39" s="15" t="s">
        <v>125</v>
      </c>
      <c r="AB39" s="15" t="s">
        <v>129</v>
      </c>
      <c r="AC39" s="72">
        <f>IF(U39="Correctivo",M39,(M39-(M39*Y39)/100))</f>
        <v>51</v>
      </c>
      <c r="AD39" s="200" t="str">
        <f t="shared" ref="AD39" si="34">IF(AC41&gt;80,"Muy Alta",IF(AC41&gt;60,"Alta",IF(AC41&gt;40,"Media",IF(AC41&gt;20,"Baja","Muy Baja"))))</f>
        <v>Media</v>
      </c>
      <c r="AE39" s="15">
        <f>IF(U39="Correctivo",(O39-(O39*V39)/100),O39)</f>
        <v>20</v>
      </c>
      <c r="AF39" s="200" t="str">
        <f t="shared" ref="AF39" si="35">IF(AE41&gt;80,"Catastrófico",IF(AE41&gt;60,"Mayor",IF(AE41&gt;40,"Moderado",IF(AE41&gt;20,"Menor","Leve"))))</f>
        <v>Leve</v>
      </c>
      <c r="AG39" s="200" t="str">
        <f>CONCATENATE(AD39,AF39)</f>
        <v>MediaLeve</v>
      </c>
      <c r="AH39" s="235" t="str">
        <f>VLOOKUP(AG39,'RIESGO RESIDUAL'!$A$1:$B$25,2,0)</f>
        <v>Moderado</v>
      </c>
      <c r="AI39" s="203" t="str">
        <f t="shared" ref="AI39" si="36">IF(AH39="Baja","Aceptar-Asumir","Reducir-Mitigar")</f>
        <v>Reducir-Mitigar</v>
      </c>
      <c r="AJ39" s="256" t="s">
        <v>403</v>
      </c>
      <c r="AK39" s="256" t="s">
        <v>399</v>
      </c>
      <c r="AL39" s="259">
        <v>44713</v>
      </c>
      <c r="AM39" s="256"/>
      <c r="AN39" s="256" t="s">
        <v>365</v>
      </c>
      <c r="AO39" s="256"/>
    </row>
    <row r="40" spans="2:41" ht="20.25">
      <c r="B40" s="396"/>
      <c r="C40" s="207"/>
      <c r="D40" s="209"/>
      <c r="E40" s="201"/>
      <c r="F40" s="201"/>
      <c r="G40" s="201"/>
      <c r="H40" s="201"/>
      <c r="I40" s="233"/>
      <c r="J40" s="201"/>
      <c r="K40" s="201"/>
      <c r="L40" s="201" t="e">
        <f>VLOOKUP(M40,'PARÁMETROS RIESGOS GESTIÓN'!D37:F42,3,TRUE)</f>
        <v>#N/A</v>
      </c>
      <c r="M40" s="201">
        <f t="shared" si="0"/>
        <v>100</v>
      </c>
      <c r="N40" s="263"/>
      <c r="O40" s="201">
        <f t="shared" si="1"/>
        <v>0</v>
      </c>
      <c r="P40" s="201">
        <f t="shared" si="28"/>
        <v>1000</v>
      </c>
      <c r="Q40" s="236" t="e">
        <f>VLOOKUP(P40,'Zona de riesgo'!B37:C61,2)</f>
        <v>#N/A</v>
      </c>
      <c r="R40" s="19"/>
      <c r="S40" s="20"/>
      <c r="T40" s="15"/>
      <c r="U40" s="15"/>
      <c r="V40" s="22">
        <v>0</v>
      </c>
      <c r="W40" s="15"/>
      <c r="X40" s="76" t="b">
        <f t="shared" si="5"/>
        <v>0</v>
      </c>
      <c r="Y40" s="72">
        <f t="shared" si="6"/>
        <v>0</v>
      </c>
      <c r="Z40" s="15"/>
      <c r="AA40" s="15"/>
      <c r="AB40" s="15"/>
      <c r="AC40" s="72">
        <f>IF(U40="preventivo",(AC39-(AC39*Y40/100)),IF(U40="detectivo",(AC39-(AC39*Y40/100)),IF(U40="Correctivo",AC39,AC39)))</f>
        <v>51</v>
      </c>
      <c r="AD40" s="201"/>
      <c r="AE40" s="15">
        <f>IF(U40="Correctivo",(AE39-(AE39*V39/100)),AE39)</f>
        <v>20</v>
      </c>
      <c r="AF40" s="201"/>
      <c r="AG40" s="201"/>
      <c r="AH40" s="236"/>
      <c r="AI40" s="204"/>
      <c r="AJ40" s="257"/>
      <c r="AK40" s="257"/>
      <c r="AL40" s="260"/>
      <c r="AM40" s="257"/>
      <c r="AN40" s="257"/>
      <c r="AO40" s="257"/>
    </row>
    <row r="41" spans="2:41" ht="21" thickBot="1">
      <c r="B41" s="397"/>
      <c r="C41" s="208"/>
      <c r="D41" s="210"/>
      <c r="E41" s="202"/>
      <c r="F41" s="202"/>
      <c r="G41" s="202"/>
      <c r="H41" s="202"/>
      <c r="I41" s="234"/>
      <c r="J41" s="202"/>
      <c r="K41" s="202"/>
      <c r="L41" s="202" t="e">
        <f>VLOOKUP(M41,'PARÁMETROS RIESGOS GESTIÓN'!D38:F43,3,TRUE)</f>
        <v>#N/A</v>
      </c>
      <c r="M41" s="202">
        <f t="shared" si="0"/>
        <v>100</v>
      </c>
      <c r="N41" s="264"/>
      <c r="O41" s="202">
        <f t="shared" si="1"/>
        <v>0</v>
      </c>
      <c r="P41" s="202">
        <f t="shared" si="28"/>
        <v>1000</v>
      </c>
      <c r="Q41" s="236" t="e">
        <f>VLOOKUP(P41,'Zona de riesgo'!B38:C62,2)</f>
        <v>#N/A</v>
      </c>
      <c r="R41" s="19"/>
      <c r="S41" s="20"/>
      <c r="T41" s="15"/>
      <c r="U41" s="15"/>
      <c r="V41" s="22">
        <v>0</v>
      </c>
      <c r="W41" s="15"/>
      <c r="X41" s="76" t="b">
        <f t="shared" si="5"/>
        <v>0</v>
      </c>
      <c r="Y41" s="72">
        <f t="shared" si="6"/>
        <v>0</v>
      </c>
      <c r="Z41" s="15"/>
      <c r="AA41" s="15"/>
      <c r="AB41" s="15"/>
      <c r="AC41" s="72">
        <f>IF(U41="preventivo",(AC40-(AC40*Y41/100)),IF(U41="detectivo",(AC40-(AC40*Y41/100)),IF(U41="Correctivo",AC40,AC40)))</f>
        <v>51</v>
      </c>
      <c r="AD41" s="202"/>
      <c r="AE41" s="15">
        <f>IF(U41="Correctivo",(AE40-(AE40*V40/100)),AE40)</f>
        <v>20</v>
      </c>
      <c r="AF41" s="202"/>
      <c r="AG41" s="202"/>
      <c r="AH41" s="236"/>
      <c r="AI41" s="205"/>
      <c r="AJ41" s="258"/>
      <c r="AK41" s="258"/>
      <c r="AL41" s="261"/>
      <c r="AM41" s="258"/>
      <c r="AN41" s="258"/>
      <c r="AO41" s="258"/>
    </row>
    <row r="42" spans="2:41" ht="29.25" customHeight="1">
      <c r="B42" s="395">
        <v>10</v>
      </c>
      <c r="C42" s="206" t="s">
        <v>660</v>
      </c>
      <c r="D42" s="206" t="s">
        <v>695</v>
      </c>
      <c r="E42" s="200" t="s">
        <v>322</v>
      </c>
      <c r="F42" s="200" t="s">
        <v>404</v>
      </c>
      <c r="G42" s="200" t="s">
        <v>312</v>
      </c>
      <c r="H42" s="200" t="s">
        <v>313</v>
      </c>
      <c r="I42" s="232" t="s">
        <v>314</v>
      </c>
      <c r="J42" s="200" t="s">
        <v>405</v>
      </c>
      <c r="K42" s="200">
        <v>400</v>
      </c>
      <c r="L42" s="200" t="str">
        <f>VLOOKUP(M42,'PARÁMETROS RIESGOS GESTIÓN'!$D$12:$F$17,3,0)</f>
        <v>Media</v>
      </c>
      <c r="M42" s="200">
        <f t="shared" ref="M42" si="37">IF(K42&lt;=2,20,IF(K42&lt;=24,40,IF(K42&lt;=500,60,IF(K42&lt;="5000",80,100))))</f>
        <v>60</v>
      </c>
      <c r="N42" s="262" t="s">
        <v>98</v>
      </c>
      <c r="O42" s="200">
        <f t="shared" si="1"/>
        <v>20</v>
      </c>
      <c r="P42" s="200">
        <f>VALUE(_xlfn.CONCAT(M42,O42))</f>
        <v>6020</v>
      </c>
      <c r="Q42" s="235" t="str">
        <f>VLOOKUP(P42,'Zona de riesgo'!$B$12:$C$36,2,0)</f>
        <v>Moderado</v>
      </c>
      <c r="R42" s="19" t="s">
        <v>406</v>
      </c>
      <c r="S42" s="20" t="s">
        <v>20</v>
      </c>
      <c r="T42" s="15"/>
      <c r="U42" s="15" t="s">
        <v>109</v>
      </c>
      <c r="V42" s="22">
        <v>0</v>
      </c>
      <c r="W42" s="15" t="s">
        <v>117</v>
      </c>
      <c r="X42" s="76">
        <f t="shared" si="5"/>
        <v>15</v>
      </c>
      <c r="Y42" s="72">
        <f t="shared" si="6"/>
        <v>15</v>
      </c>
      <c r="Z42" s="15" t="s">
        <v>120</v>
      </c>
      <c r="AA42" s="15" t="s">
        <v>125</v>
      </c>
      <c r="AB42" s="15" t="s">
        <v>129</v>
      </c>
      <c r="AC42" s="72">
        <f>IF(U42="Correctivo",M42,(M42-(M42*Y42)/100))</f>
        <v>51</v>
      </c>
      <c r="AD42" s="200" t="str">
        <f t="shared" ref="AD42" si="38">IF(AC44&gt;80,"Muy Alta",IF(AC44&gt;60,"Alta",IF(AC44&gt;40,"Media",IF(AC44&gt;20,"Baja","Muy Baja"))))</f>
        <v>Media</v>
      </c>
      <c r="AE42" s="15">
        <f>IF(U42="Correctivo",(O42-(O42*V42)/100),O42)</f>
        <v>20</v>
      </c>
      <c r="AF42" s="200" t="str">
        <f t="shared" ref="AF42" si="39">IF(AE44&gt;80,"Catastrófico",IF(AE44&gt;60,"Mayor",IF(AE44&gt;40,"Moderado",IF(AE44&gt;20,"Menor","Leve"))))</f>
        <v>Leve</v>
      </c>
      <c r="AG42" s="200" t="str">
        <f>CONCATENATE(AD42,AF42)</f>
        <v>MediaLeve</v>
      </c>
      <c r="AH42" s="235" t="str">
        <f>VLOOKUP(AG42,'RIESGO RESIDUAL'!$A$1:$B$25,2,0)</f>
        <v>Moderado</v>
      </c>
      <c r="AI42" s="203" t="str">
        <f t="shared" ref="AI42" si="40">IF(AH42="Baja","Aceptar-Asumir","Reducir-Mitigar")</f>
        <v>Reducir-Mitigar</v>
      </c>
      <c r="AJ42" s="256" t="s">
        <v>407</v>
      </c>
      <c r="AK42" s="256" t="s">
        <v>408</v>
      </c>
      <c r="AL42" s="256" t="s">
        <v>409</v>
      </c>
      <c r="AM42" s="265">
        <v>44805</v>
      </c>
      <c r="AN42" s="256"/>
      <c r="AO42" s="139"/>
    </row>
    <row r="43" spans="2:41" ht="28.5">
      <c r="B43" s="396"/>
      <c r="C43" s="207"/>
      <c r="D43" s="209"/>
      <c r="E43" s="201"/>
      <c r="F43" s="201"/>
      <c r="G43" s="201"/>
      <c r="H43" s="201"/>
      <c r="I43" s="233"/>
      <c r="J43" s="201"/>
      <c r="K43" s="201"/>
      <c r="L43" s="201" t="e">
        <f>VLOOKUP(M43,'PARÁMETROS RIESGOS GESTIÓN'!D40:F45,3,TRUE)</f>
        <v>#N/A</v>
      </c>
      <c r="M43" s="201">
        <f t="shared" si="0"/>
        <v>100</v>
      </c>
      <c r="N43" s="263"/>
      <c r="O43" s="201">
        <f t="shared" si="1"/>
        <v>0</v>
      </c>
      <c r="P43" s="201">
        <f t="shared" si="28"/>
        <v>1000</v>
      </c>
      <c r="Q43" s="236" t="e">
        <f>VLOOKUP(P43,'Zona de riesgo'!B40:C64,2)</f>
        <v>#N/A</v>
      </c>
      <c r="R43" s="19" t="s">
        <v>410</v>
      </c>
      <c r="S43" s="20" t="s">
        <v>20</v>
      </c>
      <c r="T43" s="15"/>
      <c r="U43" s="15" t="s">
        <v>109</v>
      </c>
      <c r="V43" s="22">
        <v>0</v>
      </c>
      <c r="W43" s="15" t="s">
        <v>117</v>
      </c>
      <c r="X43" s="76">
        <f t="shared" si="5"/>
        <v>15</v>
      </c>
      <c r="Y43" s="72">
        <f t="shared" si="6"/>
        <v>15</v>
      </c>
      <c r="Z43" s="15" t="s">
        <v>123</v>
      </c>
      <c r="AA43" s="15" t="s">
        <v>127</v>
      </c>
      <c r="AB43" s="15" t="s">
        <v>129</v>
      </c>
      <c r="AC43" s="72">
        <f>IF(U43="preventivo",(AC42-(AC42*Y43/100)),IF(U43="detectivo",(AC42-(AC42*Y43/100)),IF(U43="Correctivo",AC42,AC42)))</f>
        <v>43.35</v>
      </c>
      <c r="AD43" s="201"/>
      <c r="AE43" s="15">
        <f>IF(U43="Correctivo",(AE42-(AE42*V42/100)),AE42)</f>
        <v>20</v>
      </c>
      <c r="AF43" s="201"/>
      <c r="AG43" s="201"/>
      <c r="AH43" s="236"/>
      <c r="AI43" s="204"/>
      <c r="AJ43" s="257"/>
      <c r="AK43" s="257"/>
      <c r="AL43" s="257"/>
      <c r="AM43" s="266"/>
      <c r="AN43" s="257"/>
      <c r="AO43" s="139"/>
    </row>
    <row r="44" spans="2:41" ht="29.25" thickBot="1">
      <c r="B44" s="397"/>
      <c r="C44" s="208"/>
      <c r="D44" s="210"/>
      <c r="E44" s="202"/>
      <c r="F44" s="202"/>
      <c r="G44" s="202"/>
      <c r="H44" s="202"/>
      <c r="I44" s="234"/>
      <c r="J44" s="202"/>
      <c r="K44" s="202"/>
      <c r="L44" s="202" t="e">
        <f>VLOOKUP(M44,'PARÁMETROS RIESGOS GESTIÓN'!D41:F46,3,TRUE)</f>
        <v>#N/A</v>
      </c>
      <c r="M44" s="202">
        <f t="shared" si="0"/>
        <v>100</v>
      </c>
      <c r="N44" s="264"/>
      <c r="O44" s="202">
        <f t="shared" si="1"/>
        <v>0</v>
      </c>
      <c r="P44" s="202">
        <f t="shared" si="28"/>
        <v>1000</v>
      </c>
      <c r="Q44" s="236" t="e">
        <f>VLOOKUP(P44,'Zona de riesgo'!B41:C65,2)</f>
        <v>#N/A</v>
      </c>
      <c r="R44" s="19" t="s">
        <v>411</v>
      </c>
      <c r="S44" s="20"/>
      <c r="T44" s="15"/>
      <c r="U44" s="15" t="s">
        <v>113</v>
      </c>
      <c r="V44" s="22">
        <v>5</v>
      </c>
      <c r="W44" s="15" t="s">
        <v>117</v>
      </c>
      <c r="X44" s="76">
        <f t="shared" si="5"/>
        <v>15</v>
      </c>
      <c r="Y44" s="72">
        <f t="shared" si="6"/>
        <v>20</v>
      </c>
      <c r="Z44" s="15" t="s">
        <v>123</v>
      </c>
      <c r="AA44" s="15" t="s">
        <v>127</v>
      </c>
      <c r="AB44" s="15" t="s">
        <v>129</v>
      </c>
      <c r="AC44" s="72">
        <f>IF(U44="preventivo",(AC43-(AC43*Y44/100)),IF(U44="detectivo",(AC43-(AC43*Y44/100)),IF(U44="Correctivo",AC43,AC43)))</f>
        <v>43.35</v>
      </c>
      <c r="AD44" s="202"/>
      <c r="AE44" s="15">
        <f>IF(U44="Correctivo",(AE43-(AE43*V43/100)),AE43)</f>
        <v>20</v>
      </c>
      <c r="AF44" s="202"/>
      <c r="AG44" s="202"/>
      <c r="AH44" s="236"/>
      <c r="AI44" s="205"/>
      <c r="AJ44" s="258"/>
      <c r="AK44" s="258"/>
      <c r="AL44" s="258"/>
      <c r="AM44" s="267"/>
      <c r="AN44" s="258"/>
      <c r="AO44" s="139"/>
    </row>
    <row r="45" spans="2:41" ht="39" customHeight="1">
      <c r="B45" s="395">
        <v>11</v>
      </c>
      <c r="C45" s="206" t="s">
        <v>701</v>
      </c>
      <c r="D45" s="206" t="s">
        <v>435</v>
      </c>
      <c r="E45" s="200" t="s">
        <v>322</v>
      </c>
      <c r="F45" s="200" t="s">
        <v>412</v>
      </c>
      <c r="G45" s="200" t="s">
        <v>303</v>
      </c>
      <c r="H45" s="200" t="s">
        <v>413</v>
      </c>
      <c r="I45" s="232" t="s">
        <v>414</v>
      </c>
      <c r="J45" s="200" t="s">
        <v>415</v>
      </c>
      <c r="K45" s="200">
        <v>250</v>
      </c>
      <c r="L45" s="200" t="str">
        <f>VLOOKUP(M45,'PARÁMETROS RIESGOS GESTIÓN'!$D$12:$F$17,3,0)</f>
        <v>Media</v>
      </c>
      <c r="M45" s="200">
        <f t="shared" ref="M45" si="41">IF(K45&lt;=2,20,IF(K45&lt;=24,40,IF(K45&lt;=500,60,IF(K45&lt;="5000",80,100))))</f>
        <v>60</v>
      </c>
      <c r="N45" s="268" t="s">
        <v>99</v>
      </c>
      <c r="O45" s="274">
        <v>40</v>
      </c>
      <c r="P45" s="274">
        <v>6040</v>
      </c>
      <c r="Q45" s="235" t="str">
        <f>VLOOKUP(P45,'Zona de riesgo'!$B$12:$C$36,2,0)</f>
        <v>Moderado</v>
      </c>
      <c r="R45" s="19" t="s">
        <v>416</v>
      </c>
      <c r="S45" s="20" t="s">
        <v>20</v>
      </c>
      <c r="T45" s="15"/>
      <c r="U45" s="15" t="s">
        <v>109</v>
      </c>
      <c r="V45" s="22">
        <v>0</v>
      </c>
      <c r="W45" s="15" t="s">
        <v>117</v>
      </c>
      <c r="X45" s="76">
        <f t="shared" si="5"/>
        <v>15</v>
      </c>
      <c r="Y45" s="72">
        <f t="shared" si="6"/>
        <v>15</v>
      </c>
      <c r="Z45" s="15" t="s">
        <v>123</v>
      </c>
      <c r="AA45" s="15" t="s">
        <v>127</v>
      </c>
      <c r="AB45" s="15" t="s">
        <v>129</v>
      </c>
      <c r="AC45" s="72">
        <f>IF(U45="Correctivo",M45,(M45-(M45*Y45)/100))</f>
        <v>51</v>
      </c>
      <c r="AD45" s="200" t="str">
        <f t="shared" ref="AD45" si="42">IF(AC47&gt;80,"Muy Alta",IF(AC47&gt;60,"Alta",IF(AC47&gt;40,"Media",IF(AC47&gt;20,"Baja","Muy Baja"))))</f>
        <v>Baja</v>
      </c>
      <c r="AE45" s="15">
        <f>IF(U45="Correctivo",(O45-(O45*V45)/100),O45)</f>
        <v>40</v>
      </c>
      <c r="AF45" s="200" t="str">
        <f t="shared" ref="AF45" si="43">IF(AE47&gt;80,"Catastrófico",IF(AE47&gt;60,"Mayor",IF(AE47&gt;40,"Moderado",IF(AE47&gt;20,"Menor","Leve"))))</f>
        <v>Menor</v>
      </c>
      <c r="AG45" s="200" t="str">
        <f>CONCATENATE(AD45,AF45)</f>
        <v>BajaMenor</v>
      </c>
      <c r="AH45" s="235" t="str">
        <f>VLOOKUP(AG45,'RIESGO RESIDUAL'!$A$1:$B$25,2,0)</f>
        <v>Moderado</v>
      </c>
      <c r="AI45" s="203" t="str">
        <f t="shared" ref="AI45" si="44">IF(AH45="Baja","Aceptar-Asumir","Reducir-Mitigar")</f>
        <v>Reducir-Mitigar</v>
      </c>
      <c r="AJ45" s="256"/>
      <c r="AK45" s="256"/>
      <c r="AL45" s="271"/>
      <c r="AM45" s="284"/>
      <c r="AN45" s="280"/>
      <c r="AO45" s="280"/>
    </row>
    <row r="46" spans="2:41" ht="28.5">
      <c r="B46" s="396"/>
      <c r="C46" s="207"/>
      <c r="D46" s="209"/>
      <c r="E46" s="201"/>
      <c r="F46" s="201"/>
      <c r="G46" s="201"/>
      <c r="H46" s="201"/>
      <c r="I46" s="233"/>
      <c r="J46" s="201"/>
      <c r="K46" s="201"/>
      <c r="L46" s="201" t="e">
        <f>VLOOKUP(M46,'PARÁMETROS RIESGOS GESTIÓN'!D43:F48,3,TRUE)</f>
        <v>#N/A</v>
      </c>
      <c r="M46" s="201">
        <f t="shared" si="0"/>
        <v>100</v>
      </c>
      <c r="N46" s="269"/>
      <c r="O46" s="275"/>
      <c r="P46" s="275"/>
      <c r="Q46" s="236" t="e">
        <f>VLOOKUP(P46,'Zona de riesgo'!B43:C67,2)</f>
        <v>#N/A</v>
      </c>
      <c r="R46" s="19" t="s">
        <v>417</v>
      </c>
      <c r="S46" s="20" t="s">
        <v>20</v>
      </c>
      <c r="T46" s="15"/>
      <c r="U46" s="15" t="s">
        <v>109</v>
      </c>
      <c r="V46" s="22">
        <v>0</v>
      </c>
      <c r="W46" s="15" t="s">
        <v>117</v>
      </c>
      <c r="X46" s="76">
        <f t="shared" si="5"/>
        <v>15</v>
      </c>
      <c r="Y46" s="72">
        <f t="shared" si="6"/>
        <v>15</v>
      </c>
      <c r="Z46" s="15" t="s">
        <v>123</v>
      </c>
      <c r="AA46" s="15" t="s">
        <v>127</v>
      </c>
      <c r="AB46" s="15" t="s">
        <v>129</v>
      </c>
      <c r="AC46" s="72">
        <f>IF(U46="preventivo",(AC45-(AC45*Y46/100)),IF(U46="detectivo",(AC45-(AC45*Y46/100)),IF(U46="Correctivo",AC45,AC45)))</f>
        <v>43.35</v>
      </c>
      <c r="AD46" s="201"/>
      <c r="AE46" s="15">
        <f>IF(U46="Correctivo",(AE45-(AE45*V45/100)),AE45)</f>
        <v>40</v>
      </c>
      <c r="AF46" s="201"/>
      <c r="AG46" s="201"/>
      <c r="AH46" s="236"/>
      <c r="AI46" s="204"/>
      <c r="AJ46" s="257"/>
      <c r="AK46" s="257"/>
      <c r="AL46" s="272"/>
      <c r="AM46" s="285"/>
      <c r="AN46" s="281"/>
      <c r="AO46" s="281"/>
    </row>
    <row r="47" spans="2:41" ht="43.5" thickBot="1">
      <c r="B47" s="397"/>
      <c r="C47" s="208"/>
      <c r="D47" s="210"/>
      <c r="E47" s="202"/>
      <c r="F47" s="202"/>
      <c r="G47" s="202"/>
      <c r="H47" s="202"/>
      <c r="I47" s="234"/>
      <c r="J47" s="202"/>
      <c r="K47" s="202"/>
      <c r="L47" s="202" t="e">
        <f>VLOOKUP(M47,'PARÁMETROS RIESGOS GESTIÓN'!D44:F49,3,TRUE)</f>
        <v>#N/A</v>
      </c>
      <c r="M47" s="202">
        <f t="shared" si="0"/>
        <v>100</v>
      </c>
      <c r="N47" s="270"/>
      <c r="O47" s="276"/>
      <c r="P47" s="276"/>
      <c r="Q47" s="236" t="e">
        <f>VLOOKUP(P47,'Zona de riesgo'!B44:C68,2)</f>
        <v>#N/A</v>
      </c>
      <c r="R47" s="19" t="s">
        <v>418</v>
      </c>
      <c r="S47" s="20" t="s">
        <v>20</v>
      </c>
      <c r="T47" s="15"/>
      <c r="U47" s="15" t="s">
        <v>109</v>
      </c>
      <c r="V47" s="22">
        <v>0</v>
      </c>
      <c r="W47" s="15" t="s">
        <v>117</v>
      </c>
      <c r="X47" s="76">
        <f t="shared" si="5"/>
        <v>15</v>
      </c>
      <c r="Y47" s="72">
        <f t="shared" si="6"/>
        <v>15</v>
      </c>
      <c r="Z47" s="15" t="s">
        <v>123</v>
      </c>
      <c r="AA47" s="15" t="s">
        <v>127</v>
      </c>
      <c r="AB47" s="15" t="s">
        <v>129</v>
      </c>
      <c r="AC47" s="72">
        <f>IF(U47="preventivo",(AC46-(AC46*Y47/100)),IF(U47="detectivo",(AC46-(AC46*Y47/100)),IF(U47="Correctivo",AC46,AC46)))</f>
        <v>36.847500000000004</v>
      </c>
      <c r="AD47" s="202"/>
      <c r="AE47" s="15">
        <f>IF(U47="Correctivo",(AE46-(AE46*V46/100)),AE46)</f>
        <v>40</v>
      </c>
      <c r="AF47" s="202"/>
      <c r="AG47" s="202"/>
      <c r="AH47" s="236"/>
      <c r="AI47" s="205"/>
      <c r="AJ47" s="258"/>
      <c r="AK47" s="258"/>
      <c r="AL47" s="273"/>
      <c r="AM47" s="286"/>
      <c r="AN47" s="282"/>
      <c r="AO47" s="282"/>
    </row>
    <row r="48" spans="2:41" ht="43.5" customHeight="1" thickBot="1">
      <c r="B48" s="395">
        <v>12</v>
      </c>
      <c r="C48" s="206" t="s">
        <v>701</v>
      </c>
      <c r="D48" s="206" t="s">
        <v>435</v>
      </c>
      <c r="E48" s="200" t="s">
        <v>320</v>
      </c>
      <c r="F48" s="200" t="s">
        <v>419</v>
      </c>
      <c r="G48" s="200" t="s">
        <v>312</v>
      </c>
      <c r="H48" s="200" t="s">
        <v>420</v>
      </c>
      <c r="I48" s="232" t="s">
        <v>421</v>
      </c>
      <c r="J48" s="200" t="s">
        <v>422</v>
      </c>
      <c r="K48" s="200">
        <v>250</v>
      </c>
      <c r="L48" s="200" t="str">
        <f>VLOOKUP(M48,'PARÁMETROS RIESGOS GESTIÓN'!$D$12:$F$17,3,0)</f>
        <v>Media</v>
      </c>
      <c r="M48" s="200">
        <f t="shared" ref="M48" si="45">IF(K48&lt;=2,20,IF(K48&lt;=24,40,IF(K48&lt;=500,60,IF(K48&lt;="5000",80,100))))</f>
        <v>60</v>
      </c>
      <c r="N48" s="253" t="s">
        <v>13</v>
      </c>
      <c r="O48" s="274">
        <v>60</v>
      </c>
      <c r="P48" s="274">
        <v>6060</v>
      </c>
      <c r="Q48" s="235" t="str">
        <f>VLOOKUP(P48,'Zona de riesgo'!$B$12:$C$36,2,0)</f>
        <v>Moderado</v>
      </c>
      <c r="R48" s="19" t="s">
        <v>423</v>
      </c>
      <c r="S48" s="20" t="s">
        <v>20</v>
      </c>
      <c r="T48" s="15"/>
      <c r="U48" s="15" t="s">
        <v>113</v>
      </c>
      <c r="V48" s="22">
        <v>0</v>
      </c>
      <c r="W48" s="15" t="s">
        <v>115</v>
      </c>
      <c r="X48" s="76">
        <f t="shared" si="5"/>
        <v>25</v>
      </c>
      <c r="Y48" s="72">
        <f t="shared" si="6"/>
        <v>25</v>
      </c>
      <c r="Z48" s="15" t="s">
        <v>120</v>
      </c>
      <c r="AA48" s="15" t="s">
        <v>127</v>
      </c>
      <c r="AB48" s="15" t="s">
        <v>129</v>
      </c>
      <c r="AC48" s="72">
        <f>IF(U48="Correctivo",M48,(M48-(M48*Y48)/100))</f>
        <v>60</v>
      </c>
      <c r="AD48" s="200" t="str">
        <f t="shared" ref="AD48" si="46">IF(AC50&gt;80,"Muy Alta",IF(AC50&gt;60,"Alta",IF(AC50&gt;40,"Media",IF(AC50&gt;20,"Baja","Muy Baja"))))</f>
        <v>Media</v>
      </c>
      <c r="AE48" s="15">
        <f>IF(U48="Correctivo",(O48-(O48*V48)/100),O48)</f>
        <v>60</v>
      </c>
      <c r="AF48" s="200" t="str">
        <f t="shared" ref="AF48" si="47">IF(AE50&gt;80,"Catastrófico",IF(AE50&gt;60,"Mayor",IF(AE50&gt;40,"Moderado",IF(AE50&gt;20,"Menor","Leve"))))</f>
        <v>Moderado</v>
      </c>
      <c r="AG48" s="200" t="str">
        <f>CONCATENATE(AD48,AF48)</f>
        <v>MediaModerado</v>
      </c>
      <c r="AH48" s="235" t="str">
        <f>VLOOKUP(AG48,'RIESGO RESIDUAL'!$A$1:$B$25,2,0)</f>
        <v>Moderado</v>
      </c>
      <c r="AI48" s="203" t="str">
        <f t="shared" ref="AI48" si="48">IF(AH48="Baja","Aceptar-Asumir","Reducir-Mitigar")</f>
        <v>Reducir-Mitigar</v>
      </c>
      <c r="AJ48" s="140" t="s">
        <v>424</v>
      </c>
      <c r="AK48" s="271" t="s">
        <v>425</v>
      </c>
      <c r="AL48" s="277">
        <v>44593</v>
      </c>
      <c r="AM48" s="280" t="s">
        <v>365</v>
      </c>
      <c r="AN48" s="280"/>
      <c r="AO48" s="280"/>
    </row>
    <row r="49" spans="2:41" ht="57">
      <c r="B49" s="396"/>
      <c r="C49" s="207"/>
      <c r="D49" s="209"/>
      <c r="E49" s="201"/>
      <c r="F49" s="201"/>
      <c r="G49" s="201"/>
      <c r="H49" s="201"/>
      <c r="I49" s="233"/>
      <c r="J49" s="201"/>
      <c r="K49" s="201"/>
      <c r="L49" s="201" t="e">
        <f>VLOOKUP(M49,'PARÁMETROS RIESGOS GESTIÓN'!D46:F51,3,TRUE)</f>
        <v>#N/A</v>
      </c>
      <c r="M49" s="201">
        <f t="shared" si="0"/>
        <v>100</v>
      </c>
      <c r="N49" s="254"/>
      <c r="O49" s="275"/>
      <c r="P49" s="275"/>
      <c r="Q49" s="236" t="e">
        <f>VLOOKUP(P49,'Zona de riesgo'!B46:C70,2)</f>
        <v>#N/A</v>
      </c>
      <c r="R49" s="19" t="s">
        <v>426</v>
      </c>
      <c r="S49" s="20" t="s">
        <v>20</v>
      </c>
      <c r="T49" s="15"/>
      <c r="U49" s="15" t="s">
        <v>109</v>
      </c>
      <c r="V49" s="22">
        <v>0</v>
      </c>
      <c r="W49" s="15" t="s">
        <v>117</v>
      </c>
      <c r="X49" s="76">
        <f t="shared" si="5"/>
        <v>15</v>
      </c>
      <c r="Y49" s="72">
        <f t="shared" si="6"/>
        <v>15</v>
      </c>
      <c r="Z49" s="15" t="s">
        <v>120</v>
      </c>
      <c r="AA49" s="15" t="s">
        <v>127</v>
      </c>
      <c r="AB49" s="15" t="s">
        <v>129</v>
      </c>
      <c r="AC49" s="72">
        <f>IF(U49="preventivo",(AC48-(AC48*Y49/100)),IF(U49="detectivo",(AC48-(AC48*Y49/100)),IF(U49="Correctivo",AC48,AC48)))</f>
        <v>51</v>
      </c>
      <c r="AD49" s="201"/>
      <c r="AE49" s="15">
        <f>IF(U49="Correctivo",(AE48-(AE48*V48/100)),AE48)</f>
        <v>60</v>
      </c>
      <c r="AF49" s="201"/>
      <c r="AG49" s="201"/>
      <c r="AH49" s="236"/>
      <c r="AI49" s="204"/>
      <c r="AJ49" s="283" t="s">
        <v>427</v>
      </c>
      <c r="AK49" s="272"/>
      <c r="AL49" s="278"/>
      <c r="AM49" s="281"/>
      <c r="AN49" s="281"/>
      <c r="AO49" s="281"/>
    </row>
    <row r="50" spans="2:41" ht="29.25" thickBot="1">
      <c r="B50" s="397"/>
      <c r="C50" s="208"/>
      <c r="D50" s="210"/>
      <c r="E50" s="202"/>
      <c r="F50" s="202"/>
      <c r="G50" s="202"/>
      <c r="H50" s="202"/>
      <c r="I50" s="234"/>
      <c r="J50" s="202"/>
      <c r="K50" s="202"/>
      <c r="L50" s="202" t="e">
        <f>VLOOKUP(M50,'PARÁMETROS RIESGOS GESTIÓN'!D47:F52,3,TRUE)</f>
        <v>#N/A</v>
      </c>
      <c r="M50" s="202">
        <f t="shared" si="0"/>
        <v>100</v>
      </c>
      <c r="N50" s="255"/>
      <c r="O50" s="276"/>
      <c r="P50" s="276"/>
      <c r="Q50" s="236" t="e">
        <f>VLOOKUP(P50,'Zona de riesgo'!B47:C71,2)</f>
        <v>#N/A</v>
      </c>
      <c r="R50" s="19"/>
      <c r="S50" s="20"/>
      <c r="T50" s="15"/>
      <c r="U50" s="15"/>
      <c r="V50" s="22">
        <v>0</v>
      </c>
      <c r="W50" s="15"/>
      <c r="X50" s="76" t="b">
        <f t="shared" si="5"/>
        <v>0</v>
      </c>
      <c r="Y50" s="72">
        <f t="shared" si="6"/>
        <v>0</v>
      </c>
      <c r="Z50" s="15" t="s">
        <v>120</v>
      </c>
      <c r="AA50" s="15" t="s">
        <v>127</v>
      </c>
      <c r="AB50" s="15" t="s">
        <v>129</v>
      </c>
      <c r="AC50" s="72">
        <f>IF(U50="preventivo",(AC49-(AC49*Y50/100)),IF(U50="detectivo",(AC49-(AC49*Y50/100)),IF(U50="Correctivo",AC49,AC49)))</f>
        <v>51</v>
      </c>
      <c r="AD50" s="202"/>
      <c r="AE50" s="15">
        <f>IF(U50="Correctivo",(AE49-(AE49*V49/100)),AE49)</f>
        <v>60</v>
      </c>
      <c r="AF50" s="202"/>
      <c r="AG50" s="202"/>
      <c r="AH50" s="236"/>
      <c r="AI50" s="205"/>
      <c r="AJ50" s="258"/>
      <c r="AK50" s="273"/>
      <c r="AL50" s="279"/>
      <c r="AM50" s="282"/>
      <c r="AN50" s="282"/>
      <c r="AO50" s="282"/>
    </row>
  </sheetData>
  <sheetProtection formatCells="0" formatColumns="0" formatRows="0" insertColumns="0" insertHyperlinks="0" deleteColumns="0" deleteRows="0" sort="0" autoFilter="0" pivotTables="0"/>
  <mergeCells count="364">
    <mergeCell ref="AM48:AM50"/>
    <mergeCell ref="AN48:AN50"/>
    <mergeCell ref="AO48:AO50"/>
    <mergeCell ref="AJ49:AJ50"/>
    <mergeCell ref="AM45:AM47"/>
    <mergeCell ref="AN45:AN47"/>
    <mergeCell ref="AO45:AO47"/>
    <mergeCell ref="AK48:AK50"/>
    <mergeCell ref="B48:B50"/>
    <mergeCell ref="E48:E50"/>
    <mergeCell ref="F48:F50"/>
    <mergeCell ref="G48:G50"/>
    <mergeCell ref="H48:H50"/>
    <mergeCell ref="I48:I50"/>
    <mergeCell ref="J48:J50"/>
    <mergeCell ref="K48:K50"/>
    <mergeCell ref="L48:L50"/>
    <mergeCell ref="M45:M47"/>
    <mergeCell ref="N45:N47"/>
    <mergeCell ref="Q45:Q47"/>
    <mergeCell ref="AH45:AH47"/>
    <mergeCell ref="AJ45:AJ47"/>
    <mergeCell ref="AK45:AK47"/>
    <mergeCell ref="AL45:AL47"/>
    <mergeCell ref="O45:O47"/>
    <mergeCell ref="M48:M50"/>
    <mergeCell ref="N48:N50"/>
    <mergeCell ref="O48:O50"/>
    <mergeCell ref="P48:P50"/>
    <mergeCell ref="Q48:Q50"/>
    <mergeCell ref="AH48:AH50"/>
    <mergeCell ref="P45:P47"/>
    <mergeCell ref="AL48:AL50"/>
    <mergeCell ref="B45:B47"/>
    <mergeCell ref="E45:E47"/>
    <mergeCell ref="F45:F47"/>
    <mergeCell ref="G45:G47"/>
    <mergeCell ref="H45:H47"/>
    <mergeCell ref="I45:I47"/>
    <mergeCell ref="J45:J47"/>
    <mergeCell ref="K45:K47"/>
    <mergeCell ref="L45:L47"/>
    <mergeCell ref="AO39:AO41"/>
    <mergeCell ref="B42:B44"/>
    <mergeCell ref="E42:E44"/>
    <mergeCell ref="F42:F44"/>
    <mergeCell ref="G42:G44"/>
    <mergeCell ref="H42:H44"/>
    <mergeCell ref="I42:I44"/>
    <mergeCell ref="J42:J44"/>
    <mergeCell ref="K42:K44"/>
    <mergeCell ref="L42:L44"/>
    <mergeCell ref="M42:M44"/>
    <mergeCell ref="N42:N44"/>
    <mergeCell ref="O42:O44"/>
    <mergeCell ref="P42:P44"/>
    <mergeCell ref="Q42:Q44"/>
    <mergeCell ref="AH42:AH44"/>
    <mergeCell ref="AJ42:AJ44"/>
    <mergeCell ref="AK42:AK44"/>
    <mergeCell ref="AL42:AL44"/>
    <mergeCell ref="AM42:AM44"/>
    <mergeCell ref="AN42:AN44"/>
    <mergeCell ref="AL36:AL38"/>
    <mergeCell ref="AM36:AM38"/>
    <mergeCell ref="AN36:AN38"/>
    <mergeCell ref="AO36:AO38"/>
    <mergeCell ref="B39:B41"/>
    <mergeCell ref="E39:E41"/>
    <mergeCell ref="F39:F41"/>
    <mergeCell ref="G39:G41"/>
    <mergeCell ref="H39:H41"/>
    <mergeCell ref="I39:I41"/>
    <mergeCell ref="J39:J41"/>
    <mergeCell ref="K39:K41"/>
    <mergeCell ref="L39:L41"/>
    <mergeCell ref="M39:M41"/>
    <mergeCell ref="N39:N41"/>
    <mergeCell ref="O39:O41"/>
    <mergeCell ref="P39:P41"/>
    <mergeCell ref="Q39:Q41"/>
    <mergeCell ref="AH39:AH41"/>
    <mergeCell ref="AJ39:AJ41"/>
    <mergeCell ref="AK39:AK41"/>
    <mergeCell ref="AL39:AL41"/>
    <mergeCell ref="AM39:AM41"/>
    <mergeCell ref="AN39:AN41"/>
    <mergeCell ref="AM21:AM23"/>
    <mergeCell ref="AN21:AN23"/>
    <mergeCell ref="AO21:AO23"/>
    <mergeCell ref="AL24:AL26"/>
    <mergeCell ref="AM24:AM26"/>
    <mergeCell ref="AN24:AN26"/>
    <mergeCell ref="AO24:AO26"/>
    <mergeCell ref="B36:B38"/>
    <mergeCell ref="E36:E38"/>
    <mergeCell ref="F36:F38"/>
    <mergeCell ref="G36:G38"/>
    <mergeCell ref="H36:H38"/>
    <mergeCell ref="I36:I38"/>
    <mergeCell ref="J36:J38"/>
    <mergeCell ref="K36:K38"/>
    <mergeCell ref="L36:L38"/>
    <mergeCell ref="M36:M38"/>
    <mergeCell ref="N36:N38"/>
    <mergeCell ref="O36:O38"/>
    <mergeCell ref="P36:P38"/>
    <mergeCell ref="Q36:Q38"/>
    <mergeCell ref="AH36:AH38"/>
    <mergeCell ref="AJ36:AJ38"/>
    <mergeCell ref="AK36:AK38"/>
    <mergeCell ref="G27:G29"/>
    <mergeCell ref="AK27:AK29"/>
    <mergeCell ref="AL27:AL29"/>
    <mergeCell ref="N18:N20"/>
    <mergeCell ref="O18:O20"/>
    <mergeCell ref="AH27:AH29"/>
    <mergeCell ref="AH24:AH26"/>
    <mergeCell ref="L24:L26"/>
    <mergeCell ref="M24:M26"/>
    <mergeCell ref="N24:N26"/>
    <mergeCell ref="O24:O26"/>
    <mergeCell ref="P24:P26"/>
    <mergeCell ref="Q24:Q26"/>
    <mergeCell ref="L27:L29"/>
    <mergeCell ref="M27:M29"/>
    <mergeCell ref="N27:N29"/>
    <mergeCell ref="O27:O29"/>
    <mergeCell ref="AL21:AL23"/>
    <mergeCell ref="AO33:AO35"/>
    <mergeCell ref="G12:G13"/>
    <mergeCell ref="AH33:AH35"/>
    <mergeCell ref="L33:L35"/>
    <mergeCell ref="M33:M35"/>
    <mergeCell ref="N33:N35"/>
    <mergeCell ref="O33:O35"/>
    <mergeCell ref="P33:P35"/>
    <mergeCell ref="Q33:Q35"/>
    <mergeCell ref="AM30:AM32"/>
    <mergeCell ref="AN30:AN32"/>
    <mergeCell ref="AO30:AO32"/>
    <mergeCell ref="AJ30:AJ32"/>
    <mergeCell ref="AK30:AK32"/>
    <mergeCell ref="AL30:AL32"/>
    <mergeCell ref="AO27:AO29"/>
    <mergeCell ref="AK15:AK17"/>
    <mergeCell ref="AL15:AL17"/>
    <mergeCell ref="AJ24:AJ26"/>
    <mergeCell ref="AK24:AK26"/>
    <mergeCell ref="AM27:AM29"/>
    <mergeCell ref="J18:J20"/>
    <mergeCell ref="K18:K20"/>
    <mergeCell ref="G21:G23"/>
    <mergeCell ref="F30:F32"/>
    <mergeCell ref="H30:H32"/>
    <mergeCell ref="I30:I32"/>
    <mergeCell ref="J30:J32"/>
    <mergeCell ref="K30:K32"/>
    <mergeCell ref="L30:L32"/>
    <mergeCell ref="M30:M32"/>
    <mergeCell ref="AM33:AM35"/>
    <mergeCell ref="AN33:AN35"/>
    <mergeCell ref="G30:G32"/>
    <mergeCell ref="G33:G35"/>
    <mergeCell ref="AL33:AL35"/>
    <mergeCell ref="AJ27:AJ29"/>
    <mergeCell ref="B33:B35"/>
    <mergeCell ref="E33:E35"/>
    <mergeCell ref="F33:F35"/>
    <mergeCell ref="H33:H35"/>
    <mergeCell ref="I33:I35"/>
    <mergeCell ref="J33:J35"/>
    <mergeCell ref="K33:K35"/>
    <mergeCell ref="AH30:AH32"/>
    <mergeCell ref="N30:N32"/>
    <mergeCell ref="O30:O32"/>
    <mergeCell ref="P30:P32"/>
    <mergeCell ref="Q30:Q32"/>
    <mergeCell ref="B30:B32"/>
    <mergeCell ref="E30:E32"/>
    <mergeCell ref="B27:B29"/>
    <mergeCell ref="E27:E29"/>
    <mergeCell ref="F27:F29"/>
    <mergeCell ref="H27:H29"/>
    <mergeCell ref="I27:I29"/>
    <mergeCell ref="P27:P29"/>
    <mergeCell ref="Q27:Q29"/>
    <mergeCell ref="J27:J29"/>
    <mergeCell ref="K27:K29"/>
    <mergeCell ref="AJ21:AJ23"/>
    <mergeCell ref="AK21:AK23"/>
    <mergeCell ref="B24:B26"/>
    <mergeCell ref="E24:E26"/>
    <mergeCell ref="F24:F26"/>
    <mergeCell ref="H24:H26"/>
    <mergeCell ref="I24:I26"/>
    <mergeCell ref="J24:J26"/>
    <mergeCell ref="K24:K26"/>
    <mergeCell ref="AH21:AH23"/>
    <mergeCell ref="N21:N23"/>
    <mergeCell ref="O21:O23"/>
    <mergeCell ref="P21:P23"/>
    <mergeCell ref="Q21:Q23"/>
    <mergeCell ref="B21:B23"/>
    <mergeCell ref="E21:E23"/>
    <mergeCell ref="AD21:AD23"/>
    <mergeCell ref="AF21:AF23"/>
    <mergeCell ref="AG21:AG23"/>
    <mergeCell ref="AI21:AI23"/>
    <mergeCell ref="G24:G26"/>
    <mergeCell ref="AO18:AO20"/>
    <mergeCell ref="AI18:AI20"/>
    <mergeCell ref="AJ18:AJ20"/>
    <mergeCell ref="AK18:AK20"/>
    <mergeCell ref="B15:B17"/>
    <mergeCell ref="E15:E17"/>
    <mergeCell ref="F21:F23"/>
    <mergeCell ref="H21:H23"/>
    <mergeCell ref="I21:I23"/>
    <mergeCell ref="J21:J23"/>
    <mergeCell ref="K21:K23"/>
    <mergeCell ref="L21:L23"/>
    <mergeCell ref="M21:M23"/>
    <mergeCell ref="AM15:AM17"/>
    <mergeCell ref="AN15:AN17"/>
    <mergeCell ref="F15:F17"/>
    <mergeCell ref="H15:H17"/>
    <mergeCell ref="I15:I17"/>
    <mergeCell ref="J15:J17"/>
    <mergeCell ref="K15:K17"/>
    <mergeCell ref="G15:G17"/>
    <mergeCell ref="AL18:AL20"/>
    <mergeCell ref="AM18:AM20"/>
    <mergeCell ref="AN18:AN20"/>
    <mergeCell ref="B18:B20"/>
    <mergeCell ref="E18:E20"/>
    <mergeCell ref="F18:F20"/>
    <mergeCell ref="H18:H20"/>
    <mergeCell ref="I18:I20"/>
    <mergeCell ref="AD15:AD17"/>
    <mergeCell ref="AF15:AF17"/>
    <mergeCell ref="AG15:AG17"/>
    <mergeCell ref="AH15:AH17"/>
    <mergeCell ref="L15:L17"/>
    <mergeCell ref="M15:M17"/>
    <mergeCell ref="N15:N17"/>
    <mergeCell ref="O15:O17"/>
    <mergeCell ref="P15:P17"/>
    <mergeCell ref="Q15:Q17"/>
    <mergeCell ref="P18:P20"/>
    <mergeCell ref="Q18:Q20"/>
    <mergeCell ref="AD18:AD20"/>
    <mergeCell ref="AF18:AF20"/>
    <mergeCell ref="AG18:AG20"/>
    <mergeCell ref="AH18:AH20"/>
    <mergeCell ref="G18:G20"/>
    <mergeCell ref="L18:L20"/>
    <mergeCell ref="M18:M20"/>
    <mergeCell ref="U12:AB12"/>
    <mergeCell ref="AC12:AC13"/>
    <mergeCell ref="AD12:AD13"/>
    <mergeCell ref="AE12:AE13"/>
    <mergeCell ref="AF12:AF13"/>
    <mergeCell ref="K12:K13"/>
    <mergeCell ref="L12:M13"/>
    <mergeCell ref="AO15:AO17"/>
    <mergeCell ref="AI15:AI17"/>
    <mergeCell ref="AJ15:AJ17"/>
    <mergeCell ref="E10:AJ10"/>
    <mergeCell ref="B11:K11"/>
    <mergeCell ref="L11:Q11"/>
    <mergeCell ref="R11:AH11"/>
    <mergeCell ref="AI11:AO11"/>
    <mergeCell ref="N12:O13"/>
    <mergeCell ref="P12:Q13"/>
    <mergeCell ref="R12:R13"/>
    <mergeCell ref="S12:T12"/>
    <mergeCell ref="B12:B13"/>
    <mergeCell ref="E12:E13"/>
    <mergeCell ref="F12:F13"/>
    <mergeCell ref="H12:H13"/>
    <mergeCell ref="I12:I13"/>
    <mergeCell ref="J12:J13"/>
    <mergeCell ref="AM12:AM13"/>
    <mergeCell ref="AN12:AN13"/>
    <mergeCell ref="AO12:AO13"/>
    <mergeCell ref="AI12:AI13"/>
    <mergeCell ref="AJ12:AJ13"/>
    <mergeCell ref="AK12:AK13"/>
    <mergeCell ref="AL12:AL13"/>
    <mergeCell ref="AG12:AG13"/>
    <mergeCell ref="AH12:AH13"/>
    <mergeCell ref="S4:AJ4"/>
    <mergeCell ref="B5:E5"/>
    <mergeCell ref="F5:H5"/>
    <mergeCell ref="T5:AH5"/>
    <mergeCell ref="B6:E6"/>
    <mergeCell ref="F6:H6"/>
    <mergeCell ref="B7:E7"/>
    <mergeCell ref="F7:H7"/>
    <mergeCell ref="H9:K9"/>
    <mergeCell ref="M9:T9"/>
    <mergeCell ref="C12:C13"/>
    <mergeCell ref="D12:D13"/>
    <mergeCell ref="C15:C17"/>
    <mergeCell ref="C18:C20"/>
    <mergeCell ref="C21:C23"/>
    <mergeCell ref="C24:C26"/>
    <mergeCell ref="C27:C29"/>
    <mergeCell ref="C30:C32"/>
    <mergeCell ref="C33:C35"/>
    <mergeCell ref="C36:C38"/>
    <mergeCell ref="C39:C41"/>
    <mergeCell ref="C42:C44"/>
    <mergeCell ref="C45:C47"/>
    <mergeCell ref="C48:C50"/>
    <mergeCell ref="D15:D17"/>
    <mergeCell ref="D18:D20"/>
    <mergeCell ref="D21:D23"/>
    <mergeCell ref="D24:D26"/>
    <mergeCell ref="D27:D29"/>
    <mergeCell ref="D30:D32"/>
    <mergeCell ref="D33:D35"/>
    <mergeCell ref="D36:D38"/>
    <mergeCell ref="D39:D41"/>
    <mergeCell ref="D42:D44"/>
    <mergeCell ref="D45:D47"/>
    <mergeCell ref="D48:D50"/>
    <mergeCell ref="AI24:AI26"/>
    <mergeCell ref="AI27:AI29"/>
    <mergeCell ref="AI30:AI32"/>
    <mergeCell ref="AI33:AI35"/>
    <mergeCell ref="AI36:AI38"/>
    <mergeCell ref="AI39:AI41"/>
    <mergeCell ref="AI42:AI44"/>
    <mergeCell ref="AI45:AI47"/>
    <mergeCell ref="AI48:AI50"/>
    <mergeCell ref="AD24:AD26"/>
    <mergeCell ref="AD27:AD29"/>
    <mergeCell ref="AD30:AD32"/>
    <mergeCell ref="AD33:AD35"/>
    <mergeCell ref="AD36:AD38"/>
    <mergeCell ref="AD39:AD41"/>
    <mergeCell ref="AD42:AD44"/>
    <mergeCell ref="AD45:AD47"/>
    <mergeCell ref="AD48:AD50"/>
    <mergeCell ref="AF24:AF26"/>
    <mergeCell ref="AF27:AF29"/>
    <mergeCell ref="AF30:AF32"/>
    <mergeCell ref="AF33:AF35"/>
    <mergeCell ref="AF36:AF38"/>
    <mergeCell ref="AF39:AF41"/>
    <mergeCell ref="AF42:AF44"/>
    <mergeCell ref="AF45:AF47"/>
    <mergeCell ref="AF48:AF50"/>
    <mergeCell ref="AG24:AG26"/>
    <mergeCell ref="AG27:AG29"/>
    <mergeCell ref="AG30:AG32"/>
    <mergeCell ref="AG33:AG35"/>
    <mergeCell ref="AG36:AG38"/>
    <mergeCell ref="AG39:AG41"/>
    <mergeCell ref="AG42:AG44"/>
    <mergeCell ref="AG45:AG47"/>
    <mergeCell ref="AG48:AG50"/>
  </mergeCells>
  <phoneticPr fontId="35" type="noConversion"/>
  <conditionalFormatting sqref="AI15">
    <cfRule type="cellIs" dxfId="622" priority="368" stopIfTrue="1" operator="equal">
      <formula>"INACEPTABLE"</formula>
    </cfRule>
    <cfRule type="cellIs" dxfId="621" priority="369" stopIfTrue="1" operator="equal">
      <formula>"IMPORTANTE"</formula>
    </cfRule>
    <cfRule type="cellIs" dxfId="620" priority="370" stopIfTrue="1" operator="equal">
      <formula>"MODERADA"</formula>
    </cfRule>
  </conditionalFormatting>
  <conditionalFormatting sqref="L15:L50">
    <cfRule type="containsText" dxfId="619" priority="352" operator="containsText" text="Muy Alta">
      <formula>NOT(ISERROR(SEARCH("Muy Alta",L15)))</formula>
    </cfRule>
    <cfRule type="containsText" dxfId="618" priority="353" operator="containsText" text="Alta">
      <formula>NOT(ISERROR(SEARCH("Alta",L15)))</formula>
    </cfRule>
    <cfRule type="containsText" dxfId="617" priority="354" operator="containsText" text="Media">
      <formula>NOT(ISERROR(SEARCH("Media",L15)))</formula>
    </cfRule>
    <cfRule type="containsText" dxfId="616" priority="355" operator="containsText" text="Baja">
      <formula>NOT(ISERROR(SEARCH("Baja",L15)))</formula>
    </cfRule>
    <cfRule type="containsText" dxfId="615" priority="356" operator="containsText" text="Muy Baja">
      <formula>NOT(ISERROR(SEARCH("Muy Baja",L15)))</formula>
    </cfRule>
    <cfRule type="colorScale" priority="367">
      <colorScale>
        <cfvo type="min"/>
        <cfvo type="percentile" val="50"/>
        <cfvo type="max"/>
        <color rgb="FFF8696B"/>
        <color rgb="FFFFEB84"/>
        <color rgb="FF63BE7B"/>
      </colorScale>
    </cfRule>
  </conditionalFormatting>
  <conditionalFormatting sqref="AH15 AH18 AH21 AH24 AH27 AH30 AH33 AH36 AH39 AH42 AH45 AH48">
    <cfRule type="containsText" dxfId="614" priority="362" operator="containsText" text="Extremo">
      <formula>NOT(ISERROR(SEARCH("Extremo",AH15)))</formula>
    </cfRule>
    <cfRule type="containsText" dxfId="613" priority="363" operator="containsText" text="Alto">
      <formula>NOT(ISERROR(SEARCH("Alto",AH15)))</formula>
    </cfRule>
    <cfRule type="containsText" dxfId="612" priority="364" operator="containsText" text="Moderado">
      <formula>NOT(ISERROR(SEARCH("Moderado",AH15)))</formula>
    </cfRule>
    <cfRule type="containsText" dxfId="611" priority="365" operator="containsText" text="Baja">
      <formula>NOT(ISERROR(SEARCH("Baja",AH15)))</formula>
    </cfRule>
    <cfRule type="cellIs" dxfId="610" priority="366" operator="equal">
      <formula>"Bajo"</formula>
    </cfRule>
  </conditionalFormatting>
  <conditionalFormatting sqref="Q15 Q18 Q21 Q24 Q27 Q30 Q33 Q36 Q39 Q45 Q48 Q42">
    <cfRule type="containsText" dxfId="609" priority="357" operator="containsText" text="Extremo">
      <formula>NOT(ISERROR(SEARCH("Extremo",Q15)))</formula>
    </cfRule>
    <cfRule type="containsText" dxfId="608" priority="358" operator="containsText" text="Alto">
      <formula>NOT(ISERROR(SEARCH("Alto",Q15)))</formula>
    </cfRule>
    <cfRule type="containsText" dxfId="607" priority="359" operator="containsText" text="Moderado">
      <formula>NOT(ISERROR(SEARCH("Moderado",Q15)))</formula>
    </cfRule>
    <cfRule type="containsText" dxfId="606" priority="360" operator="containsText" text="Baja">
      <formula>NOT(ISERROR(SEARCH("Baja",Q15)))</formula>
    </cfRule>
    <cfRule type="cellIs" dxfId="605" priority="361" operator="equal">
      <formula>"Bajo"</formula>
    </cfRule>
  </conditionalFormatting>
  <conditionalFormatting sqref="N15:N17">
    <cfRule type="containsText" dxfId="604" priority="347" operator="containsText" text="Catastrófico">
      <formula>NOT(ISERROR(SEARCH("Catastrófico",N15)))</formula>
    </cfRule>
    <cfRule type="containsText" dxfId="603" priority="348" operator="containsText" text="Mayor">
      <formula>NOT(ISERROR(SEARCH("Mayor",N15)))</formula>
    </cfRule>
    <cfRule type="containsText" dxfId="602" priority="349" operator="containsText" text="Moderado">
      <formula>NOT(ISERROR(SEARCH("Moderado",N15)))</formula>
    </cfRule>
    <cfRule type="containsText" dxfId="601" priority="350" operator="containsText" text="Menor">
      <formula>NOT(ISERROR(SEARCH("Menor",N15)))</formula>
    </cfRule>
    <cfRule type="containsText" dxfId="600" priority="351" operator="containsText" text="Leve">
      <formula>NOT(ISERROR(SEARCH("Leve",N15)))</formula>
    </cfRule>
  </conditionalFormatting>
  <conditionalFormatting sqref="AD15:AD17">
    <cfRule type="containsText" dxfId="599" priority="341" operator="containsText" text="Muy Alta">
      <formula>NOT(ISERROR(SEARCH("Muy Alta",AD15)))</formula>
    </cfRule>
    <cfRule type="containsText" dxfId="598" priority="342" operator="containsText" text="Alta">
      <formula>NOT(ISERROR(SEARCH("Alta",AD15)))</formula>
    </cfRule>
    <cfRule type="containsText" dxfId="597" priority="343" operator="containsText" text="Media">
      <formula>NOT(ISERROR(SEARCH("Media",AD15)))</formula>
    </cfRule>
    <cfRule type="containsText" dxfId="596" priority="344" operator="containsText" text="Baja">
      <formula>NOT(ISERROR(SEARCH("Baja",AD15)))</formula>
    </cfRule>
    <cfRule type="containsText" dxfId="595" priority="345" operator="containsText" text="Muy Baja">
      <formula>NOT(ISERROR(SEARCH("Muy Baja",AD15)))</formula>
    </cfRule>
    <cfRule type="colorScale" priority="346">
      <colorScale>
        <cfvo type="min"/>
        <cfvo type="percentile" val="50"/>
        <cfvo type="max"/>
        <color rgb="FFF8696B"/>
        <color rgb="FFFFEB84"/>
        <color rgb="FF63BE7B"/>
      </colorScale>
    </cfRule>
  </conditionalFormatting>
  <conditionalFormatting sqref="AF15:AF17">
    <cfRule type="containsText" dxfId="594" priority="336" operator="containsText" text="Catastrófico">
      <formula>NOT(ISERROR(SEARCH("Catastrófico",AF15)))</formula>
    </cfRule>
    <cfRule type="containsText" dxfId="593" priority="337" operator="containsText" text="Mayor">
      <formula>NOT(ISERROR(SEARCH("Mayor",AF15)))</formula>
    </cfRule>
    <cfRule type="containsText" dxfId="592" priority="338" operator="containsText" text="Moderado">
      <formula>NOT(ISERROR(SEARCH("Moderado",AF15)))</formula>
    </cfRule>
    <cfRule type="containsText" dxfId="591" priority="339" operator="containsText" text="Menor">
      <formula>NOT(ISERROR(SEARCH("Menor",AF15)))</formula>
    </cfRule>
    <cfRule type="containsText" dxfId="590" priority="340" operator="containsText" text="Leve">
      <formula>NOT(ISERROR(SEARCH("Leve",AF15)))</formula>
    </cfRule>
  </conditionalFormatting>
  <conditionalFormatting sqref="N18:N20">
    <cfRule type="containsText" dxfId="589" priority="181" operator="containsText" text="Catastrófico">
      <formula>NOT(ISERROR(SEARCH("Catastrófico",N18)))</formula>
    </cfRule>
    <cfRule type="containsText" dxfId="588" priority="182" operator="containsText" text="Mayor">
      <formula>NOT(ISERROR(SEARCH("Mayor",N18)))</formula>
    </cfRule>
    <cfRule type="containsText" dxfId="587" priority="183" operator="containsText" text="Moderado">
      <formula>NOT(ISERROR(SEARCH("Moderado",N18)))</formula>
    </cfRule>
    <cfRule type="containsText" dxfId="586" priority="184" operator="containsText" text="Menor">
      <formula>NOT(ISERROR(SEARCH("Menor",N18)))</formula>
    </cfRule>
    <cfRule type="containsText" dxfId="585" priority="185" operator="containsText" text="Leve">
      <formula>NOT(ISERROR(SEARCH("Leve",N18)))</formula>
    </cfRule>
  </conditionalFormatting>
  <conditionalFormatting sqref="AI18 AI21 AI24 AI27 AI30 AI33 AI36 AI39 AI42 AI45 AI48">
    <cfRule type="cellIs" dxfId="584" priority="173" stopIfTrue="1" operator="equal">
      <formula>"INACEPTABLE"</formula>
    </cfRule>
    <cfRule type="cellIs" dxfId="583" priority="174" stopIfTrue="1" operator="equal">
      <formula>"IMPORTANTE"</formula>
    </cfRule>
    <cfRule type="cellIs" dxfId="582" priority="175" stopIfTrue="1" operator="equal">
      <formula>"MODERADA"</formula>
    </cfRule>
  </conditionalFormatting>
  <conditionalFormatting sqref="AF18:AF50">
    <cfRule type="containsText" dxfId="581" priority="163" operator="containsText" text="Catastrófico">
      <formula>NOT(ISERROR(SEARCH("Catastrófico",AF18)))</formula>
    </cfRule>
    <cfRule type="containsText" dxfId="580" priority="164" operator="containsText" text="Mayor">
      <formula>NOT(ISERROR(SEARCH("Mayor",AF18)))</formula>
    </cfRule>
    <cfRule type="containsText" dxfId="579" priority="165" operator="containsText" text="Moderado">
      <formula>NOT(ISERROR(SEARCH("Moderado",AF18)))</formula>
    </cfRule>
    <cfRule type="containsText" dxfId="578" priority="166" operator="containsText" text="Menor">
      <formula>NOT(ISERROR(SEARCH("Menor",AF18)))</formula>
    </cfRule>
    <cfRule type="containsText" dxfId="577" priority="167" operator="containsText" text="Leve">
      <formula>NOT(ISERROR(SEARCH("Leve",AF18)))</formula>
    </cfRule>
  </conditionalFormatting>
  <conditionalFormatting sqref="AD18:AD50">
    <cfRule type="containsText" dxfId="576" priority="157" operator="containsText" text="Muy Alta">
      <formula>NOT(ISERROR(SEARCH("Muy Alta",AD18)))</formula>
    </cfRule>
    <cfRule type="containsText" dxfId="575" priority="158" operator="containsText" text="Alta">
      <formula>NOT(ISERROR(SEARCH("Alta",AD18)))</formula>
    </cfRule>
    <cfRule type="containsText" dxfId="574" priority="159" operator="containsText" text="Media">
      <formula>NOT(ISERROR(SEARCH("Media",AD18)))</formula>
    </cfRule>
    <cfRule type="containsText" dxfId="573" priority="160" operator="containsText" text="Baja">
      <formula>NOT(ISERROR(SEARCH("Baja",AD18)))</formula>
    </cfRule>
    <cfRule type="containsText" dxfId="572" priority="161" operator="containsText" text="Muy Baja">
      <formula>NOT(ISERROR(SEARCH("Muy Baja",AD18)))</formula>
    </cfRule>
    <cfRule type="colorScale" priority="162">
      <colorScale>
        <cfvo type="min"/>
        <cfvo type="percentile" val="50"/>
        <cfvo type="max"/>
        <color rgb="FFF8696B"/>
        <color rgb="FFFFEB84"/>
        <color rgb="FF63BE7B"/>
      </colorScale>
    </cfRule>
  </conditionalFormatting>
  <conditionalFormatting sqref="N21:N23">
    <cfRule type="containsText" dxfId="571" priority="125" operator="containsText" text="Catastrófico">
      <formula>NOT(ISERROR(SEARCH(("Catastrófico"),(N21))))</formula>
    </cfRule>
  </conditionalFormatting>
  <conditionalFormatting sqref="N21:N23">
    <cfRule type="containsText" dxfId="570" priority="126" operator="containsText" text="Mayor">
      <formula>NOT(ISERROR(SEARCH(("Mayor"),(N21))))</formula>
    </cfRule>
  </conditionalFormatting>
  <conditionalFormatting sqref="N21:N23">
    <cfRule type="containsText" dxfId="569" priority="127" operator="containsText" text="Moderado">
      <formula>NOT(ISERROR(SEARCH(("Moderado"),(N21))))</formula>
    </cfRule>
  </conditionalFormatting>
  <conditionalFormatting sqref="N21:N23">
    <cfRule type="containsText" dxfId="568" priority="128" operator="containsText" text="Menor">
      <formula>NOT(ISERROR(SEARCH(("Menor"),(N21))))</formula>
    </cfRule>
  </conditionalFormatting>
  <conditionalFormatting sqref="N21:N23">
    <cfRule type="containsText" dxfId="567" priority="129" operator="containsText" text="Leve">
      <formula>NOT(ISERROR(SEARCH(("Leve"),(N21))))</formula>
    </cfRule>
  </conditionalFormatting>
  <conditionalFormatting sqref="N24:N26">
    <cfRule type="containsText" dxfId="566" priority="141" operator="containsText" text="Catastrófico">
      <formula>NOT(ISERROR(SEARCH(("Catastrófico"),(N24))))</formula>
    </cfRule>
  </conditionalFormatting>
  <conditionalFormatting sqref="N24:N26">
    <cfRule type="containsText" dxfId="565" priority="142" operator="containsText" text="Mayor">
      <formula>NOT(ISERROR(SEARCH(("Mayor"),(N24))))</formula>
    </cfRule>
  </conditionalFormatting>
  <conditionalFormatting sqref="N24:N26">
    <cfRule type="containsText" dxfId="564" priority="143" operator="containsText" text="Moderado">
      <formula>NOT(ISERROR(SEARCH(("Moderado"),(N24))))</formula>
    </cfRule>
  </conditionalFormatting>
  <conditionalFormatting sqref="N24:N26">
    <cfRule type="containsText" dxfId="563" priority="144" operator="containsText" text="Menor">
      <formula>NOT(ISERROR(SEARCH(("Menor"),(N24))))</formula>
    </cfRule>
  </conditionalFormatting>
  <conditionalFormatting sqref="N24:N26">
    <cfRule type="containsText" dxfId="562" priority="145" operator="containsText" text="Leve">
      <formula>NOT(ISERROR(SEARCH(("Leve"),(N24))))</formula>
    </cfRule>
  </conditionalFormatting>
  <conditionalFormatting sqref="AM27">
    <cfRule type="cellIs" dxfId="561" priority="103" stopIfTrue="1" operator="equal">
      <formula>"INACEPTABLE"</formula>
    </cfRule>
    <cfRule type="cellIs" dxfId="560" priority="104" stopIfTrue="1" operator="equal">
      <formula>"IMPORTANTE"</formula>
    </cfRule>
    <cfRule type="cellIs" dxfId="559" priority="105" stopIfTrue="1" operator="equal">
      <formula>"MODERADA"</formula>
    </cfRule>
  </conditionalFormatting>
  <conditionalFormatting sqref="N27:N29">
    <cfRule type="containsText" dxfId="558" priority="82" operator="containsText" text="Catastrófico">
      <formula>NOT(ISERROR(SEARCH("Catastrófico",N27)))</formula>
    </cfRule>
    <cfRule type="containsText" dxfId="557" priority="83" operator="containsText" text="Mayor">
      <formula>NOT(ISERROR(SEARCH("Mayor",N27)))</formula>
    </cfRule>
    <cfRule type="containsText" dxfId="556" priority="84" operator="containsText" text="Moderado">
      <formula>NOT(ISERROR(SEARCH("Moderado",N27)))</formula>
    </cfRule>
    <cfRule type="containsText" dxfId="555" priority="85" operator="containsText" text="Menor">
      <formula>NOT(ISERROR(SEARCH("Menor",N27)))</formula>
    </cfRule>
    <cfRule type="containsText" dxfId="554" priority="86" operator="containsText" text="Leve">
      <formula>NOT(ISERROR(SEARCH("Leve",N27)))</formula>
    </cfRule>
  </conditionalFormatting>
  <conditionalFormatting sqref="N30:N32">
    <cfRule type="containsText" dxfId="553" priority="47" operator="containsText" text="Catastrófico">
      <formula>NOT(ISERROR(SEARCH("Catastrófico",N30)))</formula>
    </cfRule>
    <cfRule type="containsText" dxfId="552" priority="48" operator="containsText" text="Mayor">
      <formula>NOT(ISERROR(SEARCH("Mayor",N30)))</formula>
    </cfRule>
    <cfRule type="containsText" dxfId="551" priority="49" operator="containsText" text="Moderado">
      <formula>NOT(ISERROR(SEARCH("Moderado",N30)))</formula>
    </cfRule>
    <cfRule type="containsText" dxfId="550" priority="50" operator="containsText" text="Menor">
      <formula>NOT(ISERROR(SEARCH("Menor",N30)))</formula>
    </cfRule>
    <cfRule type="containsText" dxfId="549" priority="51" operator="containsText" text="Leve">
      <formula>NOT(ISERROR(SEARCH("Leve",N30)))</formula>
    </cfRule>
  </conditionalFormatting>
  <conditionalFormatting sqref="AM33">
    <cfRule type="cellIs" dxfId="548" priority="33" stopIfTrue="1" operator="equal">
      <formula>"INACEPTABLE"</formula>
    </cfRule>
    <cfRule type="cellIs" dxfId="547" priority="34" stopIfTrue="1" operator="equal">
      <formula>"IMPORTANTE"</formula>
    </cfRule>
    <cfRule type="cellIs" dxfId="546" priority="35" stopIfTrue="1" operator="equal">
      <formula>"MODERADA"</formula>
    </cfRule>
  </conditionalFormatting>
  <conditionalFormatting sqref="AL33">
    <cfRule type="containsText" dxfId="545" priority="27" operator="containsText" text="Extremo">
      <formula>NOT(ISERROR(SEARCH("Extremo",AL33)))</formula>
    </cfRule>
    <cfRule type="containsText" dxfId="544" priority="28" operator="containsText" text="Alto">
      <formula>NOT(ISERROR(SEARCH("Alto",AL33)))</formula>
    </cfRule>
    <cfRule type="containsText" dxfId="543" priority="29" operator="containsText" text="Moderado">
      <formula>NOT(ISERROR(SEARCH("Moderado",AL33)))</formula>
    </cfRule>
    <cfRule type="containsText" dxfId="542" priority="30" operator="containsText" text="Baja">
      <formula>NOT(ISERROR(SEARCH("Baja",AL33)))</formula>
    </cfRule>
    <cfRule type="cellIs" dxfId="541" priority="31" operator="equal">
      <formula>"Bajo"</formula>
    </cfRule>
  </conditionalFormatting>
  <conditionalFormatting sqref="N33:N35">
    <cfRule type="containsText" dxfId="540" priority="12" operator="containsText" text="Catastrófico">
      <formula>NOT(ISERROR(SEARCH("Catastrófico",N33)))</formula>
    </cfRule>
    <cfRule type="containsText" dxfId="539" priority="13" operator="containsText" text="Mayor">
      <formula>NOT(ISERROR(SEARCH("Mayor",N33)))</formula>
    </cfRule>
    <cfRule type="containsText" dxfId="538" priority="14" operator="containsText" text="Moderado">
      <formula>NOT(ISERROR(SEARCH("Moderado",N33)))</formula>
    </cfRule>
    <cfRule type="containsText" dxfId="537" priority="15" operator="containsText" text="Menor">
      <formula>NOT(ISERROR(SEARCH("Menor",N33)))</formula>
    </cfRule>
    <cfRule type="containsText" dxfId="536" priority="16" operator="containsText" text="Leve">
      <formula>NOT(ISERROR(SEARCH("Leve",N33)))</formula>
    </cfRule>
  </conditionalFormatting>
  <conditionalFormatting sqref="AJ33:AJ35">
    <cfRule type="containsText" dxfId="535" priority="1" operator="containsText" text="Catastrófico">
      <formula>NOT(ISERROR(SEARCH("Catastrófico",AJ33)))</formula>
    </cfRule>
    <cfRule type="containsText" dxfId="534" priority="2" operator="containsText" text="Mayor">
      <formula>NOT(ISERROR(SEARCH("Mayor",AJ33)))</formula>
    </cfRule>
    <cfRule type="containsText" dxfId="533" priority="3" operator="containsText" text="Moderado">
      <formula>NOT(ISERROR(SEARCH("Moderado",AJ33)))</formula>
    </cfRule>
    <cfRule type="containsText" dxfId="532" priority="4" operator="containsText" text="Menor">
      <formula>NOT(ISERROR(SEARCH("Menor",AJ33)))</formula>
    </cfRule>
    <cfRule type="containsText" dxfId="531" priority="5" operator="containsText" text="Leve">
      <formula>NOT(ISERROR(SEARCH("Leve",AJ33)))</formula>
    </cfRule>
  </conditionalFormatting>
  <printOptions horizontalCentered="1" verticalCentered="1"/>
  <pageMargins left="0.19685039370078741" right="0.19685039370078741" top="0.31496062992125984" bottom="0.51181102362204722" header="0.11811023622047245" footer="0.27559055118110237"/>
  <pageSetup paperSize="119" scale="45" orientation="landscape" r:id="rId1"/>
  <headerFooter>
    <oddFooter>&amp;R&amp;"Arial,Normal"&amp;8Código:  1D-PGE-F001
Versión: 8 
Fecha de vigencia: 9 de junio de 2015
Página &amp;Pde  &amp;N</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CONTROLES!$D$12:$D$13</xm:f>
          </x14:formula1>
          <xm:sqref>AB15:AB17</xm:sqref>
        </x14:dataValidation>
        <x14:dataValidation type="list" allowBlank="1" showInputMessage="1" showErrorMessage="1" xr:uid="{00000000-0002-0000-0000-000001000000}">
          <x14:formula1>
            <xm:f>CONTROLES!$D$10:$D$11</xm:f>
          </x14:formula1>
          <xm:sqref>AA15:AA17</xm:sqref>
        </x14:dataValidation>
        <x14:dataValidation type="list" allowBlank="1" showInputMessage="1" showErrorMessage="1" xr:uid="{00000000-0002-0000-0000-000002000000}">
          <x14:formula1>
            <xm:f>CONTROLES!$D$8:$D$9</xm:f>
          </x14:formula1>
          <xm:sqref>Z15:Z17</xm:sqref>
        </x14:dataValidation>
        <x14:dataValidation type="list" allowBlank="1" showInputMessage="1" showErrorMessage="1" xr:uid="{00000000-0002-0000-0000-000003000000}">
          <x14:formula1>
            <xm:f>CONTROLES!$D$6:$D$7</xm:f>
          </x14:formula1>
          <xm:sqref>W15:W17</xm:sqref>
        </x14:dataValidation>
        <x14:dataValidation type="list" allowBlank="1" showInputMessage="1" showErrorMessage="1" xr:uid="{00000000-0002-0000-0000-000004000000}">
          <x14:formula1>
            <xm:f>CONTROLES!$D$3:$D$5</xm:f>
          </x14:formula1>
          <xm:sqref>U15:U17</xm:sqref>
        </x14:dataValidation>
        <x14:dataValidation type="list" allowBlank="1" showInputMessage="1" showErrorMessage="1" xr:uid="{00000000-0002-0000-0000-000005000000}">
          <x14:formula1>
            <xm:f>'Probab e Impacto'!$B$4:$B$8</xm:f>
          </x14:formula1>
          <xm:sqref>N15:N17</xm:sqref>
        </x14:dataValidation>
        <x14:dataValidation type="list" allowBlank="1" showInputMessage="1" showErrorMessage="1" xr:uid="{00000000-0002-0000-0000-000006000000}">
          <x14:formula1>
            <xm:f>Hoja2!$B$4:$B$6</xm:f>
          </x14:formula1>
          <xm:sqref>E15:E17</xm:sqref>
        </x14:dataValidation>
        <x14:dataValidation type="list" allowBlank="1" showInputMessage="1" showErrorMessage="1" xr:uid="{00000000-0002-0000-0000-000007000000}">
          <x14:formula1>
            <xm:f>Hoja2!$B$13:$B$18</xm:f>
          </x14:formula1>
          <xm:sqref>G15:G17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30"/>
  <sheetViews>
    <sheetView zoomScale="110" zoomScaleNormal="110" workbookViewId="0"/>
  </sheetViews>
  <sheetFormatPr baseColWidth="10" defaultRowHeight="15"/>
  <cols>
    <col min="2" max="2" width="3.7109375" bestFit="1" customWidth="1"/>
    <col min="3" max="3" width="71.5703125" customWidth="1"/>
    <col min="4" max="4" width="7.42578125" customWidth="1"/>
    <col min="5" max="5" width="7.28515625" customWidth="1"/>
    <col min="15" max="15" width="15" customWidth="1"/>
  </cols>
  <sheetData>
    <row r="2" spans="2:15" ht="15.75" thickBot="1">
      <c r="G2" s="391" t="s">
        <v>293</v>
      </c>
      <c r="H2" s="391"/>
      <c r="I2" s="391"/>
      <c r="J2" s="391"/>
      <c r="K2" s="391"/>
      <c r="L2" s="391"/>
      <c r="M2" s="391"/>
    </row>
    <row r="3" spans="2:15" ht="16.5" thickBot="1">
      <c r="B3" s="380" t="s">
        <v>18</v>
      </c>
      <c r="C3" s="381"/>
      <c r="D3" s="381"/>
      <c r="E3" s="382"/>
      <c r="G3" s="354" t="s">
        <v>12</v>
      </c>
      <c r="H3" s="354"/>
      <c r="I3" s="354" t="s">
        <v>18</v>
      </c>
      <c r="J3" s="354"/>
      <c r="K3" s="354"/>
      <c r="L3" s="354"/>
      <c r="M3" s="354"/>
      <c r="O3" s="101" t="s">
        <v>103</v>
      </c>
    </row>
    <row r="4" spans="2:15" ht="15.75" thickBot="1">
      <c r="B4" s="383" t="s">
        <v>212</v>
      </c>
      <c r="C4" s="383" t="s">
        <v>213</v>
      </c>
      <c r="D4" s="380" t="s">
        <v>214</v>
      </c>
      <c r="E4" s="382"/>
      <c r="G4" s="354"/>
      <c r="H4" s="354"/>
      <c r="I4" s="55">
        <v>20</v>
      </c>
      <c r="J4" s="55">
        <v>40</v>
      </c>
      <c r="K4" s="55">
        <v>60</v>
      </c>
      <c r="L4" s="55">
        <v>80</v>
      </c>
      <c r="M4" s="55">
        <v>100</v>
      </c>
      <c r="O4" s="102" t="s">
        <v>102</v>
      </c>
    </row>
    <row r="5" spans="2:15" ht="16.5" thickBot="1">
      <c r="B5" s="384"/>
      <c r="C5" s="384"/>
      <c r="D5" s="84" t="s">
        <v>215</v>
      </c>
      <c r="E5" s="84" t="s">
        <v>216</v>
      </c>
      <c r="G5" s="355" t="s">
        <v>0</v>
      </c>
      <c r="H5" s="55">
        <v>100</v>
      </c>
      <c r="I5" s="56" t="s">
        <v>102</v>
      </c>
      <c r="J5" s="56" t="s">
        <v>102</v>
      </c>
      <c r="K5" s="56" t="s">
        <v>102</v>
      </c>
      <c r="L5" s="56" t="s">
        <v>102</v>
      </c>
      <c r="M5" s="58" t="s">
        <v>103</v>
      </c>
      <c r="O5" s="103" t="s">
        <v>13</v>
      </c>
    </row>
    <row r="6" spans="2:15" ht="16.5" thickBot="1">
      <c r="B6" s="85">
        <v>1</v>
      </c>
      <c r="C6" s="37" t="s">
        <v>217</v>
      </c>
      <c r="D6" s="37"/>
      <c r="E6" s="37"/>
      <c r="G6" s="355"/>
      <c r="H6" s="55">
        <v>80</v>
      </c>
      <c r="I6" s="57" t="s">
        <v>13</v>
      </c>
      <c r="J6" s="57" t="s">
        <v>13</v>
      </c>
      <c r="K6" s="56" t="s">
        <v>102</v>
      </c>
      <c r="L6" s="56" t="s">
        <v>102</v>
      </c>
      <c r="M6" s="58" t="s">
        <v>103</v>
      </c>
      <c r="O6" s="104" t="s">
        <v>294</v>
      </c>
    </row>
    <row r="7" spans="2:15" ht="16.5" thickBot="1">
      <c r="B7" s="85">
        <v>2</v>
      </c>
      <c r="C7" s="37" t="s">
        <v>218</v>
      </c>
      <c r="D7" s="37"/>
      <c r="E7" s="37"/>
      <c r="G7" s="355"/>
      <c r="H7" s="55">
        <v>60</v>
      </c>
      <c r="I7" s="57" t="s">
        <v>13</v>
      </c>
      <c r="J7" s="57" t="s">
        <v>13</v>
      </c>
      <c r="K7" s="57" t="s">
        <v>13</v>
      </c>
      <c r="L7" s="56" t="s">
        <v>102</v>
      </c>
      <c r="M7" s="58" t="s">
        <v>103</v>
      </c>
    </row>
    <row r="8" spans="2:15" ht="16.5" thickBot="1">
      <c r="B8" s="85">
        <v>3</v>
      </c>
      <c r="C8" s="37" t="s">
        <v>219</v>
      </c>
      <c r="D8" s="37"/>
      <c r="E8" s="37"/>
      <c r="G8" s="355"/>
      <c r="H8" s="55">
        <v>40</v>
      </c>
      <c r="I8" s="59" t="s">
        <v>66</v>
      </c>
      <c r="J8" s="57" t="s">
        <v>13</v>
      </c>
      <c r="K8" s="57" t="s">
        <v>13</v>
      </c>
      <c r="L8" s="56" t="s">
        <v>102</v>
      </c>
      <c r="M8" s="58" t="s">
        <v>103</v>
      </c>
    </row>
    <row r="9" spans="2:15" ht="16.5" thickBot="1">
      <c r="B9" s="85">
        <v>4</v>
      </c>
      <c r="C9" s="37" t="s">
        <v>220</v>
      </c>
      <c r="D9" s="37"/>
      <c r="E9" s="37"/>
      <c r="G9" s="355"/>
      <c r="H9" s="55">
        <v>20</v>
      </c>
      <c r="I9" s="59" t="s">
        <v>66</v>
      </c>
      <c r="J9" s="59" t="s">
        <v>66</v>
      </c>
      <c r="K9" s="57" t="s">
        <v>13</v>
      </c>
      <c r="L9" s="56" t="s">
        <v>102</v>
      </c>
      <c r="M9" s="58" t="s">
        <v>103</v>
      </c>
    </row>
    <row r="10" spans="2:15" ht="15.75" thickBot="1">
      <c r="B10" s="85">
        <v>5</v>
      </c>
      <c r="C10" s="37" t="s">
        <v>221</v>
      </c>
      <c r="D10" s="37"/>
      <c r="E10" s="37"/>
      <c r="G10" s="355"/>
      <c r="H10" s="16"/>
      <c r="I10" s="55">
        <v>20</v>
      </c>
      <c r="J10" s="55">
        <v>40</v>
      </c>
      <c r="K10" s="55">
        <v>60</v>
      </c>
      <c r="L10" s="55">
        <v>80</v>
      </c>
      <c r="M10" s="55">
        <v>100</v>
      </c>
    </row>
    <row r="11" spans="2:15" ht="15.75" thickBot="1">
      <c r="B11" s="85">
        <v>6</v>
      </c>
      <c r="C11" s="37" t="s">
        <v>222</v>
      </c>
      <c r="D11" s="37"/>
      <c r="E11" s="37"/>
    </row>
    <row r="12" spans="2:15" ht="15.75" thickBot="1">
      <c r="B12" s="85">
        <v>7</v>
      </c>
      <c r="C12" s="37" t="s">
        <v>223</v>
      </c>
      <c r="D12" s="37"/>
      <c r="E12" s="37"/>
    </row>
    <row r="13" spans="2:15" ht="30.75" thickBot="1">
      <c r="B13" s="85">
        <v>8</v>
      </c>
      <c r="C13" s="37" t="s">
        <v>224</v>
      </c>
      <c r="D13" s="37"/>
      <c r="E13" s="37"/>
    </row>
    <row r="14" spans="2:15" ht="15.75" thickBot="1">
      <c r="B14" s="85">
        <v>9</v>
      </c>
      <c r="C14" s="37" t="s">
        <v>225</v>
      </c>
      <c r="D14" s="37"/>
      <c r="E14" s="37"/>
    </row>
    <row r="15" spans="2:15" ht="15.75" thickBot="1">
      <c r="B15" s="85">
        <v>10</v>
      </c>
      <c r="C15" s="37" t="s">
        <v>226</v>
      </c>
      <c r="D15" s="37"/>
      <c r="E15" s="37"/>
    </row>
    <row r="16" spans="2:15" ht="15.75" thickBot="1">
      <c r="B16" s="85">
        <v>11</v>
      </c>
      <c r="C16" s="37" t="s">
        <v>227</v>
      </c>
      <c r="D16" s="37"/>
      <c r="E16" s="37"/>
    </row>
    <row r="17" spans="2:5" ht="15.75" thickBot="1">
      <c r="B17" s="85">
        <v>12</v>
      </c>
      <c r="C17" s="37" t="s">
        <v>228</v>
      </c>
      <c r="D17" s="37"/>
      <c r="E17" s="37"/>
    </row>
    <row r="18" spans="2:5" ht="15.75" thickBot="1">
      <c r="B18" s="85">
        <v>13</v>
      </c>
      <c r="C18" s="37" t="s">
        <v>229</v>
      </c>
      <c r="D18" s="37"/>
      <c r="E18" s="37"/>
    </row>
    <row r="19" spans="2:5" ht="15.75" thickBot="1">
      <c r="B19" s="85">
        <v>14</v>
      </c>
      <c r="C19" s="37" t="s">
        <v>230</v>
      </c>
      <c r="D19" s="37"/>
      <c r="E19" s="37"/>
    </row>
    <row r="20" spans="2:5" ht="15.75" thickBot="1">
      <c r="B20" s="85">
        <v>15</v>
      </c>
      <c r="C20" s="37" t="s">
        <v>231</v>
      </c>
      <c r="D20" s="37"/>
      <c r="E20" s="37"/>
    </row>
    <row r="21" spans="2:5" ht="15.75" thickBot="1">
      <c r="B21" s="85">
        <v>16</v>
      </c>
      <c r="C21" s="37" t="s">
        <v>232</v>
      </c>
      <c r="D21" s="37"/>
      <c r="E21" s="37"/>
    </row>
    <row r="22" spans="2:5" ht="15.75" thickBot="1">
      <c r="B22" s="85">
        <v>17</v>
      </c>
      <c r="C22" s="37" t="s">
        <v>233</v>
      </c>
      <c r="D22" s="37"/>
      <c r="E22" s="37"/>
    </row>
    <row r="23" spans="2:5" ht="15.75" thickBot="1">
      <c r="B23" s="85">
        <v>18</v>
      </c>
      <c r="C23" s="37" t="s">
        <v>234</v>
      </c>
      <c r="D23" s="37"/>
      <c r="E23" s="37"/>
    </row>
    <row r="24" spans="2:5" ht="15.75" thickBot="1">
      <c r="B24" s="85">
        <v>19</v>
      </c>
      <c r="C24" s="37" t="s">
        <v>235</v>
      </c>
      <c r="D24" s="37"/>
      <c r="E24" s="37"/>
    </row>
    <row r="25" spans="2:5" ht="15" customHeight="1">
      <c r="B25" s="385" t="s">
        <v>236</v>
      </c>
      <c r="C25" s="386"/>
      <c r="D25" s="386"/>
      <c r="E25" s="387"/>
    </row>
    <row r="26" spans="2:5">
      <c r="B26" s="388" t="s">
        <v>241</v>
      </c>
      <c r="C26" s="389"/>
      <c r="D26" s="389"/>
      <c r="E26" s="390"/>
    </row>
    <row r="27" spans="2:5" ht="15.75" thickBot="1">
      <c r="B27" s="392" t="s">
        <v>237</v>
      </c>
      <c r="C27" s="393"/>
      <c r="D27" s="393"/>
      <c r="E27" s="394"/>
    </row>
    <row r="28" spans="2:5" ht="15.75" thickBot="1">
      <c r="B28" s="377" t="s">
        <v>238</v>
      </c>
      <c r="C28" s="378"/>
      <c r="D28" s="378"/>
      <c r="E28" s="379"/>
    </row>
    <row r="29" spans="2:5" ht="15.75" thickBot="1">
      <c r="B29" s="377" t="s">
        <v>239</v>
      </c>
      <c r="C29" s="378"/>
      <c r="D29" s="378"/>
      <c r="E29" s="379"/>
    </row>
    <row r="30" spans="2:5" ht="15.75" thickBot="1">
      <c r="B30" s="377" t="s">
        <v>240</v>
      </c>
      <c r="C30" s="378"/>
      <c r="D30" s="378"/>
      <c r="E30" s="379"/>
    </row>
  </sheetData>
  <mergeCells count="14">
    <mergeCell ref="G3:H4"/>
    <mergeCell ref="I3:M3"/>
    <mergeCell ref="G5:G10"/>
    <mergeCell ref="G2:M2"/>
    <mergeCell ref="B27:E27"/>
    <mergeCell ref="B28:E28"/>
    <mergeCell ref="B29:E29"/>
    <mergeCell ref="B30:E30"/>
    <mergeCell ref="B3:E3"/>
    <mergeCell ref="B4:B5"/>
    <mergeCell ref="C4:C5"/>
    <mergeCell ref="D4:E4"/>
    <mergeCell ref="B25:E25"/>
    <mergeCell ref="B26:E2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8"/>
  <sheetViews>
    <sheetView topLeftCell="A8" workbookViewId="0">
      <selection activeCell="C10" sqref="C10"/>
    </sheetView>
  </sheetViews>
  <sheetFormatPr baseColWidth="10" defaultRowHeight="15"/>
  <cols>
    <col min="2" max="2" width="32.85546875" customWidth="1"/>
    <col min="3" max="3" width="25.85546875" customWidth="1"/>
    <col min="4" max="4" width="28.5703125" customWidth="1"/>
  </cols>
  <sheetData>
    <row r="2" spans="2:4" ht="15.75" thickBot="1"/>
    <row r="3" spans="2:4" ht="30.75" thickBot="1">
      <c r="B3" s="105" t="s">
        <v>323</v>
      </c>
    </row>
    <row r="4" spans="2:4" ht="15.75" thickBot="1">
      <c r="B4" s="107" t="s">
        <v>320</v>
      </c>
    </row>
    <row r="5" spans="2:4" ht="15.75" thickBot="1">
      <c r="B5" s="107" t="s">
        <v>321</v>
      </c>
    </row>
    <row r="6" spans="2:4" ht="16.5" customHeight="1" thickBot="1">
      <c r="B6" s="110" t="s">
        <v>322</v>
      </c>
    </row>
    <row r="7" spans="2:4">
      <c r="B7" s="109"/>
    </row>
    <row r="11" spans="2:4" ht="15.75" thickBot="1"/>
    <row r="12" spans="2:4" ht="30.75" thickBot="1">
      <c r="B12" s="105" t="s">
        <v>298</v>
      </c>
      <c r="C12" s="106" t="s">
        <v>301</v>
      </c>
      <c r="D12" s="106" t="s">
        <v>302</v>
      </c>
    </row>
    <row r="13" spans="2:4" ht="30.75" thickBot="1">
      <c r="B13" s="107" t="s">
        <v>303</v>
      </c>
      <c r="C13" s="108" t="s">
        <v>304</v>
      </c>
      <c r="D13" s="108" t="s">
        <v>305</v>
      </c>
    </row>
    <row r="14" spans="2:4" ht="30.75" thickBot="1">
      <c r="B14" s="107" t="s">
        <v>306</v>
      </c>
      <c r="C14" s="108" t="s">
        <v>307</v>
      </c>
      <c r="D14" s="108" t="s">
        <v>308</v>
      </c>
    </row>
    <row r="15" spans="2:4" ht="30.75" thickBot="1">
      <c r="B15" s="107" t="s">
        <v>309</v>
      </c>
      <c r="C15" s="108" t="s">
        <v>310</v>
      </c>
      <c r="D15" s="108" t="s">
        <v>311</v>
      </c>
    </row>
    <row r="16" spans="2:4" ht="45.75" thickBot="1">
      <c r="B16" s="107" t="s">
        <v>312</v>
      </c>
      <c r="C16" s="108" t="s">
        <v>313</v>
      </c>
      <c r="D16" s="108" t="s">
        <v>314</v>
      </c>
    </row>
    <row r="17" spans="2:4" ht="30.75" thickBot="1">
      <c r="B17" s="107" t="s">
        <v>315</v>
      </c>
      <c r="C17" s="108" t="s">
        <v>316</v>
      </c>
      <c r="D17" s="108" t="s">
        <v>317</v>
      </c>
    </row>
    <row r="18" spans="2:4" ht="30.75" thickBot="1">
      <c r="B18" s="107" t="s">
        <v>318</v>
      </c>
      <c r="C18" s="108" t="s">
        <v>319</v>
      </c>
      <c r="D18" s="108"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K476"/>
  <sheetViews>
    <sheetView topLeftCell="AA24" zoomScale="50" zoomScaleNormal="50" zoomScaleSheetLayoutView="55" workbookViewId="0">
      <selection activeCell="E31" sqref="E31"/>
    </sheetView>
  </sheetViews>
  <sheetFormatPr baseColWidth="10" defaultRowHeight="14.25"/>
  <cols>
    <col min="1" max="1" width="5.140625" style="2" customWidth="1"/>
    <col min="2" max="2" width="8.140625" style="2" customWidth="1"/>
    <col min="3" max="3" width="15.28515625" style="2" customWidth="1"/>
    <col min="4" max="4" width="16.28515625" style="2" customWidth="1"/>
    <col min="5" max="10" width="30.140625" style="2" customWidth="1"/>
    <col min="11" max="11" width="18" style="2" customWidth="1"/>
    <col min="12" max="12" width="11.5703125" style="2" customWidth="1"/>
    <col min="13" max="13" width="4.7109375" style="2" hidden="1" customWidth="1"/>
    <col min="14" max="14" width="15.140625" style="4" bestFit="1" customWidth="1"/>
    <col min="15" max="15" width="4.7109375" style="45" hidden="1" customWidth="1"/>
    <col min="16" max="16" width="15.5703125" style="2" hidden="1" customWidth="1"/>
    <col min="17" max="17" width="17.140625" style="2" customWidth="1"/>
    <col min="18" max="18" width="77.42578125" style="2" customWidth="1"/>
    <col min="19" max="19" width="15.140625" style="2" customWidth="1"/>
    <col min="20" max="20" width="3.42578125" style="2" hidden="1" customWidth="1"/>
    <col min="21" max="21" width="20.140625" style="2" customWidth="1"/>
    <col min="22" max="22" width="4.7109375" style="2" hidden="1" customWidth="1"/>
    <col min="23" max="23" width="22.28515625" style="2" customWidth="1"/>
    <col min="24" max="24" width="4.7109375" style="2" hidden="1" customWidth="1"/>
    <col min="25" max="25" width="23.28515625" style="2" customWidth="1"/>
    <col min="26" max="26" width="4.7109375" style="2" hidden="1" customWidth="1"/>
    <col min="27" max="27" width="17.140625" style="2" customWidth="1"/>
    <col min="28" max="28" width="4.7109375" style="2" hidden="1" customWidth="1"/>
    <col min="29" max="29" width="22.85546875" style="2" customWidth="1"/>
    <col min="30" max="30" width="4.7109375" style="2" hidden="1" customWidth="1"/>
    <col min="31" max="31" width="25.5703125" style="2" customWidth="1"/>
    <col min="32" max="32" width="4.7109375" style="2" hidden="1" customWidth="1"/>
    <col min="33" max="33" width="6.42578125" style="2" hidden="1" customWidth="1"/>
    <col min="34" max="34" width="13.42578125" style="2" bestFit="1" customWidth="1"/>
    <col min="35" max="35" width="32.140625" style="2" hidden="1" customWidth="1"/>
    <col min="36" max="36" width="25.7109375" style="2" hidden="1" customWidth="1"/>
    <col min="37" max="37" width="13.7109375" style="2" hidden="1" customWidth="1"/>
    <col min="38" max="38" width="18.42578125" style="2" customWidth="1"/>
    <col min="39" max="39" width="18.85546875" style="2" bestFit="1" customWidth="1"/>
    <col min="40" max="40" width="14.140625" style="2" bestFit="1" customWidth="1"/>
    <col min="41" max="41" width="61.7109375" style="1" customWidth="1"/>
    <col min="42" max="42" width="22.140625" style="2" customWidth="1"/>
    <col min="43" max="43" width="15.5703125" style="2" bestFit="1" customWidth="1"/>
    <col min="44" max="44" width="20.7109375" style="2" customWidth="1"/>
    <col min="45" max="45" width="12.140625" style="2" bestFit="1" customWidth="1"/>
    <col min="46" max="46" width="16.42578125" style="2" customWidth="1"/>
    <col min="47" max="16384" width="11.42578125" style="2"/>
  </cols>
  <sheetData>
    <row r="1" spans="2:63" ht="15">
      <c r="B1" s="12"/>
      <c r="C1" s="12"/>
      <c r="D1" s="12"/>
      <c r="E1" s="12"/>
      <c r="F1" s="7"/>
      <c r="G1" s="215"/>
      <c r="H1" s="215"/>
      <c r="I1" s="215"/>
      <c r="J1" s="215"/>
      <c r="K1" s="215"/>
      <c r="L1" s="7"/>
      <c r="M1" s="7"/>
      <c r="N1" s="215"/>
      <c r="O1" s="215"/>
      <c r="P1" s="215"/>
      <c r="Q1" s="215"/>
      <c r="R1" s="215"/>
      <c r="S1" s="215"/>
      <c r="T1" s="215"/>
      <c r="U1" s="215"/>
      <c r="V1" s="3"/>
      <c r="W1" s="3"/>
      <c r="X1" s="3"/>
      <c r="Y1" s="3"/>
      <c r="Z1" s="3"/>
      <c r="AA1" s="3"/>
      <c r="AB1" s="3"/>
      <c r="AC1" s="3"/>
      <c r="AD1" s="3"/>
      <c r="AE1" s="3"/>
      <c r="AF1" s="3"/>
      <c r="AG1" s="3"/>
      <c r="AH1" s="3"/>
      <c r="AI1" s="3"/>
      <c r="AJ1" s="3"/>
      <c r="AK1" s="3"/>
      <c r="AL1" s="3"/>
      <c r="AM1" s="7"/>
      <c r="AN1" s="7"/>
      <c r="AO1" s="7"/>
      <c r="AP1" s="7"/>
    </row>
    <row r="2" spans="2:63" s="8" customFormat="1" ht="15">
      <c r="B2" s="10"/>
      <c r="C2" s="10"/>
      <c r="D2" s="10"/>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Q2" s="2"/>
      <c r="AR2" s="2"/>
      <c r="AS2" s="2"/>
      <c r="AT2" s="2"/>
      <c r="AU2" s="2"/>
      <c r="AV2" s="2"/>
      <c r="AW2" s="2"/>
      <c r="AX2" s="2"/>
      <c r="AY2" s="2"/>
      <c r="AZ2" s="2"/>
      <c r="BA2" s="2"/>
      <c r="BB2" s="2"/>
      <c r="BC2" s="2"/>
      <c r="BD2" s="2"/>
      <c r="BE2" s="2"/>
      <c r="BF2" s="2"/>
      <c r="BG2" s="2"/>
      <c r="BH2" s="2"/>
      <c r="BI2" s="2"/>
      <c r="BJ2" s="2"/>
      <c r="BK2" s="2"/>
    </row>
    <row r="3" spans="2:63" ht="33" customHeight="1">
      <c r="B3" s="217" t="s">
        <v>11</v>
      </c>
      <c r="C3" s="217"/>
      <c r="D3" s="217"/>
      <c r="E3" s="217"/>
      <c r="F3" s="217"/>
      <c r="G3" s="217"/>
      <c r="H3" s="217"/>
      <c r="I3" s="217"/>
      <c r="J3" s="217"/>
      <c r="K3" s="217"/>
      <c r="L3" s="217" t="s">
        <v>8</v>
      </c>
      <c r="M3" s="217"/>
      <c r="N3" s="217"/>
      <c r="O3" s="217"/>
      <c r="P3" s="217"/>
      <c r="Q3" s="217"/>
      <c r="R3" s="217" t="s">
        <v>19</v>
      </c>
      <c r="S3" s="217"/>
      <c r="T3" s="217"/>
      <c r="U3" s="217"/>
      <c r="V3" s="217"/>
      <c r="W3" s="217"/>
      <c r="X3" s="217"/>
      <c r="Y3" s="217"/>
      <c r="Z3" s="217"/>
      <c r="AA3" s="217"/>
      <c r="AB3" s="217"/>
      <c r="AC3" s="217"/>
      <c r="AD3" s="217"/>
      <c r="AE3" s="217"/>
      <c r="AF3" s="217"/>
      <c r="AG3" s="217"/>
      <c r="AH3" s="217"/>
      <c r="AI3" s="217"/>
      <c r="AJ3" s="217"/>
      <c r="AK3" s="217"/>
      <c r="AL3" s="217"/>
      <c r="AM3" s="217"/>
      <c r="AN3" s="218" t="s">
        <v>1</v>
      </c>
      <c r="AO3" s="219"/>
      <c r="AP3" s="219"/>
      <c r="AQ3" s="219"/>
      <c r="AR3" s="219"/>
      <c r="AS3" s="219"/>
      <c r="AT3" s="220"/>
    </row>
    <row r="4" spans="2:63" ht="30" customHeight="1">
      <c r="B4" s="222" t="s">
        <v>21</v>
      </c>
      <c r="C4" s="206" t="s">
        <v>690</v>
      </c>
      <c r="D4" s="206" t="s">
        <v>691</v>
      </c>
      <c r="E4" s="221" t="s">
        <v>22</v>
      </c>
      <c r="F4" s="221" t="s">
        <v>325</v>
      </c>
      <c r="G4" s="221" t="s">
        <v>324</v>
      </c>
      <c r="H4" s="223" t="s">
        <v>326</v>
      </c>
      <c r="I4" s="223" t="s">
        <v>25</v>
      </c>
      <c r="J4" s="223" t="s">
        <v>49</v>
      </c>
      <c r="K4" s="223" t="s">
        <v>75</v>
      </c>
      <c r="L4" s="221" t="s">
        <v>27</v>
      </c>
      <c r="M4" s="66"/>
      <c r="N4" s="221" t="s">
        <v>28</v>
      </c>
      <c r="O4" s="221"/>
      <c r="P4" s="221" t="s">
        <v>29</v>
      </c>
      <c r="Q4" s="221"/>
      <c r="R4" s="221" t="s">
        <v>30</v>
      </c>
      <c r="S4" s="221" t="s">
        <v>244</v>
      </c>
      <c r="T4" s="221"/>
      <c r="U4" s="221"/>
      <c r="V4" s="66"/>
      <c r="W4" s="312" t="s">
        <v>281</v>
      </c>
      <c r="X4" s="313"/>
      <c r="Y4" s="313"/>
      <c r="Z4" s="313"/>
      <c r="AA4" s="313"/>
      <c r="AB4" s="313"/>
      <c r="AC4" s="313"/>
      <c r="AD4" s="313"/>
      <c r="AE4" s="314"/>
      <c r="AF4" s="66"/>
      <c r="AG4" s="66"/>
      <c r="AH4" s="89"/>
      <c r="AI4" s="94" t="s">
        <v>282</v>
      </c>
      <c r="AJ4" s="95"/>
      <c r="AK4" s="96"/>
      <c r="AL4" s="96"/>
      <c r="AM4" s="221" t="s">
        <v>15</v>
      </c>
      <c r="AN4" s="221" t="s">
        <v>42</v>
      </c>
      <c r="AO4" s="221" t="s">
        <v>43</v>
      </c>
      <c r="AP4" s="227" t="s">
        <v>44</v>
      </c>
      <c r="AQ4" s="225" t="s">
        <v>45</v>
      </c>
      <c r="AR4" s="225" t="s">
        <v>47</v>
      </c>
      <c r="AS4" s="225" t="s">
        <v>46</v>
      </c>
      <c r="AT4" s="225" t="s">
        <v>48</v>
      </c>
    </row>
    <row r="5" spans="2:63" ht="108" customHeight="1">
      <c r="B5" s="222"/>
      <c r="C5" s="208"/>
      <c r="D5" s="208"/>
      <c r="E5" s="221"/>
      <c r="F5" s="221"/>
      <c r="G5" s="221"/>
      <c r="H5" s="224"/>
      <c r="I5" s="224"/>
      <c r="J5" s="224"/>
      <c r="K5" s="224"/>
      <c r="L5" s="221"/>
      <c r="M5" s="66"/>
      <c r="N5" s="221"/>
      <c r="O5" s="221"/>
      <c r="P5" s="221"/>
      <c r="Q5" s="221"/>
      <c r="R5" s="221"/>
      <c r="S5" s="24" t="s">
        <v>245</v>
      </c>
      <c r="T5" s="24"/>
      <c r="U5" s="24" t="s">
        <v>169</v>
      </c>
      <c r="V5" s="24"/>
      <c r="W5" s="310" t="s">
        <v>173</v>
      </c>
      <c r="X5" s="311"/>
      <c r="Y5" s="310" t="s">
        <v>177</v>
      </c>
      <c r="Z5" s="311"/>
      <c r="AA5" s="310" t="s">
        <v>246</v>
      </c>
      <c r="AB5" s="311"/>
      <c r="AC5" s="310" t="s">
        <v>187</v>
      </c>
      <c r="AD5" s="311"/>
      <c r="AE5" s="310" t="s">
        <v>247</v>
      </c>
      <c r="AF5" s="311"/>
      <c r="AG5" s="24"/>
      <c r="AH5" s="24"/>
      <c r="AI5" s="24"/>
      <c r="AJ5" s="24"/>
      <c r="AK5" s="24"/>
      <c r="AL5" s="24"/>
      <c r="AM5" s="221"/>
      <c r="AN5" s="221"/>
      <c r="AO5" s="221"/>
      <c r="AP5" s="228"/>
      <c r="AQ5" s="226"/>
      <c r="AR5" s="226"/>
      <c r="AS5" s="226"/>
      <c r="AT5" s="226"/>
    </row>
    <row r="6" spans="2:63" ht="9.75" customHeight="1">
      <c r="B6" s="133"/>
      <c r="C6" s="133"/>
      <c r="D6" s="133"/>
      <c r="E6" s="133"/>
      <c r="F6" s="133"/>
      <c r="G6" s="133"/>
      <c r="H6" s="133"/>
      <c r="I6" s="133"/>
      <c r="J6" s="133"/>
      <c r="K6" s="133"/>
      <c r="L6" s="133"/>
      <c r="M6" s="133"/>
      <c r="N6" s="133"/>
      <c r="O6" s="142"/>
      <c r="P6" s="133"/>
      <c r="Q6" s="133"/>
      <c r="R6" s="133"/>
      <c r="S6" s="143"/>
      <c r="T6" s="143"/>
      <c r="U6" s="143"/>
      <c r="V6" s="143"/>
      <c r="W6" s="143"/>
      <c r="X6" s="143"/>
      <c r="Y6" s="143"/>
      <c r="Z6" s="143"/>
      <c r="AA6" s="143"/>
      <c r="AB6" s="143"/>
      <c r="AC6" s="143"/>
      <c r="AD6" s="143"/>
      <c r="AE6" s="143"/>
      <c r="AF6" s="143"/>
      <c r="AG6" s="143"/>
      <c r="AH6" s="143"/>
      <c r="AI6" s="143"/>
      <c r="AJ6" s="143"/>
      <c r="AK6" s="143"/>
      <c r="AL6" s="143"/>
      <c r="AM6" s="133"/>
      <c r="AN6" s="133"/>
      <c r="AO6" s="133"/>
      <c r="AP6" s="116"/>
      <c r="AQ6" s="116"/>
      <c r="AR6" s="116"/>
      <c r="AS6" s="116"/>
      <c r="AT6" s="116"/>
    </row>
    <row r="7" spans="2:63" ht="64.5" customHeight="1">
      <c r="B7" s="398">
        <v>13</v>
      </c>
      <c r="C7" s="144" t="s">
        <v>692</v>
      </c>
      <c r="D7" s="144" t="s">
        <v>529</v>
      </c>
      <c r="E7" s="144" t="s">
        <v>436</v>
      </c>
      <c r="F7" s="144" t="s">
        <v>437</v>
      </c>
      <c r="G7" s="144" t="s">
        <v>438</v>
      </c>
      <c r="H7" s="144" t="s">
        <v>439</v>
      </c>
      <c r="I7" s="145" t="s">
        <v>432</v>
      </c>
      <c r="J7" s="144" t="s">
        <v>243</v>
      </c>
      <c r="K7" s="144" t="s">
        <v>206</v>
      </c>
      <c r="L7" s="116" t="str">
        <f>VLOOKUP(K7,'PARAMETROS RIESGOS DE CORRUPCIÓ'!$D$24:$E$28,2,0)</f>
        <v>Rara Vez</v>
      </c>
      <c r="M7" s="146">
        <f t="shared" ref="M7:M10" si="0">IF(L7="Rara vez",20,IF(L7="Improbable",40,IF(L7="Posible",60,IF(L7="Probable",80,IF(L7="Casi seguro",100)))))</f>
        <v>20</v>
      </c>
      <c r="N7" s="147" t="s">
        <v>100</v>
      </c>
      <c r="O7" s="15">
        <f t="shared" ref="O7:O9" si="1">IF(N7="leve",20,IF(N7="Menor",40,IF(N7="Moderado",60,IF(N7="Mayor",80,IF(N7="Catastrófico",100,0)))))</f>
        <v>80</v>
      </c>
      <c r="P7" s="144">
        <f>VALUE(_xlfn.CONCAT('Riesgos Corrupción'!M7,O7))</f>
        <v>2080</v>
      </c>
      <c r="Q7" s="148" t="str">
        <f>VLOOKUP(P7,'Zona de riesgo'!$L$12:$M$26,2)</f>
        <v>Moderado</v>
      </c>
      <c r="R7" s="166" t="s">
        <v>440</v>
      </c>
      <c r="S7" s="149" t="s">
        <v>167</v>
      </c>
      <c r="T7" s="144">
        <v>15</v>
      </c>
      <c r="U7" s="150" t="s">
        <v>170</v>
      </c>
      <c r="V7" s="129" t="str">
        <f t="shared" ref="V7:V14" si="2">+IF(U7="Adecuado","15","0")</f>
        <v>15</v>
      </c>
      <c r="W7" s="149" t="s">
        <v>174</v>
      </c>
      <c r="X7" s="144">
        <v>15</v>
      </c>
      <c r="Y7" s="150" t="s">
        <v>178</v>
      </c>
      <c r="Z7" s="144">
        <v>15</v>
      </c>
      <c r="AA7" s="145" t="s">
        <v>184</v>
      </c>
      <c r="AB7" s="144">
        <v>15</v>
      </c>
      <c r="AC7" s="145" t="s">
        <v>248</v>
      </c>
      <c r="AD7" s="145">
        <v>15</v>
      </c>
      <c r="AE7" s="145" t="s">
        <v>192</v>
      </c>
      <c r="AF7" s="145">
        <v>10</v>
      </c>
      <c r="AG7" s="22">
        <f t="shared" ref="AG7:AG11" si="3">T7+V7+X7+Z7+AB7+AD7+AF7</f>
        <v>100</v>
      </c>
      <c r="AH7" s="145" t="str">
        <f>IF(AG7&lt;86,"DÉBIL",IF(AG7&lt;96,"MODERADO",IF(AG7&lt;101,"FUERTE")))</f>
        <v>FUERTE</v>
      </c>
      <c r="AI7" s="145" t="s">
        <v>251</v>
      </c>
      <c r="AJ7" s="129" t="str">
        <f t="shared" ref="AJ7:AJ15" si="4">_xlfn.CONCAT(AH7,AI7)</f>
        <v>FUERTEFUERTE</v>
      </c>
      <c r="AK7" s="151">
        <f>T7+V7+X7+Z7+AB7+AD7+AF7</f>
        <v>100</v>
      </c>
      <c r="AL7" s="145" t="s">
        <v>251</v>
      </c>
      <c r="AM7" s="159" t="s">
        <v>294</v>
      </c>
      <c r="AN7" s="152" t="s">
        <v>397</v>
      </c>
      <c r="AO7" s="144" t="s">
        <v>442</v>
      </c>
      <c r="AP7" s="144" t="s">
        <v>443</v>
      </c>
      <c r="AQ7" s="153">
        <v>44735</v>
      </c>
      <c r="AR7" s="153">
        <v>44858</v>
      </c>
      <c r="AS7" s="144" t="s">
        <v>444</v>
      </c>
      <c r="AT7" s="144"/>
    </row>
    <row r="8" spans="2:63" ht="64.5" customHeight="1">
      <c r="B8" s="398">
        <v>14</v>
      </c>
      <c r="C8" s="144" t="s">
        <v>692</v>
      </c>
      <c r="D8" s="144" t="s">
        <v>529</v>
      </c>
      <c r="E8" s="144" t="s">
        <v>445</v>
      </c>
      <c r="F8" s="144" t="s">
        <v>446</v>
      </c>
      <c r="G8" s="144" t="s">
        <v>447</v>
      </c>
      <c r="H8" s="144" t="s">
        <v>448</v>
      </c>
      <c r="I8" s="145" t="s">
        <v>432</v>
      </c>
      <c r="J8" s="144" t="s">
        <v>243</v>
      </c>
      <c r="K8" s="144" t="s">
        <v>206</v>
      </c>
      <c r="L8" s="116" t="str">
        <f>VLOOKUP(K8,'PARAMETROS RIESGOS DE CORRUPCIÓ'!$D$24:$E$28,2,0)</f>
        <v>Rara Vez</v>
      </c>
      <c r="M8" s="146">
        <f t="shared" si="0"/>
        <v>20</v>
      </c>
      <c r="N8" s="147" t="s">
        <v>100</v>
      </c>
      <c r="O8" s="15">
        <f t="shared" si="1"/>
        <v>80</v>
      </c>
      <c r="P8" s="144">
        <f>VALUE(_xlfn.CONCAT('Riesgos Corrupción'!M8,O8))</f>
        <v>2080</v>
      </c>
      <c r="Q8" s="148" t="str">
        <f>VLOOKUP(P8,'Zona de riesgo'!$L$12:$M$26,2)</f>
        <v>Moderado</v>
      </c>
      <c r="R8" s="166" t="s">
        <v>449</v>
      </c>
      <c r="S8" s="149" t="s">
        <v>167</v>
      </c>
      <c r="T8" s="144">
        <v>15</v>
      </c>
      <c r="U8" s="150" t="s">
        <v>170</v>
      </c>
      <c r="V8" s="129" t="str">
        <f t="shared" si="2"/>
        <v>15</v>
      </c>
      <c r="W8" s="149" t="s">
        <v>174</v>
      </c>
      <c r="X8" s="144">
        <v>15</v>
      </c>
      <c r="Y8" s="150" t="s">
        <v>178</v>
      </c>
      <c r="Z8" s="144">
        <v>15</v>
      </c>
      <c r="AA8" s="145" t="s">
        <v>184</v>
      </c>
      <c r="AB8" s="144">
        <v>15</v>
      </c>
      <c r="AC8" s="145" t="s">
        <v>248</v>
      </c>
      <c r="AD8" s="145">
        <v>15</v>
      </c>
      <c r="AE8" s="145" t="s">
        <v>192</v>
      </c>
      <c r="AF8" s="145">
        <v>10</v>
      </c>
      <c r="AG8" s="22">
        <f t="shared" si="3"/>
        <v>100</v>
      </c>
      <c r="AH8" s="145" t="str">
        <f t="shared" ref="AH8:AH18" si="5">IF(AG8&lt;86,"DÉBIL",IF(AG8&lt;96,"MODERADO",IF(AG8&lt;101,"FUERTE")))</f>
        <v>FUERTE</v>
      </c>
      <c r="AI8" s="145" t="s">
        <v>251</v>
      </c>
      <c r="AJ8" s="129" t="str">
        <f t="shared" si="4"/>
        <v>FUERTEFUERTE</v>
      </c>
      <c r="AK8" s="151">
        <f t="shared" ref="AK8:AK17" si="6">T8+V8+X8+Z8+AB8+AD8+AF8</f>
        <v>100</v>
      </c>
      <c r="AL8" s="145" t="s">
        <v>251</v>
      </c>
      <c r="AM8" s="159" t="s">
        <v>294</v>
      </c>
      <c r="AN8" s="152" t="s">
        <v>397</v>
      </c>
      <c r="AO8" s="144" t="s">
        <v>450</v>
      </c>
      <c r="AP8" s="144" t="s">
        <v>443</v>
      </c>
      <c r="AQ8" s="153">
        <v>44735</v>
      </c>
      <c r="AR8" s="153">
        <v>44858</v>
      </c>
      <c r="AS8" s="144" t="s">
        <v>444</v>
      </c>
      <c r="AT8" s="144"/>
    </row>
    <row r="9" spans="2:63" ht="121.5" customHeight="1">
      <c r="B9" s="398">
        <v>15</v>
      </c>
      <c r="C9" s="144" t="s">
        <v>708</v>
      </c>
      <c r="D9" s="144" t="s">
        <v>709</v>
      </c>
      <c r="E9" s="144" t="s">
        <v>428</v>
      </c>
      <c r="F9" s="144" t="s">
        <v>429</v>
      </c>
      <c r="G9" s="144" t="s">
        <v>430</v>
      </c>
      <c r="H9" s="145" t="s">
        <v>431</v>
      </c>
      <c r="I9" s="145" t="s">
        <v>432</v>
      </c>
      <c r="J9" s="144" t="s">
        <v>243</v>
      </c>
      <c r="K9" s="144" t="s">
        <v>206</v>
      </c>
      <c r="L9" s="116" t="str">
        <f>VLOOKUP(K9,'PARAMETROS RIESGOS DE CORRUPCIÓ'!$D$24:$E$28,2,0)</f>
        <v>Rara Vez</v>
      </c>
      <c r="M9" s="146">
        <f t="shared" si="0"/>
        <v>20</v>
      </c>
      <c r="N9" s="154" t="s">
        <v>101</v>
      </c>
      <c r="O9" s="15">
        <f t="shared" si="1"/>
        <v>100</v>
      </c>
      <c r="P9" s="144">
        <f>VALUE(_xlfn.CONCAT('Riesgos Corrupción'!M9,O9))</f>
        <v>20100</v>
      </c>
      <c r="Q9" s="148" t="str">
        <f>VLOOKUP(P9,'Zona de riesgo'!$L$12:$M$26,2)</f>
        <v>Alto</v>
      </c>
      <c r="R9" s="166" t="s">
        <v>433</v>
      </c>
      <c r="S9" s="145" t="s">
        <v>167</v>
      </c>
      <c r="T9" s="144">
        <v>15</v>
      </c>
      <c r="U9" s="145" t="s">
        <v>170</v>
      </c>
      <c r="V9" s="129" t="str">
        <f t="shared" si="2"/>
        <v>15</v>
      </c>
      <c r="W9" s="145" t="s">
        <v>174</v>
      </c>
      <c r="X9" s="144">
        <v>15</v>
      </c>
      <c r="Y9" s="145" t="s">
        <v>178</v>
      </c>
      <c r="Z9" s="144">
        <v>15</v>
      </c>
      <c r="AA9" s="145" t="s">
        <v>184</v>
      </c>
      <c r="AB9" s="144">
        <v>15</v>
      </c>
      <c r="AC9" s="145" t="s">
        <v>248</v>
      </c>
      <c r="AD9" s="145">
        <v>15</v>
      </c>
      <c r="AE9" s="145" t="s">
        <v>192</v>
      </c>
      <c r="AF9" s="145">
        <v>10</v>
      </c>
      <c r="AG9" s="22">
        <f t="shared" si="3"/>
        <v>100</v>
      </c>
      <c r="AH9" s="145" t="str">
        <f t="shared" si="5"/>
        <v>FUERTE</v>
      </c>
      <c r="AI9" s="145" t="s">
        <v>251</v>
      </c>
      <c r="AJ9" s="129" t="str">
        <f t="shared" si="4"/>
        <v>FUERTEFUERTE</v>
      </c>
      <c r="AK9" s="151">
        <f t="shared" si="6"/>
        <v>100</v>
      </c>
      <c r="AL9" s="145" t="s">
        <v>251</v>
      </c>
      <c r="AM9" s="155" t="s">
        <v>13</v>
      </c>
      <c r="AN9" s="152" t="s">
        <v>397</v>
      </c>
      <c r="AO9" s="144" t="s">
        <v>434</v>
      </c>
      <c r="AP9" s="144" t="s">
        <v>435</v>
      </c>
      <c r="AQ9" s="156">
        <v>44803</v>
      </c>
      <c r="AR9" s="144" t="s">
        <v>365</v>
      </c>
      <c r="AS9" s="144"/>
      <c r="AT9" s="144"/>
    </row>
    <row r="10" spans="2:63" ht="114">
      <c r="B10" s="398">
        <v>16</v>
      </c>
      <c r="C10" s="144" t="s">
        <v>694</v>
      </c>
      <c r="D10" s="165" t="s">
        <v>710</v>
      </c>
      <c r="E10" s="116" t="s">
        <v>702</v>
      </c>
      <c r="F10" s="116" t="s">
        <v>703</v>
      </c>
      <c r="G10" s="116" t="s">
        <v>704</v>
      </c>
      <c r="H10" s="116" t="s">
        <v>705</v>
      </c>
      <c r="I10" s="117" t="str">
        <f>_xlfn.CONCAT("Posibilidad de",E10, "debido a ",F10, " por ",G10)</f>
        <v>Posibilidad deVulneración de derechos de los usuarios o partes interesadasdebido a La atención de las pqrsd de manera inoportuna por Debilidad en el compromiso por parte de los funcionarios y colaboradores.</v>
      </c>
      <c r="J10" s="116" t="s">
        <v>243</v>
      </c>
      <c r="K10" s="116" t="s">
        <v>208</v>
      </c>
      <c r="L10" s="116" t="str">
        <f>VLOOKUP(K10,'PARAMETROS RIESGOS DE CORRUPCIÓ'!$D$24:$E$28,2,0)</f>
        <v>Posible</v>
      </c>
      <c r="M10" s="146">
        <f t="shared" si="0"/>
        <v>60</v>
      </c>
      <c r="N10" s="163" t="s">
        <v>13</v>
      </c>
      <c r="O10" s="15">
        <f t="shared" ref="O10:O18" si="7">IF(N10="leve",20,IF(N10="Menor",40,IF(N10="Moderado",60,IF(N10="Mayor",80,IF(N10="Catastrófico",100,0)))))</f>
        <v>60</v>
      </c>
      <c r="P10" s="144">
        <f>VALUE(_xlfn.CONCAT('Riesgos Corrupción'!M10,O10))</f>
        <v>6060</v>
      </c>
      <c r="Q10" s="148" t="str">
        <f>VLOOKUP(P10,'Zona de riesgo'!$L$12:$M$26,2)</f>
        <v>Moderado</v>
      </c>
      <c r="R10" s="167" t="s">
        <v>706</v>
      </c>
      <c r="S10" s="149" t="s">
        <v>167</v>
      </c>
      <c r="T10" s="144">
        <v>15</v>
      </c>
      <c r="U10" s="157" t="s">
        <v>170</v>
      </c>
      <c r="V10" s="129" t="str">
        <f t="shared" si="2"/>
        <v>15</v>
      </c>
      <c r="W10" s="144" t="s">
        <v>174</v>
      </c>
      <c r="X10" s="144">
        <v>15</v>
      </c>
      <c r="Y10" s="144" t="s">
        <v>178</v>
      </c>
      <c r="Z10" s="144">
        <v>15</v>
      </c>
      <c r="AA10" s="144" t="s">
        <v>184</v>
      </c>
      <c r="AB10" s="144">
        <v>15</v>
      </c>
      <c r="AC10" s="144" t="s">
        <v>248</v>
      </c>
      <c r="AD10" s="145">
        <v>15</v>
      </c>
      <c r="AE10" s="144" t="s">
        <v>192</v>
      </c>
      <c r="AF10" s="144" t="s">
        <v>707</v>
      </c>
      <c r="AG10" s="22">
        <f t="shared" si="3"/>
        <v>100</v>
      </c>
      <c r="AH10" s="145" t="str">
        <f t="shared" si="5"/>
        <v>FUERTE</v>
      </c>
      <c r="AI10" s="173" t="s">
        <v>251</v>
      </c>
      <c r="AJ10" s="129" t="str">
        <f t="shared" si="4"/>
        <v>FUERTEFUERTE</v>
      </c>
      <c r="AK10" s="151">
        <f t="shared" si="6"/>
        <v>100</v>
      </c>
      <c r="AL10" s="145" t="s">
        <v>251</v>
      </c>
      <c r="AM10" s="155" t="s">
        <v>13</v>
      </c>
      <c r="AN10" s="152" t="s">
        <v>397</v>
      </c>
      <c r="AO10" s="144" t="s">
        <v>378</v>
      </c>
      <c r="AP10" s="144" t="s">
        <v>379</v>
      </c>
      <c r="AQ10" s="144" t="s">
        <v>380</v>
      </c>
      <c r="AR10" s="144" t="s">
        <v>365</v>
      </c>
      <c r="AS10" s="144"/>
      <c r="AT10" s="15"/>
    </row>
    <row r="11" spans="2:63" ht="75" customHeight="1">
      <c r="B11" s="398">
        <v>17</v>
      </c>
      <c r="C11" s="144" t="s">
        <v>696</v>
      </c>
      <c r="D11" s="144" t="s">
        <v>711</v>
      </c>
      <c r="E11" s="144" t="s">
        <v>453</v>
      </c>
      <c r="F11" s="144" t="s">
        <v>454</v>
      </c>
      <c r="G11" s="144" t="s">
        <v>455</v>
      </c>
      <c r="H11" s="144" t="s">
        <v>456</v>
      </c>
      <c r="I11" s="144" t="s">
        <v>457</v>
      </c>
      <c r="J11" s="144" t="s">
        <v>243</v>
      </c>
      <c r="K11" s="144" t="s">
        <v>206</v>
      </c>
      <c r="L11" s="116" t="str">
        <f>VLOOKUP(K11,'PARAMETROS RIESGOS DE CORRUPCIÓ'!$D$24:$E$28,2,0)</f>
        <v>Rara Vez</v>
      </c>
      <c r="M11" s="146">
        <f>IF(L11="Rara vez",20,IF(L11="Improbable",40,IF(L11="Posible",60,IF(L11="Probable",80,IF(L11="Casi seguro",100)))))</f>
        <v>20</v>
      </c>
      <c r="N11" s="147" t="s">
        <v>100</v>
      </c>
      <c r="O11" s="15">
        <f t="shared" si="7"/>
        <v>80</v>
      </c>
      <c r="P11" s="144">
        <v>10080</v>
      </c>
      <c r="Q11" s="148" t="str">
        <f>VLOOKUP(P11,'Zona de riesgo'!$L$12:$M$26,2)</f>
        <v>Alto</v>
      </c>
      <c r="R11" s="166" t="s">
        <v>458</v>
      </c>
      <c r="S11" s="149" t="s">
        <v>167</v>
      </c>
      <c r="T11" s="144">
        <v>15</v>
      </c>
      <c r="U11" s="150" t="s">
        <v>170</v>
      </c>
      <c r="V11" s="129" t="str">
        <f t="shared" si="2"/>
        <v>15</v>
      </c>
      <c r="W11" s="149" t="s">
        <v>174</v>
      </c>
      <c r="X11" s="144">
        <v>15</v>
      </c>
      <c r="Y11" s="150" t="s">
        <v>178</v>
      </c>
      <c r="Z11" s="144">
        <v>15</v>
      </c>
      <c r="AA11" s="145" t="s">
        <v>184</v>
      </c>
      <c r="AB11" s="144">
        <v>15</v>
      </c>
      <c r="AC11" s="145" t="s">
        <v>248</v>
      </c>
      <c r="AD11" s="145">
        <v>15</v>
      </c>
      <c r="AE11" s="145" t="s">
        <v>192</v>
      </c>
      <c r="AF11" s="145">
        <v>10</v>
      </c>
      <c r="AG11" s="22">
        <f t="shared" si="3"/>
        <v>100</v>
      </c>
      <c r="AH11" s="145" t="str">
        <f t="shared" si="5"/>
        <v>FUERTE</v>
      </c>
      <c r="AI11" s="145" t="s">
        <v>251</v>
      </c>
      <c r="AJ11" s="129" t="str">
        <f t="shared" si="4"/>
        <v>FUERTEFUERTE</v>
      </c>
      <c r="AK11" s="151">
        <f t="shared" si="6"/>
        <v>100</v>
      </c>
      <c r="AL11" s="145" t="s">
        <v>251</v>
      </c>
      <c r="AM11" s="159" t="s">
        <v>294</v>
      </c>
      <c r="AN11" s="160" t="str">
        <f t="shared" ref="AN11:AN14" si="8">IF(AM11="Bajo","Aceptar-Asumir","Reducir-Mitigar")</f>
        <v>Aceptar-Asumir</v>
      </c>
      <c r="AO11" s="144" t="s">
        <v>385</v>
      </c>
      <c r="AP11" s="144" t="s">
        <v>385</v>
      </c>
      <c r="AQ11" s="144" t="s">
        <v>385</v>
      </c>
      <c r="AR11" s="144" t="s">
        <v>385</v>
      </c>
      <c r="AS11" s="144" t="s">
        <v>385</v>
      </c>
      <c r="AT11" s="144" t="s">
        <v>385</v>
      </c>
    </row>
    <row r="12" spans="2:63" ht="128.25">
      <c r="B12" s="399">
        <v>18</v>
      </c>
      <c r="C12" s="15" t="s">
        <v>654</v>
      </c>
      <c r="D12" s="158" t="s">
        <v>464</v>
      </c>
      <c r="E12" s="144" t="s">
        <v>459</v>
      </c>
      <c r="F12" s="144" t="s">
        <v>460</v>
      </c>
      <c r="G12" s="144" t="s">
        <v>461</v>
      </c>
      <c r="H12" s="144" t="s">
        <v>461</v>
      </c>
      <c r="I12" s="145" t="str">
        <f t="shared" ref="I12:I17" si="9" xml:space="preserve"> _xlfn.CONCAT("Posibilidad de ",E12, " debido a ",F12," por ",G12)</f>
        <v>Posibilidad de Afectacion economica debido a gestión de los registros de manera inadecuada  por Inobservancia de la normas legales, contables y procedimientos establecidos sobre registros, obligación y pagos en beneficio de terceros</v>
      </c>
      <c r="J12" s="144" t="s">
        <v>243</v>
      </c>
      <c r="K12" s="144" t="s">
        <v>206</v>
      </c>
      <c r="L12" s="116" t="str">
        <f>VLOOKUP(K12,'PARAMETROS RIESGOS DE CORRUPCIÓ'!$D$24:$E$28,2,0)</f>
        <v>Rara Vez</v>
      </c>
      <c r="M12" s="146">
        <f>IF(L12="Rara vez",20,IF(L12="Improbable",40,IF(L12="Posible",60,IF(L12="Probable",80,IF(L12="Casi seguro",100)))))</f>
        <v>20</v>
      </c>
      <c r="N12" s="15" t="s">
        <v>13</v>
      </c>
      <c r="O12" s="15">
        <f t="shared" si="7"/>
        <v>60</v>
      </c>
      <c r="P12" s="15">
        <f>VALUE(_xlfn.CONCAT('[1]Riesgos Corrupción'!K22,O12))</f>
        <v>60</v>
      </c>
      <c r="Q12" s="148" t="e">
        <f>VLOOKUP(P12,'Zona de riesgo'!$L$12:$M$26,2)</f>
        <v>#N/A</v>
      </c>
      <c r="R12" s="168" t="s">
        <v>462</v>
      </c>
      <c r="S12" s="20" t="s">
        <v>167</v>
      </c>
      <c r="T12" s="144">
        <v>15</v>
      </c>
      <c r="U12" s="21" t="s">
        <v>170</v>
      </c>
      <c r="V12" s="129" t="str">
        <f t="shared" si="2"/>
        <v>15</v>
      </c>
      <c r="W12" s="20" t="s">
        <v>174</v>
      </c>
      <c r="X12" s="144">
        <v>15</v>
      </c>
      <c r="Y12" s="21" t="s">
        <v>178</v>
      </c>
      <c r="Z12" s="144">
        <v>15</v>
      </c>
      <c r="AA12" s="22" t="s">
        <v>184</v>
      </c>
      <c r="AB12" s="144">
        <v>15</v>
      </c>
      <c r="AC12" s="22" t="s">
        <v>248</v>
      </c>
      <c r="AD12" s="145">
        <v>15</v>
      </c>
      <c r="AE12" s="22" t="s">
        <v>192</v>
      </c>
      <c r="AF12" s="22" t="str">
        <f>+IF(AE12="Completa","10",IF(AE12="Incompleta","5","0"))</f>
        <v>10</v>
      </c>
      <c r="AG12" s="22">
        <f>T12+V12+X12+Z12+AB12+AD12+AF12</f>
        <v>100</v>
      </c>
      <c r="AH12" s="145" t="str">
        <f t="shared" si="5"/>
        <v>FUERTE</v>
      </c>
      <c r="AI12" s="22" t="s">
        <v>251</v>
      </c>
      <c r="AJ12" s="129" t="str">
        <f t="shared" si="4"/>
        <v>FUERTEFUERTE</v>
      </c>
      <c r="AK12" s="151">
        <f t="shared" si="6"/>
        <v>100</v>
      </c>
      <c r="AL12" s="145" t="s">
        <v>251</v>
      </c>
      <c r="AM12" s="159" t="s">
        <v>294</v>
      </c>
      <c r="AN12" s="160" t="str">
        <f t="shared" si="8"/>
        <v>Aceptar-Asumir</v>
      </c>
      <c r="AO12" s="158" t="s">
        <v>463</v>
      </c>
      <c r="AP12" s="158" t="s">
        <v>464</v>
      </c>
      <c r="AQ12" s="158"/>
      <c r="AR12" s="158"/>
      <c r="AS12" s="158" t="s">
        <v>365</v>
      </c>
      <c r="AT12" s="158"/>
    </row>
    <row r="13" spans="2:63" ht="142.5">
      <c r="B13" s="399">
        <v>19</v>
      </c>
      <c r="C13" s="15" t="s">
        <v>654</v>
      </c>
      <c r="D13" s="158" t="s">
        <v>469</v>
      </c>
      <c r="E13" s="144" t="s">
        <v>459</v>
      </c>
      <c r="F13" s="144" t="s">
        <v>465</v>
      </c>
      <c r="G13" s="144" t="s">
        <v>466</v>
      </c>
      <c r="H13" s="144"/>
      <c r="I13" s="145" t="str">
        <f t="shared" si="9"/>
        <v>Posibilidad de Afectacion economica debido a Manipulación inadecuada de los usuarios, contraseñas y códigos establecidos en el Manual de Seguridad para el Manejo de la Banca Virtual. por Debilidades en protocolos de seguridad de acceso a la banca virtual</v>
      </c>
      <c r="J13" s="144" t="s">
        <v>243</v>
      </c>
      <c r="K13" s="144" t="s">
        <v>206</v>
      </c>
      <c r="L13" s="116" t="str">
        <f>VLOOKUP(K13,'PARAMETROS RIESGOS DE CORRUPCIÓ'!$D$24:$E$28,2,0)</f>
        <v>Rara Vez</v>
      </c>
      <c r="M13" s="158">
        <f t="shared" ref="M13:M14" si="10">IF(L13="Rara vez",20,IF(L13="Improbable",40,IF(L13="Posible",60,IF(L13="Probable",80,IF(L13="Casi seguro",100)))))</f>
        <v>20</v>
      </c>
      <c r="N13" s="15" t="s">
        <v>13</v>
      </c>
      <c r="O13" s="15">
        <f t="shared" si="7"/>
        <v>60</v>
      </c>
      <c r="P13" s="15">
        <f>VALUE(_xlfn.CONCAT('[1]Riesgos Corrupción'!K23,O13))</f>
        <v>60</v>
      </c>
      <c r="Q13" s="148" t="e">
        <f>VLOOKUP(P13,'Zona de riesgo'!$L$12:$M$26,2)</f>
        <v>#N/A</v>
      </c>
      <c r="R13" s="168" t="s">
        <v>467</v>
      </c>
      <c r="S13" s="20" t="s">
        <v>167</v>
      </c>
      <c r="T13" s="144">
        <v>15</v>
      </c>
      <c r="U13" s="21" t="s">
        <v>170</v>
      </c>
      <c r="V13" s="129" t="str">
        <f t="shared" si="2"/>
        <v>15</v>
      </c>
      <c r="W13" s="20" t="s">
        <v>174</v>
      </c>
      <c r="X13" s="144">
        <v>15</v>
      </c>
      <c r="Y13" s="21" t="s">
        <v>178</v>
      </c>
      <c r="Z13" s="144">
        <v>15</v>
      </c>
      <c r="AA13" s="22" t="s">
        <v>184</v>
      </c>
      <c r="AB13" s="144">
        <v>15</v>
      </c>
      <c r="AC13" s="22" t="s">
        <v>248</v>
      </c>
      <c r="AD13" s="145">
        <v>15</v>
      </c>
      <c r="AE13" s="22" t="s">
        <v>192</v>
      </c>
      <c r="AF13" s="22" t="str">
        <f t="shared" ref="AF13:AF14" si="11">+IF(AE13="Completa","10",IF(AE13="Incompleta","5","0"))</f>
        <v>10</v>
      </c>
      <c r="AG13" s="22">
        <f t="shared" ref="AG13:AG14" si="12">T13+V13+X13+Z13+AB13+AD13+AF13</f>
        <v>100</v>
      </c>
      <c r="AH13" s="145" t="str">
        <f t="shared" si="5"/>
        <v>FUERTE</v>
      </c>
      <c r="AI13" s="22" t="s">
        <v>251</v>
      </c>
      <c r="AJ13" s="129" t="str">
        <f t="shared" si="4"/>
        <v>FUERTEFUERTE</v>
      </c>
      <c r="AK13" s="151">
        <f t="shared" si="6"/>
        <v>100</v>
      </c>
      <c r="AL13" s="22" t="str">
        <f t="shared" ref="AL13:AL14" si="13">IF(AK13&lt;50,"DÉBIL",IF(AK13&lt;100,"MODERADO",IF(AG13&lt;101,"FUERTE")))</f>
        <v>FUERTE</v>
      </c>
      <c r="AM13" s="159" t="s">
        <v>294</v>
      </c>
      <c r="AN13" s="160" t="str">
        <f t="shared" si="8"/>
        <v>Aceptar-Asumir</v>
      </c>
      <c r="AO13" s="158" t="s">
        <v>468</v>
      </c>
      <c r="AP13" s="158" t="s">
        <v>469</v>
      </c>
      <c r="AQ13" s="158"/>
      <c r="AR13" s="158"/>
      <c r="AS13" s="158" t="s">
        <v>365</v>
      </c>
      <c r="AT13" s="158"/>
    </row>
    <row r="14" spans="2:63" ht="142.5">
      <c r="B14" s="399">
        <v>20</v>
      </c>
      <c r="C14" s="15" t="s">
        <v>654</v>
      </c>
      <c r="D14" s="125" t="s">
        <v>474</v>
      </c>
      <c r="E14" s="144" t="s">
        <v>459</v>
      </c>
      <c r="F14" s="144" t="s">
        <v>470</v>
      </c>
      <c r="G14" s="144" t="s">
        <v>471</v>
      </c>
      <c r="H14" s="145"/>
      <c r="I14" s="164" t="str">
        <f t="shared" si="9"/>
        <v>Posibilidad de Afectacion economica debido a Alteracion y hurto de la informacion financiera por Falta de adecuación de un espacio que brinde confiabilidad y seguridad para el desarrollo de los procesos que se llevan a cabo para la generación de la información financiera.</v>
      </c>
      <c r="J14" s="144" t="s">
        <v>243</v>
      </c>
      <c r="K14" s="144" t="s">
        <v>206</v>
      </c>
      <c r="L14" s="116" t="str">
        <f>VLOOKUP(K14,'PARAMETROS RIESGOS DE CORRUPCIÓ'!$D$24:$E$28,2,0)</f>
        <v>Rara Vez</v>
      </c>
      <c r="M14" s="161">
        <f t="shared" si="10"/>
        <v>20</v>
      </c>
      <c r="N14" s="161" t="s">
        <v>13</v>
      </c>
      <c r="O14" s="15">
        <f t="shared" si="7"/>
        <v>60</v>
      </c>
      <c r="P14" s="161">
        <f>VALUE(_xlfn.CONCAT('[1]Riesgos Corrupción'!K24,O14))</f>
        <v>60</v>
      </c>
      <c r="Q14" s="148" t="e">
        <f>VLOOKUP(P14,'Zona de riesgo'!$L$12:$M$26,2)</f>
        <v>#N/A</v>
      </c>
      <c r="R14" s="168" t="s">
        <v>472</v>
      </c>
      <c r="S14" s="124" t="s">
        <v>167</v>
      </c>
      <c r="T14" s="144">
        <v>15</v>
      </c>
      <c r="U14" s="126" t="s">
        <v>170</v>
      </c>
      <c r="V14" s="129" t="str">
        <f t="shared" si="2"/>
        <v>15</v>
      </c>
      <c r="W14" s="124" t="s">
        <v>174</v>
      </c>
      <c r="X14" s="144">
        <v>15</v>
      </c>
      <c r="Y14" s="126" t="s">
        <v>178</v>
      </c>
      <c r="Z14" s="144">
        <v>15</v>
      </c>
      <c r="AA14" s="123" t="s">
        <v>184</v>
      </c>
      <c r="AB14" s="144">
        <v>15</v>
      </c>
      <c r="AC14" s="123" t="s">
        <v>248</v>
      </c>
      <c r="AD14" s="145">
        <v>15</v>
      </c>
      <c r="AE14" s="123" t="s">
        <v>192</v>
      </c>
      <c r="AF14" s="123" t="str">
        <f t="shared" si="11"/>
        <v>10</v>
      </c>
      <c r="AG14" s="123">
        <f t="shared" si="12"/>
        <v>100</v>
      </c>
      <c r="AH14" s="145" t="str">
        <f t="shared" si="5"/>
        <v>FUERTE</v>
      </c>
      <c r="AI14" s="123" t="s">
        <v>251</v>
      </c>
      <c r="AJ14" s="129" t="str">
        <f t="shared" si="4"/>
        <v>FUERTEFUERTE</v>
      </c>
      <c r="AK14" s="151">
        <f t="shared" si="6"/>
        <v>100</v>
      </c>
      <c r="AL14" s="123" t="str">
        <f t="shared" si="13"/>
        <v>FUERTE</v>
      </c>
      <c r="AM14" s="162" t="s">
        <v>295</v>
      </c>
      <c r="AN14" s="160" t="str">
        <f t="shared" si="8"/>
        <v>Reducir-Mitigar</v>
      </c>
      <c r="AO14" s="125" t="s">
        <v>473</v>
      </c>
      <c r="AP14" s="125" t="s">
        <v>474</v>
      </c>
      <c r="AQ14" s="125"/>
      <c r="AR14" s="125"/>
      <c r="AS14" s="125" t="s">
        <v>365</v>
      </c>
      <c r="AT14" s="125"/>
    </row>
    <row r="15" spans="2:63" ht="57" customHeight="1">
      <c r="B15" s="400">
        <v>21</v>
      </c>
      <c r="C15" s="287" t="s">
        <v>660</v>
      </c>
      <c r="D15" s="287" t="s">
        <v>710</v>
      </c>
      <c r="E15" s="303" t="s">
        <v>475</v>
      </c>
      <c r="F15" s="303" t="s">
        <v>476</v>
      </c>
      <c r="G15" s="303" t="s">
        <v>477</v>
      </c>
      <c r="H15" s="303" t="s">
        <v>478</v>
      </c>
      <c r="I15" s="309" t="str">
        <f t="shared" si="9"/>
        <v>Posibilidad de Favorecimiento de terceros debido a Acceso a los archivos documentales de la entidad no controlado por Falta de control para acceder a los archivos documentales de la entidad</v>
      </c>
      <c r="J15" s="303" t="s">
        <v>243</v>
      </c>
      <c r="K15" s="303" t="s">
        <v>206</v>
      </c>
      <c r="L15" s="200" t="str">
        <f>VLOOKUP(K15,'PARAMETROS RIESGOS DE CORRUPCIÓ'!$D$24:$E$28,2,0)</f>
        <v>Rara Vez</v>
      </c>
      <c r="M15" s="304">
        <f>IF(L15="Rara vez",20,IF(L15="Improbable",40,IF(L15="Posible",60,IF(L15="Probable",80,IF(L15="Casi seguro",100)))))</f>
        <v>20</v>
      </c>
      <c r="N15" s="308" t="s">
        <v>13</v>
      </c>
      <c r="O15" s="200">
        <f t="shared" si="7"/>
        <v>60</v>
      </c>
      <c r="P15" s="303">
        <f>VALUE(_xlfn.CONCAT('Riesgos Corrupción'!M15,O15))</f>
        <v>2060</v>
      </c>
      <c r="Q15" s="307" t="str">
        <f>VLOOKUP(P15,'Zona de riesgo'!$L$12:$M$26,2)</f>
        <v>Moderado</v>
      </c>
      <c r="R15" s="166" t="s">
        <v>479</v>
      </c>
      <c r="S15" s="293" t="s">
        <v>167</v>
      </c>
      <c r="T15" s="287">
        <v>15</v>
      </c>
      <c r="U15" s="293" t="s">
        <v>170</v>
      </c>
      <c r="V15" s="294" t="str">
        <f t="shared" ref="V15" si="14">+IF(U15="Adecuado","15","0")</f>
        <v>15</v>
      </c>
      <c r="W15" s="293" t="s">
        <v>174</v>
      </c>
      <c r="X15" s="293">
        <v>15</v>
      </c>
      <c r="Y15" s="293" t="s">
        <v>178</v>
      </c>
      <c r="Z15" s="293">
        <v>15</v>
      </c>
      <c r="AA15" s="293" t="s">
        <v>184</v>
      </c>
      <c r="AB15" s="293">
        <v>15</v>
      </c>
      <c r="AC15" s="293" t="s">
        <v>248</v>
      </c>
      <c r="AD15" s="293">
        <v>15</v>
      </c>
      <c r="AE15" s="293" t="s">
        <v>192</v>
      </c>
      <c r="AF15" s="293">
        <v>10</v>
      </c>
      <c r="AG15" s="293">
        <v>100</v>
      </c>
      <c r="AH15" s="287" t="str">
        <f t="shared" si="5"/>
        <v>FUERTE</v>
      </c>
      <c r="AI15" s="293" t="s">
        <v>251</v>
      </c>
      <c r="AJ15" s="294" t="str">
        <f t="shared" si="4"/>
        <v>FUERTEFUERTE</v>
      </c>
      <c r="AK15" s="294">
        <f t="shared" si="6"/>
        <v>100</v>
      </c>
      <c r="AL15" s="293" t="s">
        <v>251</v>
      </c>
      <c r="AM15" s="290" t="s">
        <v>295</v>
      </c>
      <c r="AN15" s="300" t="s">
        <v>397</v>
      </c>
      <c r="AO15" s="287" t="s">
        <v>480</v>
      </c>
      <c r="AP15" s="287" t="s">
        <v>408</v>
      </c>
      <c r="AQ15" s="287" t="s">
        <v>409</v>
      </c>
      <c r="AR15" s="297">
        <v>44805</v>
      </c>
      <c r="AS15" s="297"/>
      <c r="AT15" s="297"/>
    </row>
    <row r="16" spans="2:63" ht="30" customHeight="1">
      <c r="B16" s="400"/>
      <c r="C16" s="288"/>
      <c r="D16" s="288"/>
      <c r="E16" s="303" t="s">
        <v>481</v>
      </c>
      <c r="F16" s="303" t="s">
        <v>482</v>
      </c>
      <c r="G16" s="303" t="s">
        <v>483</v>
      </c>
      <c r="H16" s="303" t="s">
        <v>484</v>
      </c>
      <c r="I16" s="309" t="str">
        <f t="shared" si="9"/>
        <v>Posibilidad de Sanciones disciplinarias debido a defensa judicial inadecuada por Hacer caso omiso en las actuaciones jurídicas en las cuales esta involucrada la entidad a favor de terceros.</v>
      </c>
      <c r="J16" s="303" t="s">
        <v>243</v>
      </c>
      <c r="K16" s="303" t="s">
        <v>206</v>
      </c>
      <c r="L16" s="201"/>
      <c r="M16" s="305"/>
      <c r="N16" s="308"/>
      <c r="O16" s="201"/>
      <c r="P16" s="303"/>
      <c r="Q16" s="307"/>
      <c r="R16" s="166" t="s">
        <v>485</v>
      </c>
      <c r="S16" s="291"/>
      <c r="T16" s="288"/>
      <c r="U16" s="291" t="s">
        <v>170</v>
      </c>
      <c r="V16" s="295"/>
      <c r="W16" s="291" t="s">
        <v>174</v>
      </c>
      <c r="X16" s="291">
        <v>15</v>
      </c>
      <c r="Y16" s="291" t="s">
        <v>178</v>
      </c>
      <c r="Z16" s="291">
        <v>15</v>
      </c>
      <c r="AA16" s="291" t="s">
        <v>184</v>
      </c>
      <c r="AB16" s="291">
        <v>15</v>
      </c>
      <c r="AC16" s="291" t="s">
        <v>248</v>
      </c>
      <c r="AD16" s="291">
        <v>15</v>
      </c>
      <c r="AE16" s="291" t="s">
        <v>192</v>
      </c>
      <c r="AF16" s="291">
        <v>10</v>
      </c>
      <c r="AG16" s="291">
        <v>100</v>
      </c>
      <c r="AH16" s="288"/>
      <c r="AI16" s="291" t="s">
        <v>251</v>
      </c>
      <c r="AJ16" s="295"/>
      <c r="AK16" s="295">
        <f t="shared" si="6"/>
        <v>70</v>
      </c>
      <c r="AL16" s="291" t="s">
        <v>251</v>
      </c>
      <c r="AM16" s="291"/>
      <c r="AN16" s="301"/>
      <c r="AO16" s="288"/>
      <c r="AP16" s="288"/>
      <c r="AQ16" s="288"/>
      <c r="AR16" s="298"/>
      <c r="AS16" s="298" t="s">
        <v>486</v>
      </c>
      <c r="AT16" s="298" t="s">
        <v>486</v>
      </c>
    </row>
    <row r="17" spans="2:46" ht="51">
      <c r="B17" s="400"/>
      <c r="C17" s="289"/>
      <c r="D17" s="289"/>
      <c r="E17" s="303" t="s">
        <v>487</v>
      </c>
      <c r="F17" s="303" t="s">
        <v>488</v>
      </c>
      <c r="G17" s="303" t="s">
        <v>489</v>
      </c>
      <c r="H17" s="303" t="s">
        <v>489</v>
      </c>
      <c r="I17" s="309" t="str">
        <f t="shared" si="9"/>
        <v>Posibilidad de Sanciones económicas debido a Manejo interno de los expedientes de manera inadecuada por Omisión de los lineamientos y normativas internas y externas en gestión documental en el préstamo de expedientes que reposan en el archivo de la OAJ en favor de terceros</v>
      </c>
      <c r="J17" s="303" t="s">
        <v>243</v>
      </c>
      <c r="K17" s="303" t="s">
        <v>207</v>
      </c>
      <c r="L17" s="202"/>
      <c r="M17" s="306"/>
      <c r="N17" s="308"/>
      <c r="O17" s="202"/>
      <c r="P17" s="303"/>
      <c r="Q17" s="307"/>
      <c r="R17" s="166" t="s">
        <v>490</v>
      </c>
      <c r="S17" s="292"/>
      <c r="T17" s="289"/>
      <c r="U17" s="292" t="s">
        <v>170</v>
      </c>
      <c r="V17" s="296"/>
      <c r="W17" s="292" t="s">
        <v>174</v>
      </c>
      <c r="X17" s="292">
        <v>15</v>
      </c>
      <c r="Y17" s="292" t="s">
        <v>178</v>
      </c>
      <c r="Z17" s="292">
        <v>15</v>
      </c>
      <c r="AA17" s="292" t="s">
        <v>184</v>
      </c>
      <c r="AB17" s="292">
        <v>15</v>
      </c>
      <c r="AC17" s="292" t="s">
        <v>248</v>
      </c>
      <c r="AD17" s="292">
        <v>15</v>
      </c>
      <c r="AE17" s="292" t="s">
        <v>192</v>
      </c>
      <c r="AF17" s="292">
        <v>10</v>
      </c>
      <c r="AG17" s="292">
        <v>100</v>
      </c>
      <c r="AH17" s="289"/>
      <c r="AI17" s="292" t="s">
        <v>251</v>
      </c>
      <c r="AJ17" s="296"/>
      <c r="AK17" s="296">
        <f t="shared" si="6"/>
        <v>70</v>
      </c>
      <c r="AL17" s="292" t="s">
        <v>251</v>
      </c>
      <c r="AM17" s="292"/>
      <c r="AN17" s="302"/>
      <c r="AO17" s="289"/>
      <c r="AP17" s="289"/>
      <c r="AQ17" s="289"/>
      <c r="AR17" s="299"/>
      <c r="AS17" s="299" t="s">
        <v>486</v>
      </c>
      <c r="AT17" s="299" t="s">
        <v>486</v>
      </c>
    </row>
    <row r="18" spans="2:46" ht="114">
      <c r="B18" s="400">
        <v>22</v>
      </c>
      <c r="C18" s="303" t="s">
        <v>712</v>
      </c>
      <c r="D18" s="303" t="s">
        <v>713</v>
      </c>
      <c r="E18" s="303" t="s">
        <v>491</v>
      </c>
      <c r="F18" s="303" t="s">
        <v>492</v>
      </c>
      <c r="G18" s="303" t="s">
        <v>493</v>
      </c>
      <c r="H18" s="303" t="s">
        <v>494</v>
      </c>
      <c r="I18" s="309" t="s">
        <v>495</v>
      </c>
      <c r="J18" s="303" t="s">
        <v>243</v>
      </c>
      <c r="K18" s="303" t="s">
        <v>206</v>
      </c>
      <c r="L18" s="200" t="str">
        <f>VLOOKUP(K18,'PARAMETROS RIESGOS DE CORRUPCIÓ'!$D$24:$E$28,2,0)</f>
        <v>Rara Vez</v>
      </c>
      <c r="M18" s="304">
        <f>IF(L18="Rara vez",20,IF(L18="Improbable",40,IF(L18="Posible",60,IF(L18="Probable",80,IF(L18="Casi seguro",100)))))</f>
        <v>20</v>
      </c>
      <c r="N18" s="308" t="s">
        <v>13</v>
      </c>
      <c r="O18" s="200">
        <f t="shared" si="7"/>
        <v>60</v>
      </c>
      <c r="P18" s="303">
        <f>VALUE(_xlfn.CONCAT('Riesgos Corrupción'!M18,O18))</f>
        <v>2060</v>
      </c>
      <c r="Q18" s="307" t="str">
        <f>VLOOKUP(P18,'Zona de riesgo'!$L$12:$M$26,2)</f>
        <v>Moderado</v>
      </c>
      <c r="R18" s="166" t="s">
        <v>496</v>
      </c>
      <c r="S18" s="293" t="s">
        <v>167</v>
      </c>
      <c r="T18" s="287">
        <v>15</v>
      </c>
      <c r="U18" s="293" t="s">
        <v>170</v>
      </c>
      <c r="V18" s="294" t="str">
        <f t="shared" ref="V18" si="15">+IF(U18="Adecuado","15","0")</f>
        <v>15</v>
      </c>
      <c r="W18" s="293" t="s">
        <v>174</v>
      </c>
      <c r="X18" s="293">
        <v>15</v>
      </c>
      <c r="Y18" s="293" t="s">
        <v>178</v>
      </c>
      <c r="Z18" s="293">
        <v>15</v>
      </c>
      <c r="AA18" s="293" t="s">
        <v>184</v>
      </c>
      <c r="AB18" s="293">
        <v>15</v>
      </c>
      <c r="AC18" s="293" t="s">
        <v>248</v>
      </c>
      <c r="AD18" s="293">
        <v>15</v>
      </c>
      <c r="AE18" s="293" t="s">
        <v>192</v>
      </c>
      <c r="AF18" s="293">
        <v>10</v>
      </c>
      <c r="AG18" s="293">
        <v>100</v>
      </c>
      <c r="AH18" s="287" t="str">
        <f t="shared" si="5"/>
        <v>FUERTE</v>
      </c>
      <c r="AI18" s="293" t="s">
        <v>251</v>
      </c>
      <c r="AJ18" s="294" t="str">
        <f t="shared" ref="AJ18" si="16">_xlfn.CONCAT(AH18,AI18)</f>
        <v>FUERTEFUERTE</v>
      </c>
      <c r="AK18" s="294">
        <f>VLOOKUP(AJ18,'PARAMETROS RIESGOS DE CORRUPCIÓ'!$Q$4:$R$12,2,0)</f>
        <v>100</v>
      </c>
      <c r="AL18" s="293" t="s">
        <v>251</v>
      </c>
      <c r="AM18" s="290" t="s">
        <v>735</v>
      </c>
      <c r="AN18" s="300" t="s">
        <v>397</v>
      </c>
      <c r="AO18" s="144" t="s">
        <v>497</v>
      </c>
      <c r="AP18" s="144" t="s">
        <v>498</v>
      </c>
      <c r="AQ18" s="144" t="s">
        <v>499</v>
      </c>
      <c r="AR18" s="157"/>
      <c r="AS18" s="157"/>
      <c r="AT18" s="157"/>
    </row>
    <row r="19" spans="2:46" ht="89.25">
      <c r="B19" s="400"/>
      <c r="C19" s="303"/>
      <c r="D19" s="303"/>
      <c r="E19" s="303"/>
      <c r="F19" s="303"/>
      <c r="G19" s="303"/>
      <c r="H19" s="303"/>
      <c r="I19" s="309"/>
      <c r="J19" s="303"/>
      <c r="K19" s="303"/>
      <c r="L19" s="201"/>
      <c r="M19" s="305"/>
      <c r="N19" s="308"/>
      <c r="O19" s="201"/>
      <c r="P19" s="303"/>
      <c r="Q19" s="307"/>
      <c r="R19" s="166" t="s">
        <v>500</v>
      </c>
      <c r="S19" s="291"/>
      <c r="T19" s="288"/>
      <c r="U19" s="291" t="s">
        <v>170</v>
      </c>
      <c r="V19" s="295"/>
      <c r="W19" s="291" t="s">
        <v>174</v>
      </c>
      <c r="X19" s="291">
        <v>15</v>
      </c>
      <c r="Y19" s="291" t="s">
        <v>178</v>
      </c>
      <c r="Z19" s="291">
        <v>15</v>
      </c>
      <c r="AA19" s="291" t="s">
        <v>184</v>
      </c>
      <c r="AB19" s="291">
        <v>15</v>
      </c>
      <c r="AC19" s="291" t="s">
        <v>248</v>
      </c>
      <c r="AD19" s="291">
        <v>15</v>
      </c>
      <c r="AE19" s="291" t="s">
        <v>192</v>
      </c>
      <c r="AF19" s="291">
        <v>10</v>
      </c>
      <c r="AG19" s="291">
        <v>100</v>
      </c>
      <c r="AH19" s="288"/>
      <c r="AI19" s="291" t="s">
        <v>251</v>
      </c>
      <c r="AJ19" s="295"/>
      <c r="AK19" s="295"/>
      <c r="AL19" s="291" t="s">
        <v>251</v>
      </c>
      <c r="AM19" s="291"/>
      <c r="AN19" s="301"/>
      <c r="AO19" s="144" t="s">
        <v>501</v>
      </c>
      <c r="AP19" s="144" t="s">
        <v>498</v>
      </c>
      <c r="AQ19" s="144" t="s">
        <v>499</v>
      </c>
      <c r="AR19" s="157"/>
      <c r="AS19" s="157"/>
      <c r="AT19" s="157"/>
    </row>
    <row r="20" spans="2:46" ht="63.75" customHeight="1">
      <c r="B20" s="400"/>
      <c r="C20" s="303"/>
      <c r="D20" s="303"/>
      <c r="E20" s="303"/>
      <c r="F20" s="303"/>
      <c r="G20" s="303"/>
      <c r="H20" s="303"/>
      <c r="I20" s="309"/>
      <c r="J20" s="303"/>
      <c r="K20" s="303"/>
      <c r="L20" s="202"/>
      <c r="M20" s="306"/>
      <c r="N20" s="308"/>
      <c r="O20" s="202"/>
      <c r="P20" s="303"/>
      <c r="Q20" s="307"/>
      <c r="R20" s="166" t="s">
        <v>502</v>
      </c>
      <c r="S20" s="292"/>
      <c r="T20" s="289"/>
      <c r="U20" s="292" t="s">
        <v>170</v>
      </c>
      <c r="V20" s="296"/>
      <c r="W20" s="292" t="s">
        <v>174</v>
      </c>
      <c r="X20" s="292">
        <v>15</v>
      </c>
      <c r="Y20" s="292" t="s">
        <v>178</v>
      </c>
      <c r="Z20" s="292">
        <v>15</v>
      </c>
      <c r="AA20" s="292" t="s">
        <v>184</v>
      </c>
      <c r="AB20" s="292">
        <v>15</v>
      </c>
      <c r="AC20" s="292" t="s">
        <v>248</v>
      </c>
      <c r="AD20" s="292">
        <v>15</v>
      </c>
      <c r="AE20" s="292" t="s">
        <v>192</v>
      </c>
      <c r="AF20" s="292">
        <v>10</v>
      </c>
      <c r="AG20" s="292">
        <v>100</v>
      </c>
      <c r="AH20" s="289"/>
      <c r="AI20" s="292" t="s">
        <v>251</v>
      </c>
      <c r="AJ20" s="296"/>
      <c r="AK20" s="296"/>
      <c r="AL20" s="292" t="s">
        <v>251</v>
      </c>
      <c r="AM20" s="292"/>
      <c r="AN20" s="302"/>
      <c r="AO20" s="144"/>
      <c r="AP20" s="157"/>
      <c r="AQ20" s="157"/>
      <c r="AR20" s="157"/>
      <c r="AS20" s="157"/>
      <c r="AT20" s="157"/>
    </row>
    <row r="21" spans="2:46" ht="156.75">
      <c r="B21" s="399">
        <v>23</v>
      </c>
      <c r="C21" s="15" t="s">
        <v>737</v>
      </c>
      <c r="D21" s="15" t="s">
        <v>527</v>
      </c>
      <c r="E21" s="128" t="s">
        <v>714</v>
      </c>
      <c r="F21" s="128" t="s">
        <v>715</v>
      </c>
      <c r="G21" s="128" t="s">
        <v>716</v>
      </c>
      <c r="H21" s="128" t="s">
        <v>717</v>
      </c>
      <c r="I21" s="136" t="s">
        <v>718</v>
      </c>
      <c r="J21" s="128" t="s">
        <v>243</v>
      </c>
      <c r="K21" s="128" t="s">
        <v>207</v>
      </c>
      <c r="L21" s="137" t="str">
        <f>VLOOKUP(K21,'PARAMETROS RIESGOS DE CORRUPCIÓ'!$D$24:$E$28,2,0)</f>
        <v>Improbable</v>
      </c>
      <c r="M21" s="171">
        <f>IF(L21="Rara vez",20,IF(L21="Improbable",40,IF(L21="Posible",60,IF(L21="Probable",80,IF(L21="Casi seguro",100)))))</f>
        <v>40</v>
      </c>
      <c r="N21" s="132" t="s">
        <v>13</v>
      </c>
      <c r="O21" s="132">
        <f t="shared" ref="O21:O24" si="17">IF(N21="leve",20,IF(N21="Menor",40,IF(N21="Moderado",60,IF(N21="Mayor",80,IF(N21="Catastrófico",100,0)))))</f>
        <v>60</v>
      </c>
      <c r="P21" s="145">
        <f>VALUE(_xlfn.CONCAT('Riesgos Corrupción'!M21,O21))</f>
        <v>4060</v>
      </c>
      <c r="Q21" s="131" t="str">
        <f>VLOOKUP(P21,'Zona de riesgo'!$L$12:$M$26,2)</f>
        <v>Moderado</v>
      </c>
      <c r="R21" s="136" t="s">
        <v>719</v>
      </c>
      <c r="S21" s="127" t="s">
        <v>168</v>
      </c>
      <c r="T21" s="144">
        <v>15</v>
      </c>
      <c r="U21" s="130" t="s">
        <v>170</v>
      </c>
      <c r="V21" s="129" t="str">
        <f>+IF(U21="Adecuado","15","0")</f>
        <v>15</v>
      </c>
      <c r="W21" s="127" t="s">
        <v>174</v>
      </c>
      <c r="X21" s="128" t="str">
        <f t="shared" ref="X21:X24" si="18">+IF(W21="Oportuna","15","0")</f>
        <v>15</v>
      </c>
      <c r="Y21" s="130" t="s">
        <v>178</v>
      </c>
      <c r="Z21" s="128">
        <f t="shared" ref="Z21:Z24" si="19">+IF(Y21="Prevenir",15,IF(Y21="Detectar",10,"0"))</f>
        <v>15</v>
      </c>
      <c r="AA21" s="129" t="s">
        <v>184</v>
      </c>
      <c r="AB21" s="128" t="str">
        <f t="shared" ref="AB21:AB24" si="20">+IF(AA21="Confiable","15","0")</f>
        <v>15</v>
      </c>
      <c r="AC21" s="129" t="s">
        <v>248</v>
      </c>
      <c r="AD21" s="129" t="str">
        <f>+IF(AC21="Si","15","0")</f>
        <v>15</v>
      </c>
      <c r="AE21" s="129" t="s">
        <v>194</v>
      </c>
      <c r="AF21" s="129" t="str">
        <f t="shared" ref="AF21:AF24" si="21">+IF(AE21="Completa","10",IF(AE21="Incompleta","5","0"))</f>
        <v>0</v>
      </c>
      <c r="AG21" s="129">
        <f t="shared" ref="AG21:AG24" si="22">T21+V21+X21+Z21+AB21+AD21+AF21</f>
        <v>90</v>
      </c>
      <c r="AH21" s="172" t="str">
        <f t="shared" ref="AH21:AH23" si="23">IF(AG21&lt;86,"DÉBIL",IF(AG21&lt;96,"MODERADO",IF(AG21&lt;101,"FUERTE")))</f>
        <v>MODERADO</v>
      </c>
      <c r="AI21" s="129" t="s">
        <v>251</v>
      </c>
      <c r="AJ21" s="129" t="str">
        <f>_xlfn.CONCAT(AH21,AI21)</f>
        <v>MODERADOFUERTE</v>
      </c>
      <c r="AK21" s="129">
        <f>VLOOKUP(AJ21,'PARAMETROS RIESGOS DE CORRUPCIÓ'!$Q$4:$R$12,2,0)</f>
        <v>50</v>
      </c>
      <c r="AL21" s="123" t="str">
        <f t="shared" ref="AL21:AL24" si="24">IF(AK21&lt;50,"DÉBIL",IF(AK21&lt;100,"MODERADO",IF(AG21&lt;101,"FUERTE")))</f>
        <v>MODERADO</v>
      </c>
      <c r="AM21" s="169" t="s">
        <v>441</v>
      </c>
      <c r="AN21" s="134" t="str">
        <f t="shared" ref="AN21:AN24" si="25">IF(AM21="Bajo","Aceptar-Asumir","Reducir-Mitigar")</f>
        <v>Reducir-Mitigar</v>
      </c>
      <c r="AO21" s="135" t="s">
        <v>720</v>
      </c>
      <c r="AP21" s="135" t="s">
        <v>721</v>
      </c>
      <c r="AQ21" s="138">
        <v>44742</v>
      </c>
      <c r="AR21" s="135" t="s">
        <v>722</v>
      </c>
      <c r="AS21" s="135" t="s">
        <v>365</v>
      </c>
      <c r="AT21" s="135" t="s">
        <v>604</v>
      </c>
    </row>
    <row r="22" spans="2:46" ht="185.25">
      <c r="B22" s="399">
        <v>24</v>
      </c>
      <c r="C22" s="15" t="s">
        <v>737</v>
      </c>
      <c r="D22" s="15" t="s">
        <v>527</v>
      </c>
      <c r="E22" s="128" t="s">
        <v>723</v>
      </c>
      <c r="F22" s="128" t="s">
        <v>724</v>
      </c>
      <c r="G22" s="128" t="s">
        <v>725</v>
      </c>
      <c r="H22" s="128" t="s">
        <v>726</v>
      </c>
      <c r="I22" s="136" t="s">
        <v>727</v>
      </c>
      <c r="J22" s="128" t="s">
        <v>243</v>
      </c>
      <c r="K22" s="128" t="s">
        <v>206</v>
      </c>
      <c r="L22" s="137" t="str">
        <f>VLOOKUP(K22,'PARAMETROS RIESGOS DE CORRUPCIÓ'!$D$24:$E$28,2,0)</f>
        <v>Rara Vez</v>
      </c>
      <c r="M22" s="171">
        <f>IF(L22="Rara vez",20,IF(L22="Improbable",40,IF(L22="Posible",60,IF(L22="Probable",80,IF(L22="Casi seguro",100)))))</f>
        <v>20</v>
      </c>
      <c r="N22" s="132" t="s">
        <v>13</v>
      </c>
      <c r="O22" s="132">
        <f t="shared" si="17"/>
        <v>60</v>
      </c>
      <c r="P22" s="144">
        <f>VALUE(_xlfn.CONCAT('Riesgos Corrupción'!M22,O22))</f>
        <v>2060</v>
      </c>
      <c r="Q22" s="131" t="str">
        <f>VLOOKUP(P22,'[2]Zona de riesgo'!$L$12:$M$26,2)</f>
        <v>Moderado</v>
      </c>
      <c r="R22" s="136" t="s">
        <v>728</v>
      </c>
      <c r="S22" s="127" t="s">
        <v>167</v>
      </c>
      <c r="T22" s="144">
        <v>15</v>
      </c>
      <c r="U22" s="130" t="s">
        <v>170</v>
      </c>
      <c r="V22" s="129" t="str">
        <f>+IF(U22="Adecuado","15","0")</f>
        <v>15</v>
      </c>
      <c r="W22" s="127" t="s">
        <v>174</v>
      </c>
      <c r="X22" s="128" t="str">
        <f t="shared" si="18"/>
        <v>15</v>
      </c>
      <c r="Y22" s="130" t="s">
        <v>178</v>
      </c>
      <c r="Z22" s="128">
        <f t="shared" si="19"/>
        <v>15</v>
      </c>
      <c r="AA22" s="129" t="s">
        <v>184</v>
      </c>
      <c r="AB22" s="128" t="str">
        <f t="shared" si="20"/>
        <v>15</v>
      </c>
      <c r="AC22" s="129" t="s">
        <v>248</v>
      </c>
      <c r="AD22" s="129" t="str">
        <f t="shared" ref="AD22:AD24" si="26">+IF(AC22="Si","10","0")</f>
        <v>10</v>
      </c>
      <c r="AE22" s="129" t="s">
        <v>194</v>
      </c>
      <c r="AF22" s="129" t="str">
        <f t="shared" si="21"/>
        <v>0</v>
      </c>
      <c r="AG22" s="129">
        <f t="shared" si="22"/>
        <v>85</v>
      </c>
      <c r="AH22" s="172" t="str">
        <f t="shared" si="23"/>
        <v>DÉBIL</v>
      </c>
      <c r="AI22" s="129" t="s">
        <v>251</v>
      </c>
      <c r="AJ22" s="129" t="str">
        <f t="shared" ref="AJ22:AJ24" si="27">_xlfn.CONCAT(AH22,AI22)</f>
        <v>DÉBILFUERTE</v>
      </c>
      <c r="AK22" s="129">
        <f>VLOOKUP(AJ22,'PARAMETROS RIESGOS DE CORRUPCIÓ'!$Q$4:$R$12,2,0)</f>
        <v>0</v>
      </c>
      <c r="AL22" s="123" t="str">
        <f t="shared" si="24"/>
        <v>DÉBIL</v>
      </c>
      <c r="AM22" s="170" t="s">
        <v>729</v>
      </c>
      <c r="AN22" s="134" t="str">
        <f t="shared" si="25"/>
        <v>Reducir-Mitigar</v>
      </c>
      <c r="AO22" s="135" t="s">
        <v>730</v>
      </c>
      <c r="AP22" s="135" t="s">
        <v>721</v>
      </c>
      <c r="AQ22" s="138">
        <v>44742</v>
      </c>
      <c r="AR22" s="135" t="s">
        <v>722</v>
      </c>
      <c r="AS22" s="135" t="s">
        <v>365</v>
      </c>
      <c r="AT22" s="135" t="s">
        <v>604</v>
      </c>
    </row>
    <row r="23" spans="2:46" ht="185.25">
      <c r="B23" s="399">
        <v>25</v>
      </c>
      <c r="C23" s="15" t="s">
        <v>737</v>
      </c>
      <c r="D23" s="15" t="s">
        <v>527</v>
      </c>
      <c r="E23" s="128" t="s">
        <v>723</v>
      </c>
      <c r="F23" s="128" t="s">
        <v>724</v>
      </c>
      <c r="G23" s="128" t="s">
        <v>725</v>
      </c>
      <c r="H23" s="128" t="s">
        <v>726</v>
      </c>
      <c r="I23" s="136" t="s">
        <v>731</v>
      </c>
      <c r="J23" s="128" t="s">
        <v>243</v>
      </c>
      <c r="K23" s="128" t="s">
        <v>206</v>
      </c>
      <c r="L23" s="137" t="str">
        <f>VLOOKUP(K23,'PARAMETROS RIESGOS DE CORRUPCIÓ'!$D$24:$E$28,2,0)</f>
        <v>Rara Vez</v>
      </c>
      <c r="M23" s="171">
        <f>IF(L23="Rara vez",20,IF(L23="Improbable",40,IF(L23="Posible",60,IF(L23="Probable",80,IF(L23="Casi seguro",100)))))</f>
        <v>20</v>
      </c>
      <c r="N23" s="132" t="s">
        <v>13</v>
      </c>
      <c r="O23" s="132">
        <f t="shared" si="17"/>
        <v>60</v>
      </c>
      <c r="P23" s="144">
        <f>VALUE(_xlfn.CONCAT('Riesgos Corrupción'!M23,O23))</f>
        <v>2060</v>
      </c>
      <c r="Q23" s="131" t="str">
        <f>VLOOKUP(P23,'[2]Zona de riesgo'!$L$12:$M$26,2)</f>
        <v>Moderado</v>
      </c>
      <c r="R23" s="136" t="s">
        <v>732</v>
      </c>
      <c r="S23" s="127" t="s">
        <v>167</v>
      </c>
      <c r="T23" s="144">
        <v>15</v>
      </c>
      <c r="U23" s="130" t="s">
        <v>170</v>
      </c>
      <c r="V23" s="129" t="str">
        <f t="shared" ref="V23:V24" si="28">+IF(U23="Adecuado","15","0")</f>
        <v>15</v>
      </c>
      <c r="W23" s="127" t="s">
        <v>174</v>
      </c>
      <c r="X23" s="128" t="str">
        <f t="shared" si="18"/>
        <v>15</v>
      </c>
      <c r="Y23" s="130" t="s">
        <v>178</v>
      </c>
      <c r="Z23" s="128">
        <f t="shared" si="19"/>
        <v>15</v>
      </c>
      <c r="AA23" s="129" t="s">
        <v>184</v>
      </c>
      <c r="AB23" s="128" t="str">
        <f t="shared" si="20"/>
        <v>15</v>
      </c>
      <c r="AC23" s="129" t="s">
        <v>248</v>
      </c>
      <c r="AD23" s="129" t="str">
        <f t="shared" si="26"/>
        <v>10</v>
      </c>
      <c r="AE23" s="129" t="s">
        <v>194</v>
      </c>
      <c r="AF23" s="129" t="str">
        <f t="shared" si="21"/>
        <v>0</v>
      </c>
      <c r="AG23" s="129">
        <f t="shared" si="22"/>
        <v>85</v>
      </c>
      <c r="AH23" s="172" t="str">
        <f t="shared" si="23"/>
        <v>DÉBIL</v>
      </c>
      <c r="AI23" s="129" t="s">
        <v>251</v>
      </c>
      <c r="AJ23" s="129" t="str">
        <f t="shared" si="27"/>
        <v>DÉBILFUERTE</v>
      </c>
      <c r="AK23" s="129">
        <f>VLOOKUP(AJ23,'PARAMETROS RIESGOS DE CORRUPCIÓ'!$Q$4:$R$12,2,0)</f>
        <v>0</v>
      </c>
      <c r="AL23" s="123" t="str">
        <f t="shared" si="24"/>
        <v>DÉBIL</v>
      </c>
      <c r="AM23" s="170" t="s">
        <v>295</v>
      </c>
      <c r="AN23" s="134" t="str">
        <f t="shared" si="25"/>
        <v>Reducir-Mitigar</v>
      </c>
      <c r="AO23" s="135" t="s">
        <v>730</v>
      </c>
      <c r="AP23" s="135" t="s">
        <v>721</v>
      </c>
      <c r="AQ23" s="138">
        <v>44742</v>
      </c>
      <c r="AR23" s="135" t="s">
        <v>722</v>
      </c>
      <c r="AS23" s="135" t="s">
        <v>365</v>
      </c>
      <c r="AT23" s="135" t="s">
        <v>604</v>
      </c>
    </row>
    <row r="24" spans="2:46" ht="185.25">
      <c r="B24" s="399">
        <v>26</v>
      </c>
      <c r="C24" s="15" t="s">
        <v>737</v>
      </c>
      <c r="D24" s="15" t="s">
        <v>527</v>
      </c>
      <c r="E24" s="128" t="s">
        <v>723</v>
      </c>
      <c r="F24" s="128" t="s">
        <v>724</v>
      </c>
      <c r="G24" s="128" t="s">
        <v>725</v>
      </c>
      <c r="H24" s="128" t="s">
        <v>726</v>
      </c>
      <c r="I24" s="136" t="s">
        <v>733</v>
      </c>
      <c r="J24" s="128" t="s">
        <v>243</v>
      </c>
      <c r="K24" s="128" t="s">
        <v>208</v>
      </c>
      <c r="L24" s="137" t="str">
        <f>VLOOKUP(K24,'PARAMETROS RIESGOS DE CORRUPCIÓ'!$D$24:$E$28,2,0)</f>
        <v>Posible</v>
      </c>
      <c r="M24" s="171">
        <f>IF(L24="Rara vez",20,IF(L24="Improbable",40,IF(L24="Posible",60,IF(L24="Probable",80,IF(L24="Casi seguro",100)))))</f>
        <v>60</v>
      </c>
      <c r="N24" s="132" t="s">
        <v>13</v>
      </c>
      <c r="O24" s="132">
        <f t="shared" si="17"/>
        <v>60</v>
      </c>
      <c r="P24" s="144">
        <f>VALUE(_xlfn.CONCAT('Riesgos Corrupción'!M24,O24))</f>
        <v>6060</v>
      </c>
      <c r="Q24" s="131" t="str">
        <f>VLOOKUP(P24,'[2]Zona de riesgo'!$L$12:$M$26,2)</f>
        <v>Moderado</v>
      </c>
      <c r="R24" s="136" t="s">
        <v>734</v>
      </c>
      <c r="S24" s="127" t="s">
        <v>167</v>
      </c>
      <c r="T24" s="144">
        <v>15</v>
      </c>
      <c r="U24" s="130" t="s">
        <v>170</v>
      </c>
      <c r="V24" s="129" t="str">
        <f t="shared" si="28"/>
        <v>15</v>
      </c>
      <c r="W24" s="127" t="s">
        <v>174</v>
      </c>
      <c r="X24" s="128" t="str">
        <f t="shared" si="18"/>
        <v>15</v>
      </c>
      <c r="Y24" s="130" t="s">
        <v>179</v>
      </c>
      <c r="Z24" s="128">
        <f t="shared" si="19"/>
        <v>10</v>
      </c>
      <c r="AA24" s="129" t="s">
        <v>184</v>
      </c>
      <c r="AB24" s="128" t="str">
        <f t="shared" si="20"/>
        <v>15</v>
      </c>
      <c r="AC24" s="129" t="s">
        <v>248</v>
      </c>
      <c r="AD24" s="129" t="str">
        <f t="shared" si="26"/>
        <v>10</v>
      </c>
      <c r="AE24" s="136" t="s">
        <v>192</v>
      </c>
      <c r="AF24" s="129" t="str">
        <f t="shared" si="21"/>
        <v>10</v>
      </c>
      <c r="AG24" s="129">
        <f t="shared" si="22"/>
        <v>90</v>
      </c>
      <c r="AH24" s="129" t="str">
        <f t="shared" ref="AH24" si="29">IF(AG24&lt;86,"DÉBIL",IF(AG24&lt;96,"MODERADO",IF(AG24&lt;101,"FUERTE")))</f>
        <v>MODERADO</v>
      </c>
      <c r="AI24" s="129" t="s">
        <v>251</v>
      </c>
      <c r="AJ24" s="129" t="str">
        <f t="shared" si="27"/>
        <v>MODERADOFUERTE</v>
      </c>
      <c r="AK24" s="129">
        <f>VLOOKUP(AJ24,'PARAMETROS RIESGOS DE CORRUPCIÓ'!$Q$4:$R$12,2,0)</f>
        <v>50</v>
      </c>
      <c r="AL24" s="123" t="str">
        <f t="shared" si="24"/>
        <v>MODERADO</v>
      </c>
      <c r="AM24" s="170" t="s">
        <v>735</v>
      </c>
      <c r="AN24" s="134" t="str">
        <f t="shared" si="25"/>
        <v>Reducir-Mitigar</v>
      </c>
      <c r="AO24" s="135" t="s">
        <v>736</v>
      </c>
      <c r="AP24" s="135" t="s">
        <v>721</v>
      </c>
      <c r="AQ24" s="138">
        <v>44742</v>
      </c>
      <c r="AR24" s="135" t="s">
        <v>722</v>
      </c>
      <c r="AS24" s="135" t="s">
        <v>365</v>
      </c>
      <c r="AT24" s="135" t="s">
        <v>604</v>
      </c>
    </row>
    <row r="28" spans="2:46">
      <c r="C28" s="413"/>
      <c r="D28" s="414"/>
      <c r="E28" s="415"/>
      <c r="F28" s="416" t="s">
        <v>791</v>
      </c>
      <c r="G28" s="417"/>
      <c r="H28" s="417"/>
      <c r="I28" s="417"/>
      <c r="J28" s="417"/>
      <c r="K28" s="418"/>
      <c r="L28" s="414"/>
      <c r="M28" s="419" t="s">
        <v>792</v>
      </c>
      <c r="N28" s="417"/>
      <c r="O28" s="417"/>
      <c r="P28" s="417"/>
      <c r="Q28" s="417"/>
      <c r="R28" s="417"/>
      <c r="S28" s="417"/>
      <c r="T28" s="417"/>
      <c r="U28" s="417"/>
      <c r="V28" s="418"/>
      <c r="W28" s="420"/>
      <c r="X28" s="420"/>
      <c r="Y28" s="421" t="s">
        <v>793</v>
      </c>
      <c r="Z28" s="422"/>
      <c r="AA28" s="422"/>
      <c r="AB28" s="422"/>
      <c r="AC28" s="422"/>
      <c r="AD28" s="422"/>
      <c r="AE28" s="422"/>
      <c r="AF28" s="422"/>
      <c r="AG28" s="422"/>
      <c r="AH28" s="422"/>
      <c r="AI28" s="422"/>
      <c r="AJ28" s="422"/>
      <c r="AK28" s="423"/>
      <c r="AL28" s="424"/>
      <c r="AM28" s="425" t="s">
        <v>794</v>
      </c>
      <c r="AN28" s="422"/>
      <c r="AO28" s="422"/>
      <c r="AP28" s="422"/>
      <c r="AQ28" s="422"/>
      <c r="AR28" s="422"/>
      <c r="AS28" s="423"/>
    </row>
    <row r="29" spans="2:46">
      <c r="C29" s="426"/>
      <c r="D29" s="414"/>
      <c r="E29" s="427"/>
      <c r="F29" s="414"/>
      <c r="G29" s="414"/>
      <c r="H29" s="414"/>
      <c r="I29" s="414"/>
      <c r="J29" s="414"/>
      <c r="K29" s="414"/>
      <c r="L29" s="414"/>
      <c r="M29" s="419" t="s">
        <v>795</v>
      </c>
      <c r="N29" s="417"/>
      <c r="O29" s="417"/>
      <c r="P29" s="417"/>
      <c r="Q29" s="417"/>
      <c r="R29" s="417"/>
      <c r="S29" s="417"/>
      <c r="T29" s="417"/>
      <c r="U29" s="417"/>
      <c r="V29" s="418"/>
      <c r="W29" s="420"/>
      <c r="X29" s="420"/>
      <c r="Y29" s="424"/>
      <c r="Z29" s="424"/>
      <c r="AA29" s="421" t="s">
        <v>796</v>
      </c>
      <c r="AB29" s="422"/>
      <c r="AC29" s="422"/>
      <c r="AD29" s="422"/>
      <c r="AE29" s="422"/>
      <c r="AF29" s="422"/>
      <c r="AG29" s="422"/>
      <c r="AH29" s="422"/>
      <c r="AI29" s="422"/>
      <c r="AJ29" s="422"/>
      <c r="AK29" s="423"/>
      <c r="AL29" s="424"/>
      <c r="AM29" s="428"/>
      <c r="AN29" s="428"/>
      <c r="AO29" s="428"/>
      <c r="AP29" s="428"/>
      <c r="AQ29" s="428"/>
      <c r="AR29" s="428"/>
      <c r="AS29" s="428"/>
    </row>
    <row r="30" spans="2:46" ht="199.5">
      <c r="C30" s="429" t="s">
        <v>690</v>
      </c>
      <c r="D30" s="414" t="s">
        <v>797</v>
      </c>
      <c r="E30" s="414" t="s">
        <v>798</v>
      </c>
      <c r="F30" s="414" t="s">
        <v>799</v>
      </c>
      <c r="G30" s="414" t="s">
        <v>800</v>
      </c>
      <c r="H30" s="414" t="s">
        <v>801</v>
      </c>
      <c r="I30" s="414" t="s">
        <v>296</v>
      </c>
      <c r="J30" s="414" t="s">
        <v>802</v>
      </c>
      <c r="K30" s="414" t="s">
        <v>803</v>
      </c>
      <c r="L30" s="414" t="s">
        <v>48</v>
      </c>
      <c r="M30" s="420" t="s">
        <v>804</v>
      </c>
      <c r="N30" s="430" t="s">
        <v>805</v>
      </c>
      <c r="O30" s="430" t="s">
        <v>806</v>
      </c>
      <c r="P30" s="430" t="s">
        <v>807</v>
      </c>
      <c r="Q30" s="430" t="s">
        <v>22</v>
      </c>
      <c r="R30" s="430" t="s">
        <v>808</v>
      </c>
      <c r="S30" s="430" t="s">
        <v>809</v>
      </c>
      <c r="T30" s="430" t="s">
        <v>810</v>
      </c>
      <c r="U30" s="430" t="s">
        <v>811</v>
      </c>
      <c r="V30" s="430" t="s">
        <v>812</v>
      </c>
      <c r="W30" s="430" t="s">
        <v>813</v>
      </c>
      <c r="X30" s="430" t="s">
        <v>814</v>
      </c>
      <c r="Y30" s="431" t="s">
        <v>815</v>
      </c>
      <c r="Z30" s="431" t="s">
        <v>816</v>
      </c>
      <c r="AA30" s="431" t="s">
        <v>804</v>
      </c>
      <c r="AB30" s="431" t="s">
        <v>805</v>
      </c>
      <c r="AC30" s="431" t="s">
        <v>806</v>
      </c>
      <c r="AD30" s="431" t="s">
        <v>817</v>
      </c>
      <c r="AE30" s="431" t="s">
        <v>22</v>
      </c>
      <c r="AF30" s="431" t="s">
        <v>818</v>
      </c>
      <c r="AG30" s="431" t="s">
        <v>809</v>
      </c>
      <c r="AH30" s="431" t="s">
        <v>819</v>
      </c>
      <c r="AI30" s="431" t="s">
        <v>820</v>
      </c>
      <c r="AJ30" s="431" t="s">
        <v>821</v>
      </c>
      <c r="AK30" s="431" t="s">
        <v>42</v>
      </c>
      <c r="AL30" s="431" t="s">
        <v>822</v>
      </c>
      <c r="AM30" s="428" t="s">
        <v>823</v>
      </c>
      <c r="AN30" s="428" t="s">
        <v>824</v>
      </c>
      <c r="AO30" s="428" t="s">
        <v>825</v>
      </c>
      <c r="AP30" s="428" t="s">
        <v>826</v>
      </c>
      <c r="AQ30" s="428" t="s">
        <v>827</v>
      </c>
      <c r="AR30" s="428" t="s">
        <v>828</v>
      </c>
      <c r="AS30" s="428" t="s">
        <v>829</v>
      </c>
    </row>
    <row r="31" spans="2:46" ht="132">
      <c r="C31" s="403" t="s">
        <v>751</v>
      </c>
      <c r="D31" s="403" t="s">
        <v>752</v>
      </c>
      <c r="E31" s="403" t="s">
        <v>753</v>
      </c>
      <c r="F31" s="404">
        <f t="shared" ref="F31:F35" si="30">B31</f>
        <v>0</v>
      </c>
      <c r="G31" s="404" t="str">
        <f t="shared" ref="G31:G35" si="31">CONCATENATE(D31,"-",F31)</f>
        <v>CD-0</v>
      </c>
      <c r="H31" s="403" t="s">
        <v>754</v>
      </c>
      <c r="I31" s="403" t="s">
        <v>755</v>
      </c>
      <c r="J31" s="403" t="s">
        <v>243</v>
      </c>
      <c r="K31" s="403" t="s">
        <v>756</v>
      </c>
      <c r="L31" s="403" t="s">
        <v>757</v>
      </c>
      <c r="M31" s="403" t="s">
        <v>758</v>
      </c>
      <c r="N31" s="405" t="s">
        <v>759</v>
      </c>
      <c r="O31" s="403">
        <v>1</v>
      </c>
      <c r="P31" s="405">
        <v>1</v>
      </c>
      <c r="Q31" s="403" t="s">
        <v>100</v>
      </c>
      <c r="R31" s="405" t="s">
        <v>760</v>
      </c>
      <c r="S31" s="403">
        <v>4</v>
      </c>
      <c r="T31" s="406">
        <v>4</v>
      </c>
      <c r="U31" s="407" t="s">
        <v>243</v>
      </c>
      <c r="V31" s="403" t="s">
        <v>68</v>
      </c>
      <c r="W31" s="404">
        <f t="shared" ref="W31:W35" si="32">VALUE(_xlfn.CONCAT(P31,T31))</f>
        <v>14</v>
      </c>
      <c r="X31" s="408" t="str">
        <f>VLOOKUP(W31,[3]PARAMETROS!$A$20:$E$39,5,TRUE)</f>
        <v>ALTA</v>
      </c>
      <c r="Y31" s="403" t="s">
        <v>761</v>
      </c>
      <c r="Z31" s="403" t="s">
        <v>109</v>
      </c>
      <c r="AA31" s="403" t="s">
        <v>758</v>
      </c>
      <c r="AB31" s="405" t="s">
        <v>759</v>
      </c>
      <c r="AC31" s="403">
        <v>1</v>
      </c>
      <c r="AD31" s="405">
        <v>1</v>
      </c>
      <c r="AE31" s="403" t="s">
        <v>100</v>
      </c>
      <c r="AF31" s="405" t="s">
        <v>760</v>
      </c>
      <c r="AG31" s="403">
        <v>4</v>
      </c>
      <c r="AH31" s="406">
        <v>4</v>
      </c>
      <c r="AI31" s="404">
        <f t="shared" ref="AI31:AI35" si="33">VALUE(_xlfn.CONCAT(AD31,AH31))</f>
        <v>14</v>
      </c>
      <c r="AJ31" s="409" t="str">
        <f>VLOOKUP(AI31,[3]PARAMETROS!$A$20:$E$39,5,TRUE)</f>
        <v>ALTA</v>
      </c>
      <c r="AK31" s="407" t="s">
        <v>762</v>
      </c>
      <c r="AL31" s="410" t="str">
        <f>VLOOKUP(AJ31,[3]PARAMETROS!$A$48:$B$51,2,FALSE)</f>
        <v>Reducir el riesgo, Eliminar, Evitar, Compartir o Transferir</v>
      </c>
      <c r="AM31" s="403" t="s">
        <v>763</v>
      </c>
      <c r="AN31" s="403" t="s">
        <v>764</v>
      </c>
      <c r="AO31" s="403" t="s">
        <v>765</v>
      </c>
      <c r="AP31" s="411">
        <v>1</v>
      </c>
      <c r="AQ31" s="403" t="s">
        <v>365</v>
      </c>
      <c r="AR31" s="412">
        <v>44562</v>
      </c>
      <c r="AS31" s="403" t="s">
        <v>766</v>
      </c>
    </row>
    <row r="32" spans="2:46" ht="148.5">
      <c r="C32" s="403" t="s">
        <v>751</v>
      </c>
      <c r="D32" s="403" t="s">
        <v>752</v>
      </c>
      <c r="E32" s="403" t="s">
        <v>753</v>
      </c>
      <c r="F32" s="404">
        <f t="shared" si="30"/>
        <v>0</v>
      </c>
      <c r="G32" s="404" t="str">
        <f t="shared" si="31"/>
        <v>CD-0</v>
      </c>
      <c r="H32" s="403" t="s">
        <v>767</v>
      </c>
      <c r="I32" s="403" t="s">
        <v>768</v>
      </c>
      <c r="J32" s="403" t="s">
        <v>243</v>
      </c>
      <c r="K32" s="403" t="s">
        <v>756</v>
      </c>
      <c r="L32" s="403" t="s">
        <v>757</v>
      </c>
      <c r="M32" s="403" t="s">
        <v>758</v>
      </c>
      <c r="N32" s="405" t="s">
        <v>759</v>
      </c>
      <c r="O32" s="403">
        <v>1</v>
      </c>
      <c r="P32" s="405">
        <v>1</v>
      </c>
      <c r="Q32" s="403" t="s">
        <v>100</v>
      </c>
      <c r="R32" s="405" t="s">
        <v>760</v>
      </c>
      <c r="S32" s="403">
        <v>4</v>
      </c>
      <c r="T32" s="406">
        <v>4</v>
      </c>
      <c r="U32" s="407" t="s">
        <v>243</v>
      </c>
      <c r="V32" s="403" t="s">
        <v>70</v>
      </c>
      <c r="W32" s="404">
        <f t="shared" si="32"/>
        <v>14</v>
      </c>
      <c r="X32" s="408" t="str">
        <f>VLOOKUP(W32,[3]PARAMETROS!$A$20:$E$39,5,TRUE)</f>
        <v>ALTA</v>
      </c>
      <c r="Y32" s="403" t="s">
        <v>769</v>
      </c>
      <c r="Z32" s="403" t="s">
        <v>109</v>
      </c>
      <c r="AA32" s="403" t="s">
        <v>758</v>
      </c>
      <c r="AB32" s="405" t="s">
        <v>759</v>
      </c>
      <c r="AC32" s="403">
        <v>1</v>
      </c>
      <c r="AD32" s="405">
        <v>1</v>
      </c>
      <c r="AE32" s="403" t="s">
        <v>100</v>
      </c>
      <c r="AF32" s="405" t="s">
        <v>760</v>
      </c>
      <c r="AG32" s="403">
        <v>4</v>
      </c>
      <c r="AH32" s="406">
        <v>4</v>
      </c>
      <c r="AI32" s="404">
        <f t="shared" si="33"/>
        <v>14</v>
      </c>
      <c r="AJ32" s="409" t="str">
        <f>VLOOKUP(AI32,[3]PARAMETROS!$A$20:$E$39,5,TRUE)</f>
        <v>ALTA</v>
      </c>
      <c r="AK32" s="407" t="s">
        <v>762</v>
      </c>
      <c r="AL32" s="410" t="str">
        <f>VLOOKUP(AJ32,[3]PARAMETROS!$A$48:$B$51,2,FALSE)</f>
        <v>Reducir el riesgo, Eliminar, Evitar, Compartir o Transferir</v>
      </c>
      <c r="AM32" s="403" t="s">
        <v>770</v>
      </c>
      <c r="AN32" s="403" t="s">
        <v>771</v>
      </c>
      <c r="AO32" s="403" t="s">
        <v>765</v>
      </c>
      <c r="AP32" s="411">
        <v>1</v>
      </c>
      <c r="AQ32" s="403" t="s">
        <v>365</v>
      </c>
      <c r="AR32" s="412">
        <v>44562</v>
      </c>
      <c r="AS32" s="403" t="s">
        <v>766</v>
      </c>
    </row>
    <row r="33" spans="3:45" ht="165">
      <c r="C33" s="403" t="s">
        <v>751</v>
      </c>
      <c r="D33" s="403" t="s">
        <v>752</v>
      </c>
      <c r="E33" s="403" t="s">
        <v>753</v>
      </c>
      <c r="F33" s="404">
        <f t="shared" si="30"/>
        <v>0</v>
      </c>
      <c r="G33" s="404" t="str">
        <f t="shared" si="31"/>
        <v>CD-0</v>
      </c>
      <c r="H33" s="403" t="s">
        <v>772</v>
      </c>
      <c r="I33" s="403" t="s">
        <v>773</v>
      </c>
      <c r="J33" s="403" t="s">
        <v>774</v>
      </c>
      <c r="K33" s="403" t="s">
        <v>756</v>
      </c>
      <c r="L33" s="403" t="s">
        <v>757</v>
      </c>
      <c r="M33" s="403" t="s">
        <v>758</v>
      </c>
      <c r="N33" s="405" t="s">
        <v>759</v>
      </c>
      <c r="O33" s="403">
        <v>1</v>
      </c>
      <c r="P33" s="405">
        <v>1</v>
      </c>
      <c r="Q33" s="403" t="s">
        <v>100</v>
      </c>
      <c r="R33" s="405" t="s">
        <v>760</v>
      </c>
      <c r="S33" s="403">
        <v>4</v>
      </c>
      <c r="T33" s="406">
        <v>4</v>
      </c>
      <c r="U33" s="407" t="s">
        <v>775</v>
      </c>
      <c r="V33" s="403" t="s">
        <v>70</v>
      </c>
      <c r="W33" s="404">
        <f t="shared" si="32"/>
        <v>14</v>
      </c>
      <c r="X33" s="408" t="str">
        <f>VLOOKUP(W33,[3]PARAMETROS!$A$20:$E$39,5,TRUE)</f>
        <v>ALTA</v>
      </c>
      <c r="Y33" s="403" t="s">
        <v>776</v>
      </c>
      <c r="Z33" s="403" t="s">
        <v>109</v>
      </c>
      <c r="AA33" s="403" t="s">
        <v>758</v>
      </c>
      <c r="AB33" s="405" t="s">
        <v>759</v>
      </c>
      <c r="AC33" s="403">
        <v>1</v>
      </c>
      <c r="AD33" s="405">
        <v>1</v>
      </c>
      <c r="AE33" s="403" t="s">
        <v>100</v>
      </c>
      <c r="AF33" s="405" t="s">
        <v>760</v>
      </c>
      <c r="AG33" s="403">
        <v>4</v>
      </c>
      <c r="AH33" s="406">
        <v>4</v>
      </c>
      <c r="AI33" s="404">
        <f t="shared" si="33"/>
        <v>14</v>
      </c>
      <c r="AJ33" s="409" t="str">
        <f>VLOOKUP(AI33,[3]PARAMETROS!$A$20:$E$39,5,TRUE)</f>
        <v>ALTA</v>
      </c>
      <c r="AK33" s="407" t="s">
        <v>762</v>
      </c>
      <c r="AL33" s="410" t="str">
        <f>VLOOKUP(AJ33,[3]PARAMETROS!$A$48:$B$51,2,FALSE)</f>
        <v>Reducir el riesgo, Eliminar, Evitar, Compartir o Transferir</v>
      </c>
      <c r="AM33" s="403" t="s">
        <v>777</v>
      </c>
      <c r="AN33" s="403" t="s">
        <v>778</v>
      </c>
      <c r="AO33" s="403" t="s">
        <v>486</v>
      </c>
      <c r="AP33" s="403" t="s">
        <v>486</v>
      </c>
      <c r="AQ33" s="403" t="s">
        <v>365</v>
      </c>
      <c r="AR33" s="412">
        <v>44562</v>
      </c>
      <c r="AS33" s="403" t="s">
        <v>766</v>
      </c>
    </row>
    <row r="34" spans="3:45" ht="198">
      <c r="C34" s="403" t="s">
        <v>751</v>
      </c>
      <c r="D34" s="403" t="s">
        <v>752</v>
      </c>
      <c r="E34" s="403" t="s">
        <v>753</v>
      </c>
      <c r="F34" s="404">
        <f t="shared" si="30"/>
        <v>0</v>
      </c>
      <c r="G34" s="404" t="str">
        <f t="shared" si="31"/>
        <v>CD-0</v>
      </c>
      <c r="H34" s="403" t="s">
        <v>779</v>
      </c>
      <c r="I34" s="403" t="s">
        <v>780</v>
      </c>
      <c r="J34" s="403" t="s">
        <v>243</v>
      </c>
      <c r="K34" s="403" t="s">
        <v>781</v>
      </c>
      <c r="L34" s="403" t="s">
        <v>757</v>
      </c>
      <c r="M34" s="403" t="s">
        <v>758</v>
      </c>
      <c r="N34" s="405" t="s">
        <v>759</v>
      </c>
      <c r="O34" s="403">
        <v>1</v>
      </c>
      <c r="P34" s="405">
        <v>1</v>
      </c>
      <c r="Q34" s="403" t="s">
        <v>100</v>
      </c>
      <c r="R34" s="405" t="s">
        <v>760</v>
      </c>
      <c r="S34" s="403">
        <v>4</v>
      </c>
      <c r="T34" s="406">
        <v>4</v>
      </c>
      <c r="U34" s="407" t="s">
        <v>243</v>
      </c>
      <c r="V34" s="403" t="s">
        <v>70</v>
      </c>
      <c r="W34" s="404">
        <f t="shared" si="32"/>
        <v>14</v>
      </c>
      <c r="X34" s="408" t="str">
        <f>VLOOKUP(W34,[3]PARAMETROS!$A$20:$E$39,5,TRUE)</f>
        <v>ALTA</v>
      </c>
      <c r="Y34" s="403" t="s">
        <v>782</v>
      </c>
      <c r="Z34" s="403" t="s">
        <v>109</v>
      </c>
      <c r="AA34" s="403" t="s">
        <v>758</v>
      </c>
      <c r="AB34" s="405" t="s">
        <v>759</v>
      </c>
      <c r="AC34" s="403">
        <v>1</v>
      </c>
      <c r="AD34" s="405">
        <v>1</v>
      </c>
      <c r="AE34" s="403" t="s">
        <v>100</v>
      </c>
      <c r="AF34" s="405" t="s">
        <v>760</v>
      </c>
      <c r="AG34" s="403">
        <v>4</v>
      </c>
      <c r="AH34" s="406">
        <v>4</v>
      </c>
      <c r="AI34" s="404">
        <f t="shared" si="33"/>
        <v>14</v>
      </c>
      <c r="AJ34" s="409" t="str">
        <f>VLOOKUP(AI34,[3]PARAMETROS!$A$20:$E$39,5,TRUE)</f>
        <v>ALTA</v>
      </c>
      <c r="AK34" s="407" t="s">
        <v>762</v>
      </c>
      <c r="AL34" s="410" t="str">
        <f>VLOOKUP(AJ34,[3]PARAMETROS!$A$48:$B$51,2,FALSE)</f>
        <v>Reducir el riesgo, Eliminar, Evitar, Compartir o Transferir</v>
      </c>
      <c r="AM34" s="403" t="s">
        <v>783</v>
      </c>
      <c r="AN34" s="403" t="s">
        <v>784</v>
      </c>
      <c r="AO34" s="403" t="s">
        <v>785</v>
      </c>
      <c r="AP34" s="411">
        <v>1</v>
      </c>
      <c r="AQ34" s="403" t="s">
        <v>365</v>
      </c>
      <c r="AR34" s="412">
        <v>44562</v>
      </c>
      <c r="AS34" s="403" t="s">
        <v>766</v>
      </c>
    </row>
    <row r="35" spans="3:45" ht="165">
      <c r="C35" s="403" t="s">
        <v>751</v>
      </c>
      <c r="D35" s="403" t="s">
        <v>752</v>
      </c>
      <c r="E35" s="403" t="s">
        <v>753</v>
      </c>
      <c r="F35" s="404">
        <f t="shared" si="30"/>
        <v>0</v>
      </c>
      <c r="G35" s="404" t="str">
        <f t="shared" si="31"/>
        <v>CD-0</v>
      </c>
      <c r="H35" s="403" t="s">
        <v>786</v>
      </c>
      <c r="I35" s="403" t="s">
        <v>787</v>
      </c>
      <c r="J35" s="403" t="s">
        <v>243</v>
      </c>
      <c r="K35" s="403" t="s">
        <v>781</v>
      </c>
      <c r="L35" s="403" t="s">
        <v>757</v>
      </c>
      <c r="M35" s="403" t="s">
        <v>758</v>
      </c>
      <c r="N35" s="405" t="s">
        <v>759</v>
      </c>
      <c r="O35" s="403">
        <v>1</v>
      </c>
      <c r="P35" s="405">
        <v>1</v>
      </c>
      <c r="Q35" s="403" t="s">
        <v>100</v>
      </c>
      <c r="R35" s="405" t="s">
        <v>760</v>
      </c>
      <c r="S35" s="403">
        <v>4</v>
      </c>
      <c r="T35" s="406">
        <v>4</v>
      </c>
      <c r="U35" s="407" t="s">
        <v>243</v>
      </c>
      <c r="V35" s="403" t="s">
        <v>70</v>
      </c>
      <c r="W35" s="404">
        <f t="shared" si="32"/>
        <v>14</v>
      </c>
      <c r="X35" s="408" t="str">
        <f>VLOOKUP(W35,[3]PARAMETROS!$A$20:$E$39,5,TRUE)</f>
        <v>ALTA</v>
      </c>
      <c r="Y35" s="403" t="s">
        <v>788</v>
      </c>
      <c r="Z35" s="403" t="s">
        <v>109</v>
      </c>
      <c r="AA35" s="403" t="s">
        <v>758</v>
      </c>
      <c r="AB35" s="405" t="s">
        <v>759</v>
      </c>
      <c r="AC35" s="403">
        <v>1</v>
      </c>
      <c r="AD35" s="405">
        <v>1</v>
      </c>
      <c r="AE35" s="403" t="s">
        <v>100</v>
      </c>
      <c r="AF35" s="405" t="s">
        <v>760</v>
      </c>
      <c r="AG35" s="403">
        <v>4</v>
      </c>
      <c r="AH35" s="406">
        <v>4</v>
      </c>
      <c r="AI35" s="404">
        <f t="shared" si="33"/>
        <v>14</v>
      </c>
      <c r="AJ35" s="409" t="str">
        <f>VLOOKUP(AI35,[3]PARAMETROS!$A$20:$E$39,5,TRUE)</f>
        <v>ALTA</v>
      </c>
      <c r="AK35" s="407" t="s">
        <v>762</v>
      </c>
      <c r="AL35" s="410" t="str">
        <f>VLOOKUP(AJ35,[3]PARAMETROS!$A$48:$B$51,2,FALSE)</f>
        <v>Reducir el riesgo, Eliminar, Evitar, Compartir o Transferir</v>
      </c>
      <c r="AM35" s="403" t="s">
        <v>789</v>
      </c>
      <c r="AN35" s="403" t="s">
        <v>790</v>
      </c>
      <c r="AO35" s="403" t="s">
        <v>765</v>
      </c>
      <c r="AP35" s="411">
        <v>1</v>
      </c>
      <c r="AQ35" s="403" t="s">
        <v>365</v>
      </c>
      <c r="AR35" s="412">
        <v>44562</v>
      </c>
      <c r="AS35" s="403" t="s">
        <v>766</v>
      </c>
    </row>
    <row r="468" spans="47:49" ht="42.75">
      <c r="AU468" s="2" t="s">
        <v>10</v>
      </c>
      <c r="AV468" s="2" t="s">
        <v>16</v>
      </c>
    </row>
    <row r="469" spans="47:49" ht="28.5">
      <c r="AU469" s="2" t="s">
        <v>4</v>
      </c>
      <c r="AV469" s="2" t="s">
        <v>17</v>
      </c>
      <c r="AW469" s="5"/>
    </row>
    <row r="470" spans="47:49" ht="28.5">
      <c r="AU470" s="2" t="s">
        <v>5</v>
      </c>
      <c r="AV470" s="2" t="s">
        <v>14</v>
      </c>
      <c r="AW470" s="5"/>
    </row>
    <row r="471" spans="47:49" ht="15">
      <c r="AU471" s="2" t="s">
        <v>6</v>
      </c>
      <c r="AV471" s="2" t="s">
        <v>7</v>
      </c>
      <c r="AW471" s="5"/>
    </row>
    <row r="472" spans="47:49" ht="15">
      <c r="AW472" s="5"/>
    </row>
    <row r="473" spans="47:49" ht="15">
      <c r="AW473" s="5"/>
    </row>
    <row r="474" spans="47:49" ht="15">
      <c r="AW474" s="5"/>
    </row>
    <row r="475" spans="47:49" ht="15">
      <c r="AW475" s="5"/>
    </row>
    <row r="476" spans="47:49" ht="15">
      <c r="AW476" s="5"/>
    </row>
  </sheetData>
  <sheetProtection formatCells="0" formatColumns="0" formatRows="0" insertColumns="0" insertHyperlinks="0" deleteColumns="0" deleteRows="0" sort="0" autoFilter="0" pivotTables="0"/>
  <mergeCells count="126">
    <mergeCell ref="C28:C29"/>
    <mergeCell ref="E28:E29"/>
    <mergeCell ref="F28:K28"/>
    <mergeCell ref="M28:V28"/>
    <mergeCell ref="Y28:AK28"/>
    <mergeCell ref="AM28:AS28"/>
    <mergeCell ref="M29:V29"/>
    <mergeCell ref="AA29:AK29"/>
    <mergeCell ref="AJ18:AJ20"/>
    <mergeCell ref="AK18:AK20"/>
    <mergeCell ref="AL18:AL20"/>
    <mergeCell ref="AM18:AM20"/>
    <mergeCell ref="AN18:AN20"/>
    <mergeCell ref="B18:B20"/>
    <mergeCell ref="N18:N20"/>
    <mergeCell ref="Q18:Q20"/>
    <mergeCell ref="J18:J20"/>
    <mergeCell ref="K18:K20"/>
    <mergeCell ref="E18:E20"/>
    <mergeCell ref="F18:F20"/>
    <mergeCell ref="G18:G20"/>
    <mergeCell ref="H18:H20"/>
    <mergeCell ref="I18:I20"/>
    <mergeCell ref="B4:B5"/>
    <mergeCell ref="E4:E5"/>
    <mergeCell ref="F4:F5"/>
    <mergeCell ref="G4:G5"/>
    <mergeCell ref="I4:I5"/>
    <mergeCell ref="H4:H5"/>
    <mergeCell ref="E2:AO2"/>
    <mergeCell ref="B3:K3"/>
    <mergeCell ref="L3:Q3"/>
    <mergeCell ref="R3:AM3"/>
    <mergeCell ref="AN3:AT3"/>
    <mergeCell ref="AE5:AF5"/>
    <mergeCell ref="W4:AE4"/>
    <mergeCell ref="P4:Q5"/>
    <mergeCell ref="R4:R5"/>
    <mergeCell ref="S4:U4"/>
    <mergeCell ref="C4:C5"/>
    <mergeCell ref="D4:D5"/>
    <mergeCell ref="J4:J5"/>
    <mergeCell ref="AS4:AS5"/>
    <mergeCell ref="AT4:AT5"/>
    <mergeCell ref="AN4:AN5"/>
    <mergeCell ref="AO4:AO5"/>
    <mergeCell ref="AP4:AP5"/>
    <mergeCell ref="AQ4:AQ5"/>
    <mergeCell ref="AR4:AR5"/>
    <mergeCell ref="AM4:AM5"/>
    <mergeCell ref="K4:K5"/>
    <mergeCell ref="L4:L5"/>
    <mergeCell ref="N4:O5"/>
    <mergeCell ref="W5:X5"/>
    <mergeCell ref="Y5:Z5"/>
    <mergeCell ref="AA5:AB5"/>
    <mergeCell ref="AC5:AD5"/>
    <mergeCell ref="Q15:Q17"/>
    <mergeCell ref="N15:N17"/>
    <mergeCell ref="L15:L17"/>
    <mergeCell ref="E15:E17"/>
    <mergeCell ref="F15:F17"/>
    <mergeCell ref="G15:G17"/>
    <mergeCell ref="H15:H17"/>
    <mergeCell ref="I15:I17"/>
    <mergeCell ref="G1:K1"/>
    <mergeCell ref="N1:U1"/>
    <mergeCell ref="B15:B17"/>
    <mergeCell ref="P15:P17"/>
    <mergeCell ref="P18:P20"/>
    <mergeCell ref="M15:M17"/>
    <mergeCell ref="M18:M20"/>
    <mergeCell ref="O18:O20"/>
    <mergeCell ref="O15:O17"/>
    <mergeCell ref="C15:C17"/>
    <mergeCell ref="D15:D17"/>
    <mergeCell ref="J15:J17"/>
    <mergeCell ref="K15:K17"/>
    <mergeCell ref="C18:C20"/>
    <mergeCell ref="D18:D20"/>
    <mergeCell ref="L18:L20"/>
    <mergeCell ref="AS15:AS17"/>
    <mergeCell ref="AT15:AT17"/>
    <mergeCell ref="S15:S17"/>
    <mergeCell ref="U15:U17"/>
    <mergeCell ref="V15:V17"/>
    <mergeCell ref="W15:W17"/>
    <mergeCell ref="X15:X17"/>
    <mergeCell ref="Y15:Y17"/>
    <mergeCell ref="Z15:Z17"/>
    <mergeCell ref="AA15:AA17"/>
    <mergeCell ref="AB15:AB17"/>
    <mergeCell ref="AC15:AC17"/>
    <mergeCell ref="AD15:AD17"/>
    <mergeCell ref="AE15:AE17"/>
    <mergeCell ref="AF15:AF17"/>
    <mergeCell ref="AG15:AG17"/>
    <mergeCell ref="AN15:AN17"/>
    <mergeCell ref="AO15:AO17"/>
    <mergeCell ref="AP15:AP17"/>
    <mergeCell ref="AQ15:AQ17"/>
    <mergeCell ref="AR15:AR17"/>
    <mergeCell ref="T15:T17"/>
    <mergeCell ref="T18:T20"/>
    <mergeCell ref="AM15:AM17"/>
    <mergeCell ref="S18:S20"/>
    <mergeCell ref="U18:U20"/>
    <mergeCell ref="V18:V20"/>
    <mergeCell ref="W18:W20"/>
    <mergeCell ref="X18:X20"/>
    <mergeCell ref="Y18:Y20"/>
    <mergeCell ref="Z18:Z20"/>
    <mergeCell ref="AA18:AA20"/>
    <mergeCell ref="AB18:AB20"/>
    <mergeCell ref="AC18:AC20"/>
    <mergeCell ref="AD18:AD20"/>
    <mergeCell ref="AE18:AE20"/>
    <mergeCell ref="AG18:AG20"/>
    <mergeCell ref="AH15:AH17"/>
    <mergeCell ref="AI15:AI17"/>
    <mergeCell ref="AJ15:AJ17"/>
    <mergeCell ref="AK15:AK17"/>
    <mergeCell ref="AL15:AL17"/>
    <mergeCell ref="AF18:AF20"/>
    <mergeCell ref="AH18:AH20"/>
    <mergeCell ref="AI18:AI20"/>
  </mergeCells>
  <phoneticPr fontId="35" type="noConversion"/>
  <conditionalFormatting sqref="AN12">
    <cfRule type="cellIs" dxfId="530" priority="119" stopIfTrue="1" operator="equal">
      <formula>"INACEPTABLE"</formula>
    </cfRule>
    <cfRule type="cellIs" dxfId="529" priority="120" stopIfTrue="1" operator="equal">
      <formula>"IMPORTANTE"</formula>
    </cfRule>
    <cfRule type="cellIs" dxfId="528" priority="121" stopIfTrue="1" operator="equal">
      <formula>"MODERADA"</formula>
    </cfRule>
  </conditionalFormatting>
  <conditionalFormatting sqref="AM12:AM14">
    <cfRule type="containsText" dxfId="527" priority="114" operator="containsText" text="Extremo">
      <formula>NOT(ISERROR(SEARCH("Extremo",AM12)))</formula>
    </cfRule>
    <cfRule type="containsText" dxfId="526" priority="115" operator="containsText" text="Alto">
      <formula>NOT(ISERROR(SEARCH("Alto",AM12)))</formula>
    </cfRule>
    <cfRule type="containsText" dxfId="525" priority="116" operator="containsText" text="Moderado">
      <formula>NOT(ISERROR(SEARCH("Moderado",AM12)))</formula>
    </cfRule>
    <cfRule type="containsText" dxfId="524" priority="117" operator="containsText" text="Baja">
      <formula>NOT(ISERROR(SEARCH("Baja",AM12)))</formula>
    </cfRule>
    <cfRule type="cellIs" dxfId="523" priority="118" operator="equal">
      <formula>"Bajo"</formula>
    </cfRule>
  </conditionalFormatting>
  <conditionalFormatting sqref="N12:N14">
    <cfRule type="containsText" dxfId="522" priority="109" operator="containsText" text="Catastrófico">
      <formula>NOT(ISERROR(SEARCH("Catastrófico",N12)))</formula>
    </cfRule>
    <cfRule type="containsText" dxfId="521" priority="110" operator="containsText" text="Mayor">
      <formula>NOT(ISERROR(SEARCH("Mayor",N12)))</formula>
    </cfRule>
    <cfRule type="containsText" dxfId="520" priority="111" operator="containsText" text="Moderado">
      <formula>NOT(ISERROR(SEARCH("Moderado",N12)))</formula>
    </cfRule>
    <cfRule type="containsText" dxfId="519" priority="112" operator="containsText" text="Menor">
      <formula>NOT(ISERROR(SEARCH("Menor",N12)))</formula>
    </cfRule>
    <cfRule type="containsText" dxfId="518" priority="113" operator="containsText" text="Leve">
      <formula>NOT(ISERROR(SEARCH("Leve",N12)))</formula>
    </cfRule>
  </conditionalFormatting>
  <conditionalFormatting sqref="AN13">
    <cfRule type="cellIs" dxfId="517" priority="106" stopIfTrue="1" operator="equal">
      <formula>"INACEPTABLE"</formula>
    </cfRule>
    <cfRule type="cellIs" dxfId="516" priority="107" stopIfTrue="1" operator="equal">
      <formula>"IMPORTANTE"</formula>
    </cfRule>
    <cfRule type="cellIs" dxfId="515" priority="108" stopIfTrue="1" operator="equal">
      <formula>"MODERADA"</formula>
    </cfRule>
  </conditionalFormatting>
  <conditionalFormatting sqref="M13:M14">
    <cfRule type="containsText" dxfId="514" priority="122" operator="containsText" text="Muy Alta">
      <formula>NOT(ISERROR(SEARCH("Muy Alta",M13)))</formula>
    </cfRule>
    <cfRule type="containsText" dxfId="513" priority="123" operator="containsText" text="Alta">
      <formula>NOT(ISERROR(SEARCH("Alta",M13)))</formula>
    </cfRule>
    <cfRule type="containsText" dxfId="512" priority="124" operator="containsText" text="Media">
      <formula>NOT(ISERROR(SEARCH("Media",M13)))</formula>
    </cfRule>
    <cfRule type="containsText" dxfId="511" priority="125" operator="containsText" text="Baja">
      <formula>NOT(ISERROR(SEARCH("Baja",M13)))</formula>
    </cfRule>
    <cfRule type="containsText" dxfId="510" priority="126" operator="containsText" text="Muy Baja">
      <formula>NOT(ISERROR(SEARCH("Muy Baja",M13)))</formula>
    </cfRule>
    <cfRule type="colorScale" priority="127">
      <colorScale>
        <cfvo type="min"/>
        <cfvo type="percentile" val="50"/>
        <cfvo type="max"/>
        <color rgb="FFF8696B"/>
        <color rgb="FFFFEB84"/>
        <color rgb="FF63BE7B"/>
      </colorScale>
    </cfRule>
  </conditionalFormatting>
  <conditionalFormatting sqref="AN14">
    <cfRule type="cellIs" dxfId="509" priority="83" stopIfTrue="1" operator="equal">
      <formula>"INACEPTABLE"</formula>
    </cfRule>
    <cfRule type="cellIs" dxfId="508" priority="84" stopIfTrue="1" operator="equal">
      <formula>"IMPORTANTE"</formula>
    </cfRule>
    <cfRule type="cellIs" dxfId="507" priority="85" stopIfTrue="1" operator="equal">
      <formula>"MODERADA"</formula>
    </cfRule>
  </conditionalFormatting>
  <conditionalFormatting sqref="L7:L15 L18 L21:L24">
    <cfRule type="containsText" dxfId="506" priority="72" operator="containsText" text="Casi Seguro">
      <formula>NOT(ISERROR(SEARCH("Casi Seguro",L7)))</formula>
    </cfRule>
    <cfRule type="containsText" dxfId="505" priority="73" operator="containsText" text="Probable">
      <formula>NOT(ISERROR(SEARCH("Probable",L7)))</formula>
    </cfRule>
    <cfRule type="containsText" dxfId="504" priority="74" operator="containsText" text="Posible">
      <formula>NOT(ISERROR(SEARCH("Posible",L7)))</formula>
    </cfRule>
    <cfRule type="containsText" dxfId="503" priority="75" operator="containsText" text="Improbable">
      <formula>NOT(ISERROR(SEARCH("Improbable",L7)))</formula>
    </cfRule>
    <cfRule type="containsText" dxfId="502" priority="76" operator="containsText" text="Rara vez">
      <formula>NOT(ISERROR(SEARCH("Rara vez",L7)))</formula>
    </cfRule>
  </conditionalFormatting>
  <conditionalFormatting sqref="L7:L15 L18 L21:L24">
    <cfRule type="containsText" dxfId="501" priority="1357" operator="containsText" text="Muy Alta">
      <formula>NOT(ISERROR(SEARCH("Muy Alta",L7)))</formula>
    </cfRule>
    <cfRule type="containsText" dxfId="500" priority="1358" operator="containsText" text="Alta">
      <formula>NOT(ISERROR(SEARCH("Alta",L7)))</formula>
    </cfRule>
    <cfRule type="containsText" dxfId="499" priority="1359" operator="containsText" text="Media">
      <formula>NOT(ISERROR(SEARCH("Media",L7)))</formula>
    </cfRule>
    <cfRule type="containsText" dxfId="498" priority="1360" operator="containsText" text="Baja">
      <formula>NOT(ISERROR(SEARCH("Baja",L7)))</formula>
    </cfRule>
    <cfRule type="containsText" dxfId="497" priority="1361" operator="containsText" text="Muy Baja">
      <formula>NOT(ISERROR(SEARCH("Muy Baja",L7)))</formula>
    </cfRule>
    <cfRule type="colorScale" priority="1362">
      <colorScale>
        <cfvo type="min"/>
        <cfvo type="percentile" val="50"/>
        <cfvo type="max"/>
        <color rgb="FFF8696B"/>
        <color rgb="FFFFEB84"/>
        <color rgb="FF63BE7B"/>
      </colorScale>
    </cfRule>
  </conditionalFormatting>
  <conditionalFormatting sqref="AM11">
    <cfRule type="containsText" dxfId="496" priority="67" operator="containsText" text="Extremo">
      <formula>NOT(ISERROR(SEARCH("Extremo",AM11)))</formula>
    </cfRule>
    <cfRule type="containsText" dxfId="495" priority="68" operator="containsText" text="Alto">
      <formula>NOT(ISERROR(SEARCH("Alto",AM11)))</formula>
    </cfRule>
    <cfRule type="containsText" dxfId="494" priority="69" operator="containsText" text="Moderado">
      <formula>NOT(ISERROR(SEARCH("Moderado",AM11)))</formula>
    </cfRule>
    <cfRule type="containsText" dxfId="493" priority="70" operator="containsText" text="Baja">
      <formula>NOT(ISERROR(SEARCH("Baja",AM11)))</formula>
    </cfRule>
    <cfRule type="cellIs" dxfId="492" priority="71" operator="equal">
      <formula>"Bajo"</formula>
    </cfRule>
  </conditionalFormatting>
  <conditionalFormatting sqref="AN11">
    <cfRule type="cellIs" dxfId="491" priority="64" stopIfTrue="1" operator="equal">
      <formula>"INACEPTABLE"</formula>
    </cfRule>
    <cfRule type="cellIs" dxfId="490" priority="65" stopIfTrue="1" operator="equal">
      <formula>"IMPORTANTE"</formula>
    </cfRule>
    <cfRule type="cellIs" dxfId="489" priority="66" stopIfTrue="1" operator="equal">
      <formula>"MODERADA"</formula>
    </cfRule>
  </conditionalFormatting>
  <conditionalFormatting sqref="AM7">
    <cfRule type="containsText" dxfId="488" priority="59" operator="containsText" text="Extremo">
      <formula>NOT(ISERROR(SEARCH("Extremo",AM7)))</formula>
    </cfRule>
    <cfRule type="containsText" dxfId="487" priority="60" operator="containsText" text="Alto">
      <formula>NOT(ISERROR(SEARCH("Alto",AM7)))</formula>
    </cfRule>
    <cfRule type="containsText" dxfId="486" priority="61" operator="containsText" text="Moderado">
      <formula>NOT(ISERROR(SEARCH("Moderado",AM7)))</formula>
    </cfRule>
    <cfRule type="containsText" dxfId="485" priority="62" operator="containsText" text="Baja">
      <formula>NOT(ISERROR(SEARCH("Baja",AM7)))</formula>
    </cfRule>
    <cfRule type="cellIs" dxfId="484" priority="63" operator="equal">
      <formula>"Bajo"</formula>
    </cfRule>
  </conditionalFormatting>
  <conditionalFormatting sqref="AM8">
    <cfRule type="containsText" dxfId="483" priority="54" operator="containsText" text="Extremo">
      <formula>NOT(ISERROR(SEARCH("Extremo",AM8)))</formula>
    </cfRule>
    <cfRule type="containsText" dxfId="482" priority="55" operator="containsText" text="Alto">
      <formula>NOT(ISERROR(SEARCH("Alto",AM8)))</formula>
    </cfRule>
    <cfRule type="containsText" dxfId="481" priority="56" operator="containsText" text="Moderado">
      <formula>NOT(ISERROR(SEARCH("Moderado",AM8)))</formula>
    </cfRule>
    <cfRule type="containsText" dxfId="480" priority="57" operator="containsText" text="Baja">
      <formula>NOT(ISERROR(SEARCH("Baja",AM8)))</formula>
    </cfRule>
    <cfRule type="cellIs" dxfId="479" priority="58" operator="equal">
      <formula>"Bajo"</formula>
    </cfRule>
  </conditionalFormatting>
  <conditionalFormatting sqref="AN21">
    <cfRule type="cellIs" dxfId="478" priority="1" stopIfTrue="1" operator="equal">
      <formula>"INACEPTABLE"</formula>
    </cfRule>
  </conditionalFormatting>
  <conditionalFormatting sqref="AN21">
    <cfRule type="cellIs" dxfId="477" priority="2" stopIfTrue="1" operator="equal">
      <formula>"IMPORTANTE"</formula>
    </cfRule>
  </conditionalFormatting>
  <conditionalFormatting sqref="AN21">
    <cfRule type="cellIs" dxfId="476" priority="3" stopIfTrue="1" operator="equal">
      <formula>"MODERADA"</formula>
    </cfRule>
  </conditionalFormatting>
  <conditionalFormatting sqref="AM21:AM24">
    <cfRule type="containsText" dxfId="475" priority="4" operator="containsText" text="Extremo">
      <formula>NOT(ISERROR(SEARCH(("Extremo"),(AM21))))</formula>
    </cfRule>
  </conditionalFormatting>
  <conditionalFormatting sqref="AM21:AM24">
    <cfRule type="containsText" dxfId="474" priority="5" operator="containsText" text="Alto">
      <formula>NOT(ISERROR(SEARCH(("Alto"),(AM21))))</formula>
    </cfRule>
  </conditionalFormatting>
  <conditionalFormatting sqref="AM21:AM24">
    <cfRule type="containsText" dxfId="473" priority="6" operator="containsText" text="Moderado">
      <formula>NOT(ISERROR(SEARCH(("Moderado"),(AM21))))</formula>
    </cfRule>
  </conditionalFormatting>
  <conditionalFormatting sqref="AM21:AM24">
    <cfRule type="containsText" dxfId="472" priority="7" operator="containsText" text="Baja">
      <formula>NOT(ISERROR(SEARCH(("Baja"),(AM21))))</formula>
    </cfRule>
  </conditionalFormatting>
  <conditionalFormatting sqref="AM21:AM24">
    <cfRule type="cellIs" dxfId="471" priority="8" operator="equal">
      <formula>"Bajo"</formula>
    </cfRule>
  </conditionalFormatting>
  <conditionalFormatting sqref="N21:N24">
    <cfRule type="containsText" dxfId="470" priority="9" operator="containsText" text="Catastrófico">
      <formula>NOT(ISERROR(SEARCH(("Catastrófico"),(N21))))</formula>
    </cfRule>
  </conditionalFormatting>
  <conditionalFormatting sqref="N21:N24">
    <cfRule type="containsText" dxfId="469" priority="10" operator="containsText" text="Mayor">
      <formula>NOT(ISERROR(SEARCH(("Mayor"),(N21))))</formula>
    </cfRule>
  </conditionalFormatting>
  <conditionalFormatting sqref="N21:N24">
    <cfRule type="containsText" dxfId="468" priority="11" operator="containsText" text="Moderado">
      <formula>NOT(ISERROR(SEARCH(("Moderado"),(N21))))</formula>
    </cfRule>
  </conditionalFormatting>
  <conditionalFormatting sqref="N21:N24">
    <cfRule type="containsText" dxfId="467" priority="12" operator="containsText" text="Menor">
      <formula>NOT(ISERROR(SEARCH(("Menor"),(N21))))</formula>
    </cfRule>
  </conditionalFormatting>
  <conditionalFormatting sqref="N21:N24">
    <cfRule type="containsText" dxfId="466" priority="13" operator="containsText" text="Leve">
      <formula>NOT(ISERROR(SEARCH(("Leve"),(N21))))</formula>
    </cfRule>
  </conditionalFormatting>
  <conditionalFormatting sqref="AN22">
    <cfRule type="cellIs" dxfId="465" priority="14" stopIfTrue="1" operator="equal">
      <formula>"INACEPTABLE"</formula>
    </cfRule>
  </conditionalFormatting>
  <conditionalFormatting sqref="AN22">
    <cfRule type="cellIs" dxfId="464" priority="15" stopIfTrue="1" operator="equal">
      <formula>"IMPORTANTE"</formula>
    </cfRule>
  </conditionalFormatting>
  <conditionalFormatting sqref="AN22">
    <cfRule type="cellIs" dxfId="463" priority="16" stopIfTrue="1" operator="equal">
      <formula>"MODERADA"</formula>
    </cfRule>
  </conditionalFormatting>
  <conditionalFormatting sqref="Q21:Q24">
    <cfRule type="containsText" dxfId="462" priority="17" operator="containsText" text="Extremo">
      <formula>NOT(ISERROR(SEARCH(("Extremo"),(Q21))))</formula>
    </cfRule>
  </conditionalFormatting>
  <conditionalFormatting sqref="Q21:Q24">
    <cfRule type="containsText" dxfId="461" priority="18" operator="containsText" text="Alto">
      <formula>NOT(ISERROR(SEARCH(("Alto"),(Q21))))</formula>
    </cfRule>
  </conditionalFormatting>
  <conditionalFormatting sqref="Q21:Q24">
    <cfRule type="containsText" dxfId="460" priority="19" operator="containsText" text="Moderado">
      <formula>NOT(ISERROR(SEARCH(("Moderado"),(Q21))))</formula>
    </cfRule>
  </conditionalFormatting>
  <conditionalFormatting sqref="Q21:Q24">
    <cfRule type="containsText" dxfId="459" priority="20" operator="containsText" text="Baja">
      <formula>NOT(ISERROR(SEARCH(("Baja"),(Q21))))</formula>
    </cfRule>
  </conditionalFormatting>
  <conditionalFormatting sqref="Q21:Q24">
    <cfRule type="cellIs" dxfId="458" priority="21" operator="equal">
      <formula>"Bajo"</formula>
    </cfRule>
  </conditionalFormatting>
  <conditionalFormatting sqref="AN23">
    <cfRule type="cellIs" dxfId="457" priority="22" stopIfTrue="1" operator="equal">
      <formula>"INACEPTABLE"</formula>
    </cfRule>
  </conditionalFormatting>
  <conditionalFormatting sqref="AN23">
    <cfRule type="cellIs" dxfId="456" priority="23" stopIfTrue="1" operator="equal">
      <formula>"IMPORTANTE"</formula>
    </cfRule>
  </conditionalFormatting>
  <conditionalFormatting sqref="AN23">
    <cfRule type="cellIs" dxfId="455" priority="24" stopIfTrue="1" operator="equal">
      <formula>"MODERADA"</formula>
    </cfRule>
  </conditionalFormatting>
  <conditionalFormatting sqref="AN24">
    <cfRule type="cellIs" dxfId="454" priority="25" stopIfTrue="1" operator="equal">
      <formula>"INACEPTABLE"</formula>
    </cfRule>
  </conditionalFormatting>
  <conditionalFormatting sqref="AN24">
    <cfRule type="cellIs" dxfId="453" priority="26" stopIfTrue="1" operator="equal">
      <formula>"IMPORTANTE"</formula>
    </cfRule>
  </conditionalFormatting>
  <conditionalFormatting sqref="AN24">
    <cfRule type="cellIs" dxfId="452" priority="27" stopIfTrue="1" operator="equal">
      <formula>"MODERADA"</formula>
    </cfRule>
  </conditionalFormatting>
  <dataValidations count="2">
    <dataValidation type="list" allowBlank="1" showInputMessage="1" showErrorMessage="1" sqref="AC12:AC14" xr:uid="{8F8A24FB-24B9-40F6-A93E-0A3DF7B3CAFE}">
      <formula1>"Si,No"</formula1>
    </dataValidation>
    <dataValidation type="list" allowBlank="1" showErrorMessage="1" sqref="AC21:AC24" xr:uid="{8A0BC6F9-52E2-4BCF-A554-BD3962744C83}">
      <formula1>"Si,No"</formula1>
    </dataValidation>
  </dataValidations>
  <hyperlinks>
    <hyperlink ref="AM12" location="'VALORACIÓN RR CORRUPCIÓN'!A1" display="'VALORACIÓN RR CORRUPCIÓN'!A1" xr:uid="{0CB3F770-E189-4B5F-97CD-B7628807A845}"/>
    <hyperlink ref="AM13:AM14" location="'VALORACIÓN RR CORRUPCIÓN'!A1" display="'VALORACIÓN RR CORRUPCIÓN'!A1" xr:uid="{A998E033-A766-4121-AF61-77A218060896}"/>
    <hyperlink ref="AM11" location="'VALORACIÓN RR CORRUPCIÓN'!A1" display="'VALORACIÓN RR CORRUPCIÓN'!A1" xr:uid="{5C99F657-05AD-4E44-B175-BC5A2C192056}"/>
    <hyperlink ref="AM7" location="'VALORACIÓN RR CORRUPCIÓN'!A1" display="'VALORACIÓN RR CORRUPCIÓN'!A1" xr:uid="{860E7470-8AB4-42CA-B31B-B3728BCAEE16}"/>
    <hyperlink ref="AM8" location="'VALORACIÓN RR CORRUPCIÓN'!A1" display="'VALORACIÓN RR CORRUPCIÓN'!A1" xr:uid="{57D89DFB-68AD-43D0-A8BC-290721E9822E}"/>
    <hyperlink ref="AM21" location="VALORACIÓN RR CORRUPCIÓN!A1" display="'VALORACIÓN RR CORRUPCIÓN'!A1" xr:uid="{CD3FC914-E40A-4F6E-AA7D-374F3D19A4E7}"/>
  </hyperlinks>
  <printOptions horizontalCentered="1" verticalCentered="1"/>
  <pageMargins left="0.19685039370078741" right="0.19685039370078741" top="0.31496062992125984" bottom="0.51181102362204722" header="0.11811023622047245" footer="0.27559055118110237"/>
  <pageSetup paperSize="119" scale="45" orientation="landscape" r:id="rId1"/>
  <headerFooter>
    <oddFooter>&amp;R&amp;"Arial,Normal"&amp;8Código:  1D-PGE-F001
Versión: 8 
Fecha de vigencia: 9 de junio de 2015
Página &amp;Pde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S108"/>
  <sheetViews>
    <sheetView topLeftCell="H1" zoomScale="70" zoomScaleNormal="70" zoomScaleSheetLayoutView="55" workbookViewId="0">
      <pane ySplit="4" topLeftCell="A15" activePane="bottomLeft" state="frozen"/>
      <selection activeCell="Q1" sqref="Q1"/>
      <selection pane="bottomLeft" activeCell="Q18" sqref="Q18"/>
    </sheetView>
  </sheetViews>
  <sheetFormatPr baseColWidth="10" defaultRowHeight="14.25"/>
  <cols>
    <col min="1" max="1" width="5.140625" style="2" customWidth="1"/>
    <col min="2" max="2" width="8.140625" style="2" customWidth="1"/>
    <col min="3" max="3" width="15.7109375" style="2" customWidth="1"/>
    <col min="4" max="4" width="29.42578125" style="2" customWidth="1"/>
    <col min="5" max="6" width="30.140625" style="2" customWidth="1"/>
    <col min="7" max="7" width="49.140625" style="2" customWidth="1"/>
    <col min="8" max="8" width="55.140625" style="2" customWidth="1"/>
    <col min="9" max="9" width="30.140625" style="2" customWidth="1"/>
    <col min="10" max="10" width="18" style="2" customWidth="1"/>
    <col min="11" max="11" width="11.5703125" style="2" customWidth="1"/>
    <col min="12" max="12" width="5" style="50" hidden="1" customWidth="1"/>
    <col min="13" max="13" width="15.140625" style="4" bestFit="1" customWidth="1"/>
    <col min="14" max="14" width="4.42578125" style="45" hidden="1" customWidth="1"/>
    <col min="15" max="15" width="8.7109375" style="2" hidden="1" customWidth="1"/>
    <col min="16" max="16" width="17.140625" style="2" customWidth="1"/>
    <col min="17" max="17" width="58.140625" style="2" customWidth="1"/>
    <col min="18" max="18" width="15.7109375" style="2" customWidth="1"/>
    <col min="19" max="19" width="18.42578125" style="2" customWidth="1"/>
    <col min="20" max="20" width="16.42578125" style="2" customWidth="1"/>
    <col min="21" max="21" width="9" style="2" hidden="1" customWidth="1"/>
    <col min="22" max="22" width="11" style="2" customWidth="1"/>
    <col min="23" max="23" width="12.5703125" style="2" hidden="1" customWidth="1"/>
    <col min="24" max="24" width="10.5703125" style="50" bestFit="1" customWidth="1"/>
    <col min="25" max="25" width="17.42578125" style="2" customWidth="1"/>
    <col min="26" max="26" width="13.28515625" style="50" bestFit="1" customWidth="1"/>
    <col min="27" max="27" width="14.140625" style="50" customWidth="1"/>
    <col min="28" max="28" width="17.28515625" style="2" hidden="1" customWidth="1"/>
    <col min="29" max="29" width="12.85546875" style="2" customWidth="1"/>
    <col min="30" max="30" width="14" style="2" hidden="1" customWidth="1"/>
    <col min="31" max="31" width="22.5703125" style="2" bestFit="1" customWidth="1"/>
    <col min="32" max="32" width="13.28515625" style="2" hidden="1" customWidth="1"/>
    <col min="33" max="33" width="13.5703125" style="2" customWidth="1"/>
    <col min="34" max="34" width="12.42578125" style="2" customWidth="1"/>
    <col min="35" max="35" width="22.28515625" style="1" customWidth="1"/>
    <col min="36" max="36" width="16.7109375" style="2" hidden="1" customWidth="1"/>
    <col min="37" max="37" width="18.42578125" style="2" customWidth="1"/>
    <col min="38" max="38" width="20.7109375" style="2" customWidth="1"/>
    <col min="39" max="39" width="73.5703125" style="2" customWidth="1"/>
    <col min="40" max="40" width="16.42578125" style="2" customWidth="1"/>
    <col min="41" max="16384" width="11.42578125" style="2"/>
  </cols>
  <sheetData>
    <row r="1" spans="2:45" s="8" customFormat="1" ht="15">
      <c r="B1" s="10"/>
      <c r="C1" s="10"/>
      <c r="D1" s="10"/>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K1" s="2"/>
      <c r="AL1" s="2"/>
      <c r="AM1" s="2"/>
      <c r="AN1" s="2"/>
      <c r="AO1" s="2"/>
      <c r="AP1" s="2"/>
      <c r="AQ1" s="2"/>
      <c r="AR1" s="2"/>
      <c r="AS1" s="2"/>
    </row>
    <row r="2" spans="2:45" ht="33" customHeight="1">
      <c r="B2" s="217" t="s">
        <v>11</v>
      </c>
      <c r="C2" s="217"/>
      <c r="D2" s="217"/>
      <c r="E2" s="217"/>
      <c r="F2" s="217"/>
      <c r="G2" s="217"/>
      <c r="H2" s="217"/>
      <c r="I2" s="217"/>
      <c r="J2" s="217"/>
      <c r="K2" s="217" t="s">
        <v>8</v>
      </c>
      <c r="L2" s="217"/>
      <c r="M2" s="217"/>
      <c r="N2" s="217"/>
      <c r="O2" s="217"/>
      <c r="P2" s="217"/>
      <c r="Q2" s="217" t="s">
        <v>19</v>
      </c>
      <c r="R2" s="217"/>
      <c r="S2" s="217"/>
      <c r="T2" s="217"/>
      <c r="U2" s="217"/>
      <c r="V2" s="217"/>
      <c r="W2" s="217"/>
      <c r="X2" s="217"/>
      <c r="Y2" s="217"/>
      <c r="Z2" s="217"/>
      <c r="AA2" s="217"/>
      <c r="AB2" s="217"/>
      <c r="AC2" s="217"/>
      <c r="AD2" s="217"/>
      <c r="AE2" s="217"/>
      <c r="AF2" s="217"/>
      <c r="AG2" s="217"/>
      <c r="AH2" s="217"/>
      <c r="AI2" s="219"/>
      <c r="AJ2" s="219"/>
      <c r="AK2" s="219"/>
      <c r="AL2" s="219"/>
      <c r="AM2" s="219"/>
      <c r="AN2" s="220"/>
    </row>
    <row r="3" spans="2:45" ht="15" customHeight="1">
      <c r="B3" s="222" t="s">
        <v>21</v>
      </c>
      <c r="C3" s="112"/>
      <c r="D3" s="112"/>
      <c r="E3" s="221" t="s">
        <v>22</v>
      </c>
      <c r="F3" s="221" t="s">
        <v>23</v>
      </c>
      <c r="G3" s="221" t="s">
        <v>24</v>
      </c>
      <c r="H3" s="223" t="s">
        <v>25</v>
      </c>
      <c r="I3" s="223" t="s">
        <v>49</v>
      </c>
      <c r="J3" s="223" t="s">
        <v>75</v>
      </c>
      <c r="K3" s="221" t="s">
        <v>27</v>
      </c>
      <c r="L3" s="221"/>
      <c r="M3" s="221" t="s">
        <v>28</v>
      </c>
      <c r="N3" s="221"/>
      <c r="O3" s="221" t="s">
        <v>29</v>
      </c>
      <c r="P3" s="221"/>
      <c r="Q3" s="221" t="s">
        <v>30</v>
      </c>
      <c r="R3" s="221" t="s">
        <v>31</v>
      </c>
      <c r="S3" s="221"/>
      <c r="T3" s="221"/>
      <c r="U3" s="23"/>
      <c r="V3" s="23"/>
      <c r="W3" s="221"/>
      <c r="X3" s="221"/>
      <c r="Y3" s="221"/>
      <c r="Z3" s="221"/>
      <c r="AA3" s="221"/>
      <c r="AB3" s="221"/>
      <c r="AC3" s="221"/>
      <c r="AD3" s="221"/>
      <c r="AE3" s="221" t="s">
        <v>39</v>
      </c>
      <c r="AF3" s="221" t="s">
        <v>40</v>
      </c>
      <c r="AG3" s="221" t="s">
        <v>747</v>
      </c>
      <c r="AH3" s="221" t="s">
        <v>42</v>
      </c>
      <c r="AI3" s="221" t="s">
        <v>292</v>
      </c>
      <c r="AJ3" s="227" t="s">
        <v>44</v>
      </c>
      <c r="AK3" s="225" t="s">
        <v>45</v>
      </c>
      <c r="AL3" s="225" t="s">
        <v>47</v>
      </c>
      <c r="AM3" s="225" t="s">
        <v>46</v>
      </c>
      <c r="AN3" s="225" t="s">
        <v>48</v>
      </c>
    </row>
    <row r="4" spans="2:45" ht="35.25" customHeight="1">
      <c r="B4" s="222"/>
      <c r="C4" s="112"/>
      <c r="D4" s="112"/>
      <c r="E4" s="221"/>
      <c r="F4" s="221"/>
      <c r="G4" s="221"/>
      <c r="H4" s="224"/>
      <c r="I4" s="224"/>
      <c r="J4" s="224"/>
      <c r="K4" s="221"/>
      <c r="L4" s="221"/>
      <c r="M4" s="221"/>
      <c r="N4" s="221"/>
      <c r="O4" s="221"/>
      <c r="P4" s="221"/>
      <c r="Q4" s="221"/>
      <c r="R4" s="24" t="s">
        <v>32</v>
      </c>
      <c r="S4" s="24" t="s">
        <v>22</v>
      </c>
      <c r="T4" s="24" t="s">
        <v>33</v>
      </c>
      <c r="U4" s="74"/>
      <c r="V4" s="24" t="s">
        <v>34</v>
      </c>
      <c r="W4" s="74" t="s">
        <v>40</v>
      </c>
      <c r="X4" s="74" t="s">
        <v>35</v>
      </c>
      <c r="Y4" s="24" t="s">
        <v>36</v>
      </c>
      <c r="Z4" s="24" t="s">
        <v>26</v>
      </c>
      <c r="AA4" s="24" t="s">
        <v>37</v>
      </c>
      <c r="AB4" s="24" t="s">
        <v>746</v>
      </c>
      <c r="AC4" s="24" t="s">
        <v>26</v>
      </c>
      <c r="AD4" s="24" t="s">
        <v>37</v>
      </c>
      <c r="AE4" s="221" t="s">
        <v>39</v>
      </c>
      <c r="AF4" s="221"/>
      <c r="AG4" s="221"/>
      <c r="AH4" s="221"/>
      <c r="AI4" s="221"/>
      <c r="AJ4" s="228"/>
      <c r="AK4" s="226"/>
      <c r="AL4" s="226"/>
      <c r="AM4" s="226"/>
      <c r="AN4" s="226"/>
    </row>
    <row r="5" spans="2:45" ht="9.75" customHeight="1">
      <c r="B5" s="17"/>
      <c r="C5" s="17"/>
      <c r="D5" s="17"/>
      <c r="E5" s="17"/>
      <c r="F5" s="17"/>
      <c r="G5" s="17"/>
      <c r="H5" s="17"/>
      <c r="I5" s="17"/>
      <c r="J5" s="17"/>
      <c r="K5" s="17"/>
      <c r="L5" s="53"/>
      <c r="M5" s="17"/>
      <c r="N5" s="48"/>
      <c r="O5" s="17"/>
      <c r="P5" s="17"/>
      <c r="Q5" s="17"/>
      <c r="R5" s="18"/>
      <c r="S5" s="18"/>
      <c r="T5" s="18"/>
      <c r="U5" s="18"/>
      <c r="V5" s="18"/>
      <c r="W5" s="18"/>
      <c r="X5" s="75"/>
      <c r="Y5" s="18"/>
      <c r="Z5" s="75"/>
      <c r="AA5" s="75"/>
      <c r="AB5" s="18"/>
      <c r="AC5" s="18"/>
      <c r="AD5" s="18"/>
      <c r="AE5" s="18"/>
      <c r="AF5" s="18"/>
      <c r="AG5" s="18"/>
      <c r="AH5" s="18"/>
      <c r="AI5" s="17"/>
      <c r="AJ5" s="15"/>
      <c r="AK5" s="15"/>
      <c r="AL5" s="15"/>
      <c r="AM5" s="15"/>
      <c r="AN5" s="15"/>
    </row>
    <row r="6" spans="2:45" ht="30">
      <c r="B6" s="401">
        <v>27</v>
      </c>
      <c r="C6" s="321" t="s">
        <v>594</v>
      </c>
      <c r="D6" s="321" t="s">
        <v>738</v>
      </c>
      <c r="E6" s="321" t="s">
        <v>341</v>
      </c>
      <c r="F6" s="321" t="s">
        <v>342</v>
      </c>
      <c r="G6" s="321" t="s">
        <v>343</v>
      </c>
      <c r="H6" s="321" t="str">
        <f xml:space="preserve"> _xlfn.CONCAT("Posibilidad de ",E6, " debido a la ",F6,"  ",G6)</f>
        <v>Posibilidad de Incumplimiento en el objetivo de los procesos debido a la normalización de información documentada  sin controles para la gestión de los documentos y registros del SIG</v>
      </c>
      <c r="I6" s="325" t="s">
        <v>50</v>
      </c>
      <c r="J6" s="325">
        <v>180</v>
      </c>
      <c r="K6" s="325" t="str">
        <f>VLOOKUP(L6,'PARÁMETROS RIESGOS GESTIÓN'!$D$12:$F$17,3,0)</f>
        <v>Media</v>
      </c>
      <c r="L6" s="325">
        <f>IF(J6&lt;=2,20,IF(J6&lt;=24,40,IF(J6&lt;=500,60,IF(J6&lt;="5000",80,100))))</f>
        <v>60</v>
      </c>
      <c r="M6" s="325" t="s">
        <v>13</v>
      </c>
      <c r="N6" s="325">
        <f>IF(M6="leve",20,IF(M6="Menor",40,IF(M6="Moderado",60,IF(M6="Mayor",80,IF(M6="Catastrófico",100,0)))))</f>
        <v>60</v>
      </c>
      <c r="O6" s="325">
        <f>VALUE(_xlfn.CONCAT(L6,N6))</f>
        <v>6060</v>
      </c>
      <c r="P6" s="319" t="str">
        <f>VLOOKUP(O6,'Zona de riesgo'!$B$9:$C$33,2)</f>
        <v>Moderado</v>
      </c>
      <c r="Q6" s="174" t="s">
        <v>344</v>
      </c>
      <c r="R6" s="187" t="s">
        <v>328</v>
      </c>
      <c r="S6" s="187"/>
      <c r="T6" s="175" t="s">
        <v>109</v>
      </c>
      <c r="U6" s="176">
        <f>IF(T6="Preventivo",25,IF(T6="Detectivo",15,IF(T6="Correctivo",10)))</f>
        <v>25</v>
      </c>
      <c r="V6" s="175" t="s">
        <v>117</v>
      </c>
      <c r="W6" s="176">
        <f>IF(V6="Automático",25,IF(V6="manual",15))</f>
        <v>15</v>
      </c>
      <c r="X6" s="177">
        <f>U6+W6</f>
        <v>40</v>
      </c>
      <c r="Y6" s="175" t="s">
        <v>120</v>
      </c>
      <c r="Z6" s="175" t="s">
        <v>125</v>
      </c>
      <c r="AA6" s="175" t="s">
        <v>129</v>
      </c>
      <c r="AB6" s="177">
        <f>IF(T6="Correctivo",L6,(L6-(L6*X6/100)))</f>
        <v>36</v>
      </c>
      <c r="AC6" s="325" t="str">
        <f>IF(AB8&gt;80,"Muy Alta",IF(AB8&gt;60,"Alta",IF(AB8&gt;40,"Media",IF(AB8&gt;20,"Baja","Muy Baja"))))</f>
        <v>Baja</v>
      </c>
      <c r="AD6" s="175">
        <f>IF(T6="Correctivo",(N6-(N6*X6)/100),N6)</f>
        <v>60</v>
      </c>
      <c r="AE6" s="325" t="str">
        <f>IF(AD8&gt;80,"Catastrófico",IF(AD8&gt;60,"Mayor",IF(AD8&gt;40,"Moderado",IF(AD8&gt;20,"Menor","Leve"))))</f>
        <v>Menor</v>
      </c>
      <c r="AF6" s="325" t="str">
        <f>CONCATENATE(AC6,AE6)</f>
        <v>BajaMenor</v>
      </c>
      <c r="AG6" s="319" t="str">
        <f>VLOOKUP(AF6,'RIESGO RESIDUAL'!$A$1:$B$25,2,0)</f>
        <v>Moderado</v>
      </c>
      <c r="AH6" s="320" t="str">
        <f>IF(AG6="Baja","Aceptar-Asumir","Reducir-Mitigar")</f>
        <v>Reducir-Mitigar</v>
      </c>
      <c r="AI6" s="315" t="s">
        <v>345</v>
      </c>
      <c r="AJ6" s="315" t="s">
        <v>346</v>
      </c>
      <c r="AK6" s="346" t="s">
        <v>347</v>
      </c>
      <c r="AL6" s="315" t="s">
        <v>354</v>
      </c>
      <c r="AM6" s="315"/>
      <c r="AN6" s="315"/>
    </row>
    <row r="7" spans="2:45" ht="30">
      <c r="B7" s="401"/>
      <c r="C7" s="321"/>
      <c r="D7" s="321"/>
      <c r="E7" s="321"/>
      <c r="F7" s="321"/>
      <c r="G7" s="321"/>
      <c r="H7" s="321"/>
      <c r="I7" s="325" t="s">
        <v>56</v>
      </c>
      <c r="J7" s="325"/>
      <c r="K7" s="325" t="str">
        <f>VLOOKUP(L7,'PARÁMETROS RIESGOS GESTIÓN'!D13:F18,3,TRUE)</f>
        <v>Muy Alta</v>
      </c>
      <c r="L7" s="325">
        <f t="shared" ref="L7:L70" si="0">IF(J7="1 a 2",20,IF(J7="3 a 24",40,IF(J7="25 a 500",60,IF(J7="501 a 5000",80,100))))</f>
        <v>100</v>
      </c>
      <c r="M7" s="325" t="s">
        <v>101</v>
      </c>
      <c r="N7" s="325">
        <f t="shared" ref="N7:N8" si="1">IF(M7="leve",20,IF(M7="Menor",40,IF(M7="Moderado",60,IF(M7="Mayor",80,IF(M7="Catastrófico",100,0)))))</f>
        <v>100</v>
      </c>
      <c r="O7" s="325">
        <f t="shared" ref="O7:O70" si="2">VALUE(_xlfn.CONCAT(L7,N7))</f>
        <v>100100</v>
      </c>
      <c r="P7" s="319" t="str">
        <f>VLOOKUP(O7,'Zona de riesgo'!B13:C37,2)</f>
        <v>Extremo</v>
      </c>
      <c r="Q7" s="174" t="s">
        <v>344</v>
      </c>
      <c r="R7" s="187"/>
      <c r="S7" s="187" t="s">
        <v>328</v>
      </c>
      <c r="T7" s="175" t="s">
        <v>113</v>
      </c>
      <c r="U7" s="176">
        <f t="shared" ref="U7:U71" si="3">IF(T7="Preventivo",25,IF(T7="Detectivo",15,IF(T7="Correctivo",10)))</f>
        <v>10</v>
      </c>
      <c r="V7" s="175" t="s">
        <v>117</v>
      </c>
      <c r="W7" s="176">
        <f t="shared" ref="W7:W71" si="4">IF(V7="Automático",25,IF(V7="manual",15))</f>
        <v>15</v>
      </c>
      <c r="X7" s="177">
        <f t="shared" ref="X7" si="5">U7+W7</f>
        <v>25</v>
      </c>
      <c r="Y7" s="175" t="s">
        <v>120</v>
      </c>
      <c r="Z7" s="175" t="s">
        <v>125</v>
      </c>
      <c r="AA7" s="175" t="s">
        <v>129</v>
      </c>
      <c r="AB7" s="177">
        <f>IF(T7="preventivo",(AB6-(AB6*X7/100)),IF(T7="detectivo",(AB6-(AB6*X7/100)),IF(T7="Correctivo",AB6,AB6)))</f>
        <v>36</v>
      </c>
      <c r="AC7" s="325"/>
      <c r="AD7" s="175">
        <f>IF(T7="Correctivo",(AD6-(AD6*X6/100)),AD6)</f>
        <v>36</v>
      </c>
      <c r="AE7" s="325"/>
      <c r="AF7" s="325"/>
      <c r="AG7" s="319"/>
      <c r="AH7" s="320"/>
      <c r="AI7" s="315"/>
      <c r="AJ7" s="315"/>
      <c r="AK7" s="315"/>
      <c r="AL7" s="315"/>
      <c r="AM7" s="315"/>
      <c r="AN7" s="315"/>
    </row>
    <row r="8" spans="2:45" ht="15">
      <c r="B8" s="401"/>
      <c r="C8" s="321"/>
      <c r="D8" s="321"/>
      <c r="E8" s="321"/>
      <c r="F8" s="321"/>
      <c r="G8" s="321"/>
      <c r="H8" s="321"/>
      <c r="I8" s="325" t="s">
        <v>56</v>
      </c>
      <c r="J8" s="325"/>
      <c r="K8" s="325" t="str">
        <f>VLOOKUP(L8,'PARÁMETROS RIESGOS GESTIÓN'!D14:F19,3,TRUE)</f>
        <v>Muy Alta</v>
      </c>
      <c r="L8" s="325">
        <f t="shared" si="0"/>
        <v>100</v>
      </c>
      <c r="M8" s="325" t="s">
        <v>101</v>
      </c>
      <c r="N8" s="325">
        <f t="shared" si="1"/>
        <v>100</v>
      </c>
      <c r="O8" s="325">
        <f t="shared" si="2"/>
        <v>100100</v>
      </c>
      <c r="P8" s="319" t="str">
        <f>VLOOKUP(O8,'Zona de riesgo'!B14:C38,2)</f>
        <v>Extremo</v>
      </c>
      <c r="Q8" s="174"/>
      <c r="R8" s="187"/>
      <c r="S8" s="195"/>
      <c r="T8" s="175"/>
      <c r="U8" s="176"/>
      <c r="V8" s="175"/>
      <c r="W8" s="176"/>
      <c r="X8" s="177"/>
      <c r="Y8" s="175"/>
      <c r="Z8" s="175"/>
      <c r="AA8" s="175"/>
      <c r="AB8" s="177">
        <f>IF(T8="preventivo",(AB7-(AB7*X8/100)),IF(T8="detectivo",(AB7-(AB7*X8/100)),IF(T8="Correctivo",AB7,AB7)))</f>
        <v>36</v>
      </c>
      <c r="AC8" s="325"/>
      <c r="AD8" s="175">
        <f>IF(T8="Correctivo",(AD7-(AD7*U7/100)),AD7)</f>
        <v>36</v>
      </c>
      <c r="AE8" s="325"/>
      <c r="AF8" s="325"/>
      <c r="AG8" s="319"/>
      <c r="AH8" s="320"/>
      <c r="AI8" s="315"/>
      <c r="AJ8" s="315"/>
      <c r="AK8" s="315"/>
      <c r="AL8" s="315"/>
      <c r="AM8" s="315"/>
      <c r="AN8" s="315"/>
    </row>
    <row r="9" spans="2:45" ht="30">
      <c r="B9" s="401">
        <v>28</v>
      </c>
      <c r="C9" s="321" t="s">
        <v>594</v>
      </c>
      <c r="D9" s="321" t="s">
        <v>738</v>
      </c>
      <c r="E9" s="321" t="s">
        <v>333</v>
      </c>
      <c r="F9" s="321" t="s">
        <v>348</v>
      </c>
      <c r="G9" s="321" t="s">
        <v>349</v>
      </c>
      <c r="H9" s="321" t="str">
        <f xml:space="preserve"> _xlfn.CONCAT("Posibilidad de ",E9, " debido a la ",F9,"  ",G9)</f>
        <v>Posibilidad de Incumplimiento de las metas y objetivos institucionales debido a la gestión de riesgos  sin  el cumplimiento de las políticas actuales para la formulación, valoración y tratamiento de riesgos</v>
      </c>
      <c r="I9" s="325" t="s">
        <v>50</v>
      </c>
      <c r="J9" s="325">
        <v>264</v>
      </c>
      <c r="K9" s="325" t="str">
        <f>VLOOKUP(L9,'PARÁMETROS RIESGOS GESTIÓN'!$D$12:$F$17,3,0)</f>
        <v>Media</v>
      </c>
      <c r="L9" s="325">
        <f t="shared" ref="L9" si="6">IF(J9&lt;=2,20,IF(J9&lt;=24,40,IF(J9&lt;=500,60,IF(J9&lt;="5000",80,100))))</f>
        <v>60</v>
      </c>
      <c r="M9" s="325" t="s">
        <v>13</v>
      </c>
      <c r="N9" s="325">
        <f>IF(M9="leve",20,IF(M9="Menor",40,IF(M9="Moderado",60,IF(M9="Mayor",80,IF(M9="Catastrófico",100,0)))))</f>
        <v>60</v>
      </c>
      <c r="O9" s="325">
        <f t="shared" si="2"/>
        <v>6060</v>
      </c>
      <c r="P9" s="319" t="str">
        <f>VLOOKUP(O9,'Zona de riesgo'!$B$9:$C$33,2)</f>
        <v>Moderado</v>
      </c>
      <c r="Q9" s="174" t="s">
        <v>350</v>
      </c>
      <c r="R9" s="187" t="s">
        <v>20</v>
      </c>
      <c r="S9" s="187"/>
      <c r="T9" s="175" t="s">
        <v>109</v>
      </c>
      <c r="U9" s="176">
        <f t="shared" si="3"/>
        <v>25</v>
      </c>
      <c r="V9" s="175" t="s">
        <v>117</v>
      </c>
      <c r="W9" s="176">
        <f t="shared" si="4"/>
        <v>15</v>
      </c>
      <c r="X9" s="177">
        <f t="shared" ref="X9:X71" si="7">U9+W9</f>
        <v>40</v>
      </c>
      <c r="Y9" s="175" t="s">
        <v>120</v>
      </c>
      <c r="Z9" s="175" t="s">
        <v>125</v>
      </c>
      <c r="AA9" s="175" t="s">
        <v>129</v>
      </c>
      <c r="AB9" s="177">
        <f>IF(T9="Correctivo",L9,(L9-(L9*X9/100)))</f>
        <v>36</v>
      </c>
      <c r="AC9" s="325" t="str">
        <f t="shared" ref="AC9" si="8">IF(AB11&gt;80,"Muy Alta",IF(AB11&gt;60,"Alta",IF(AB11&gt;40,"Media",IF(AB11&gt;20,"Baja","Muy Baja"))))</f>
        <v>Baja</v>
      </c>
      <c r="AD9" s="175">
        <f>IF(T9="Correctivo",(N9-(N9*X9)/100),N9)</f>
        <v>60</v>
      </c>
      <c r="AE9" s="325" t="str">
        <f>IF(AD11&gt;80,"Catastrófico",IF(AD11&gt;60,"Mayor",IF(AD11&gt;40,"Moderado",IF(AD11&gt;20,"Menor","Leve"))))</f>
        <v>Menor</v>
      </c>
      <c r="AF9" s="325" t="str">
        <f>CONCATENATE(AC9,AE9)</f>
        <v>BajaMenor</v>
      </c>
      <c r="AG9" s="319" t="str">
        <f>VLOOKUP(AF9,'RIESGO RESIDUAL'!$A$1:$B$25,2,0)</f>
        <v>Moderado</v>
      </c>
      <c r="AH9" s="320" t="str">
        <f>IF(AG9="Baja","Aceptar-Asumir","Reducir-Mitigar")</f>
        <v>Reducir-Mitigar</v>
      </c>
      <c r="AI9" s="315" t="s">
        <v>334</v>
      </c>
      <c r="AJ9" s="315" t="s">
        <v>346</v>
      </c>
      <c r="AK9" s="346" t="s">
        <v>347</v>
      </c>
      <c r="AL9" s="315" t="s">
        <v>354</v>
      </c>
      <c r="AM9" s="315"/>
      <c r="AN9" s="315"/>
    </row>
    <row r="10" spans="2:45" ht="30">
      <c r="B10" s="401"/>
      <c r="C10" s="321"/>
      <c r="D10" s="321"/>
      <c r="E10" s="321"/>
      <c r="F10" s="321"/>
      <c r="G10" s="321"/>
      <c r="H10" s="321"/>
      <c r="I10" s="325"/>
      <c r="J10" s="325"/>
      <c r="K10" s="325" t="str">
        <f>VLOOKUP(L10,'PARÁMETROS RIESGOS GESTIÓN'!D16:F21,3,TRUE)</f>
        <v>Muy Alta</v>
      </c>
      <c r="L10" s="325">
        <f t="shared" si="0"/>
        <v>100</v>
      </c>
      <c r="M10" s="325" t="s">
        <v>101</v>
      </c>
      <c r="N10" s="325">
        <f t="shared" ref="N10:N11" si="9">IF(M10="leve",20,IF(M10="Menor",40,IF(M10="Moderado",60,IF(M10="Mayor",80,IF(M10="Catastrófico",100,0)))))</f>
        <v>100</v>
      </c>
      <c r="O10" s="325">
        <f t="shared" si="2"/>
        <v>100100</v>
      </c>
      <c r="P10" s="319" t="str">
        <f>VLOOKUP(O10,'Zona de riesgo'!B16:C40,2)</f>
        <v>Extremo</v>
      </c>
      <c r="Q10" s="174" t="s">
        <v>350</v>
      </c>
      <c r="R10" s="187"/>
      <c r="S10" s="187" t="s">
        <v>20</v>
      </c>
      <c r="T10" s="175" t="s">
        <v>113</v>
      </c>
      <c r="U10" s="176">
        <f t="shared" si="3"/>
        <v>10</v>
      </c>
      <c r="V10" s="175" t="s">
        <v>117</v>
      </c>
      <c r="W10" s="176">
        <f t="shared" si="4"/>
        <v>15</v>
      </c>
      <c r="X10" s="177">
        <f t="shared" si="7"/>
        <v>25</v>
      </c>
      <c r="Y10" s="175" t="s">
        <v>120</v>
      </c>
      <c r="Z10" s="175" t="s">
        <v>125</v>
      </c>
      <c r="AA10" s="175" t="s">
        <v>129</v>
      </c>
      <c r="AB10" s="177">
        <f>IF(T10="preventivo",(AB9-(AB9*X10/100)),IF(T10="detectivo",(AB9-(AB9*X10/100)),IF(T10="Correctivo",AB9,AB9)))</f>
        <v>36</v>
      </c>
      <c r="AC10" s="325"/>
      <c r="AD10" s="175">
        <f>IF(T10="Correctivo",(AD9-(AD9*X9/100)),AD9)</f>
        <v>36</v>
      </c>
      <c r="AE10" s="325"/>
      <c r="AF10" s="325"/>
      <c r="AG10" s="319"/>
      <c r="AH10" s="320"/>
      <c r="AI10" s="315"/>
      <c r="AJ10" s="315"/>
      <c r="AK10" s="315"/>
      <c r="AL10" s="315"/>
      <c r="AM10" s="315"/>
      <c r="AN10" s="315"/>
    </row>
    <row r="11" spans="2:45" ht="15">
      <c r="B11" s="401"/>
      <c r="C11" s="321"/>
      <c r="D11" s="321"/>
      <c r="E11" s="321"/>
      <c r="F11" s="321"/>
      <c r="G11" s="321"/>
      <c r="H11" s="321"/>
      <c r="I11" s="325"/>
      <c r="J11" s="325"/>
      <c r="K11" s="325" t="str">
        <f>VLOOKUP(L11,'PARÁMETROS RIESGOS GESTIÓN'!D17:F22,3,TRUE)</f>
        <v>Muy Alta</v>
      </c>
      <c r="L11" s="325">
        <f t="shared" si="0"/>
        <v>100</v>
      </c>
      <c r="M11" s="325" t="s">
        <v>101</v>
      </c>
      <c r="N11" s="325">
        <f t="shared" si="9"/>
        <v>100</v>
      </c>
      <c r="O11" s="325">
        <f t="shared" si="2"/>
        <v>100100</v>
      </c>
      <c r="P11" s="319" t="str">
        <f>VLOOKUP(O11,'Zona de riesgo'!B17:C41,2)</f>
        <v>Extremo</v>
      </c>
      <c r="Q11" s="174"/>
      <c r="R11" s="187"/>
      <c r="S11" s="195"/>
      <c r="T11" s="175"/>
      <c r="U11" s="176"/>
      <c r="V11" s="175"/>
      <c r="W11" s="176"/>
      <c r="X11" s="177"/>
      <c r="Y11" s="175"/>
      <c r="Z11" s="175"/>
      <c r="AA11" s="175"/>
      <c r="AB11" s="177">
        <f>IF(T11="preventivo",(AB10-(AB10*X11/100)),IF(T11="detectivo",(AB10-(AB10*X11/100)),IF(T11="Correctivo",AB10,AB10)))</f>
        <v>36</v>
      </c>
      <c r="AC11" s="325"/>
      <c r="AD11" s="175">
        <f>IF(T11="Correctivo",(AD10-(AD10*U10/100)),AD10)</f>
        <v>36</v>
      </c>
      <c r="AE11" s="325"/>
      <c r="AF11" s="325"/>
      <c r="AG11" s="319"/>
      <c r="AH11" s="320"/>
      <c r="AI11" s="315"/>
      <c r="AJ11" s="315"/>
      <c r="AK11" s="315"/>
      <c r="AL11" s="315"/>
      <c r="AM11" s="315"/>
      <c r="AN11" s="315"/>
    </row>
    <row r="12" spans="2:45" ht="36.75" customHeight="1">
      <c r="B12" s="401">
        <v>29</v>
      </c>
      <c r="C12" s="321" t="s">
        <v>594</v>
      </c>
      <c r="D12" s="321" t="s">
        <v>738</v>
      </c>
      <c r="E12" s="321" t="s">
        <v>335</v>
      </c>
      <c r="F12" s="321" t="s">
        <v>351</v>
      </c>
      <c r="G12" s="321" t="s">
        <v>352</v>
      </c>
      <c r="H12" s="321" t="str">
        <f xml:space="preserve"> _xlfn.CONCAT("Posibilidad de ",E12, " debido a la ",F12,"  ",G12)</f>
        <v xml:space="preserve">Posibilidad de Incumplimiento en el logro de los objetivos del Direccionamiento Estratégico debido a la Formulación de planes de manera inoportuna, y desarticulada con las áreas de la entidad.  por debilidad en el manejo de las herramientas y directrices para la formulación de los diferentes planes de la entidad. </v>
      </c>
      <c r="I12" s="325" t="s">
        <v>50</v>
      </c>
      <c r="J12" s="325">
        <v>3</v>
      </c>
      <c r="K12" s="325" t="str">
        <f>VLOOKUP(L12,'PARÁMETROS RIESGOS GESTIÓN'!$D$12:$F$17,3,0)</f>
        <v>Baja</v>
      </c>
      <c r="L12" s="325">
        <f t="shared" ref="L12" si="10">IF(J12&lt;=2,20,IF(J12&lt;=24,40,IF(J12&lt;=500,60,IF(J12&lt;="5000",80,100))))</f>
        <v>40</v>
      </c>
      <c r="M12" s="325" t="s">
        <v>13</v>
      </c>
      <c r="N12" s="325">
        <f>IF(M12="leve",20,IF(M12="Menor",40,IF(M12="Moderado",60,IF(M12="Mayor",80,IF(M12="Catastrófico",100,0)))))</f>
        <v>60</v>
      </c>
      <c r="O12" s="325">
        <f t="shared" si="2"/>
        <v>4060</v>
      </c>
      <c r="P12" s="319" t="str">
        <f>VLOOKUP(O12,'Zona de riesgo'!$B$9:$C$33,2)</f>
        <v>Moderado</v>
      </c>
      <c r="Q12" s="174" t="s">
        <v>338</v>
      </c>
      <c r="R12" s="187"/>
      <c r="S12" s="175" t="s">
        <v>328</v>
      </c>
      <c r="T12" s="175" t="s">
        <v>113</v>
      </c>
      <c r="U12" s="176">
        <f t="shared" si="3"/>
        <v>10</v>
      </c>
      <c r="V12" s="175" t="s">
        <v>117</v>
      </c>
      <c r="W12" s="176">
        <f t="shared" si="4"/>
        <v>15</v>
      </c>
      <c r="X12" s="177">
        <f t="shared" si="7"/>
        <v>25</v>
      </c>
      <c r="Y12" s="175" t="s">
        <v>115</v>
      </c>
      <c r="Z12" s="175" t="s">
        <v>125</v>
      </c>
      <c r="AA12" s="175" t="s">
        <v>129</v>
      </c>
      <c r="AB12" s="177">
        <f>IF(T12="Correctivo",L12,(L12-(L12*X12/100)))</f>
        <v>40</v>
      </c>
      <c r="AC12" s="325" t="str">
        <f t="shared" ref="AC12" si="11">IF(AB14&gt;80,"Muy Alta",IF(AB14&gt;60,"Alta",IF(AB14&gt;40,"Media",IF(AB14&gt;20,"Baja","Muy Baja"))))</f>
        <v>Baja</v>
      </c>
      <c r="AD12" s="175">
        <f>IF(T12="Correctivo",(N12-(N12*X12)/100),N12)</f>
        <v>45</v>
      </c>
      <c r="AE12" s="325" t="str">
        <f>IF(AD14&gt;80,"Catastrófico",IF(AD14&gt;60,"Mayor",IF(AD14&gt;40,"Moderado",IF(AD14&gt;20,"Menor","Leve"))))</f>
        <v>Menor</v>
      </c>
      <c r="AF12" s="325" t="str">
        <f>CONCATENATE(AC12,AE12)</f>
        <v>BajaMenor</v>
      </c>
      <c r="AG12" s="319" t="str">
        <f>VLOOKUP(AF12,'RIESGO RESIDUAL'!$A$1:$B$25,2,0)</f>
        <v>Moderado</v>
      </c>
      <c r="AH12" s="320" t="str">
        <f>IF(AG12="Baja","Aceptar-Asumir","Reducir-Mitigar")</f>
        <v>Reducir-Mitigar</v>
      </c>
      <c r="AI12" s="315" t="s">
        <v>353</v>
      </c>
      <c r="AJ12" s="315" t="s">
        <v>346</v>
      </c>
      <c r="AK12" s="346" t="s">
        <v>347</v>
      </c>
      <c r="AL12" s="315" t="s">
        <v>354</v>
      </c>
      <c r="AM12" s="315"/>
      <c r="AN12" s="315"/>
    </row>
    <row r="13" spans="2:45" ht="35.25" customHeight="1">
      <c r="B13" s="401"/>
      <c r="C13" s="321"/>
      <c r="D13" s="321"/>
      <c r="E13" s="321"/>
      <c r="F13" s="321"/>
      <c r="G13" s="321"/>
      <c r="H13" s="321"/>
      <c r="I13" s="325" t="s">
        <v>56</v>
      </c>
      <c r="J13" s="325"/>
      <c r="K13" s="325" t="e">
        <f>VLOOKUP(L13,'PARÁMETROS RIESGOS GESTIÓN'!D19:F24,3,TRUE)</f>
        <v>#N/A</v>
      </c>
      <c r="L13" s="325">
        <f t="shared" si="0"/>
        <v>100</v>
      </c>
      <c r="M13" s="325" t="s">
        <v>101</v>
      </c>
      <c r="N13" s="325">
        <f t="shared" ref="N13:N14" si="12">IF(M13="leve",20,IF(M13="Menor",40,IF(M13="Moderado",60,IF(M13="Mayor",80,IF(M13="Catastrófico",100,0)))))</f>
        <v>100</v>
      </c>
      <c r="O13" s="325">
        <f t="shared" si="2"/>
        <v>100100</v>
      </c>
      <c r="P13" s="319" t="str">
        <f>VLOOKUP(O13,'Zona de riesgo'!B19:C43,2)</f>
        <v>Extremo</v>
      </c>
      <c r="Q13" s="174" t="s">
        <v>339</v>
      </c>
      <c r="R13" s="187"/>
      <c r="S13" s="175" t="s">
        <v>328</v>
      </c>
      <c r="T13" s="175" t="s">
        <v>113</v>
      </c>
      <c r="U13" s="176">
        <f t="shared" si="3"/>
        <v>10</v>
      </c>
      <c r="V13" s="175" t="s">
        <v>117</v>
      </c>
      <c r="W13" s="176">
        <f t="shared" si="4"/>
        <v>15</v>
      </c>
      <c r="X13" s="177">
        <f t="shared" si="7"/>
        <v>25</v>
      </c>
      <c r="Y13" s="175" t="s">
        <v>115</v>
      </c>
      <c r="Z13" s="175" t="s">
        <v>125</v>
      </c>
      <c r="AA13" s="175" t="s">
        <v>129</v>
      </c>
      <c r="AB13" s="177">
        <f>IF(T13="preventivo",(AB12-(AB12*X13/100)),IF(T13="detectivo",(AB12-(AB12*X13/100)),IF(T13="Correctivo",AB12,AB12)))</f>
        <v>40</v>
      </c>
      <c r="AC13" s="325"/>
      <c r="AD13" s="175">
        <f>IF(T13="Correctivo",(AD12-(AD12*X12/100)),AD12)</f>
        <v>33.75</v>
      </c>
      <c r="AE13" s="325"/>
      <c r="AF13" s="325"/>
      <c r="AG13" s="319"/>
      <c r="AH13" s="320"/>
      <c r="AI13" s="315"/>
      <c r="AJ13" s="315"/>
      <c r="AK13" s="315"/>
      <c r="AL13" s="315"/>
      <c r="AM13" s="315"/>
      <c r="AN13" s="315"/>
    </row>
    <row r="14" spans="2:45" ht="30">
      <c r="B14" s="401"/>
      <c r="C14" s="321"/>
      <c r="D14" s="321"/>
      <c r="E14" s="321"/>
      <c r="F14" s="321"/>
      <c r="G14" s="321"/>
      <c r="H14" s="321"/>
      <c r="I14" s="325" t="s">
        <v>56</v>
      </c>
      <c r="J14" s="325"/>
      <c r="K14" s="325" t="e">
        <f>VLOOKUP(L14,'PARÁMETROS RIESGOS GESTIÓN'!D20:F25,3,TRUE)</f>
        <v>#N/A</v>
      </c>
      <c r="L14" s="325">
        <f t="shared" si="0"/>
        <v>100</v>
      </c>
      <c r="M14" s="325" t="s">
        <v>101</v>
      </c>
      <c r="N14" s="325">
        <f t="shared" si="12"/>
        <v>100</v>
      </c>
      <c r="O14" s="325">
        <f t="shared" si="2"/>
        <v>100100</v>
      </c>
      <c r="P14" s="319" t="str">
        <f>VLOOKUP(O14,'Zona de riesgo'!B20:C44,2)</f>
        <v>Extremo</v>
      </c>
      <c r="Q14" s="174" t="s">
        <v>340</v>
      </c>
      <c r="R14" s="187" t="s">
        <v>328</v>
      </c>
      <c r="S14" s="175"/>
      <c r="T14" s="175" t="s">
        <v>109</v>
      </c>
      <c r="U14" s="176">
        <f t="shared" si="3"/>
        <v>25</v>
      </c>
      <c r="V14" s="175" t="s">
        <v>117</v>
      </c>
      <c r="W14" s="176">
        <f t="shared" si="4"/>
        <v>15</v>
      </c>
      <c r="X14" s="177">
        <f t="shared" si="7"/>
        <v>40</v>
      </c>
      <c r="Y14" s="175" t="s">
        <v>115</v>
      </c>
      <c r="Z14" s="175" t="s">
        <v>125</v>
      </c>
      <c r="AA14" s="175" t="s">
        <v>129</v>
      </c>
      <c r="AB14" s="177">
        <f>IF(T14="preventivo",(AB13-(AB13*X14/100)),IF(T14="detectivo",(AB13-(AB13*X14/100)),IF(T14="Correctivo",AB13,AB13)))</f>
        <v>24</v>
      </c>
      <c r="AC14" s="325"/>
      <c r="AD14" s="175">
        <f>IF(T14="Correctivo",(AD13-(AD13*U13/100)),AD13)</f>
        <v>33.75</v>
      </c>
      <c r="AE14" s="325"/>
      <c r="AF14" s="325"/>
      <c r="AG14" s="319"/>
      <c r="AH14" s="320"/>
      <c r="AI14" s="315"/>
      <c r="AJ14" s="315"/>
      <c r="AK14" s="315"/>
      <c r="AL14" s="315"/>
      <c r="AM14" s="315"/>
      <c r="AN14" s="315"/>
    </row>
    <row r="15" spans="2:45" ht="45">
      <c r="B15" s="401">
        <v>30</v>
      </c>
      <c r="C15" s="321" t="s">
        <v>511</v>
      </c>
      <c r="D15" s="321" t="s">
        <v>739</v>
      </c>
      <c r="E15" s="321" t="s">
        <v>503</v>
      </c>
      <c r="F15" s="321" t="s">
        <v>512</v>
      </c>
      <c r="G15" s="321" t="s">
        <v>504</v>
      </c>
      <c r="H15" s="321" t="s">
        <v>513</v>
      </c>
      <c r="I15" s="325" t="s">
        <v>50</v>
      </c>
      <c r="J15" s="325">
        <v>12</v>
      </c>
      <c r="K15" s="325" t="str">
        <f>VLOOKUP(L15,'PARÁMETROS RIESGOS GESTIÓN'!$D$12:$F$17,3,0)</f>
        <v>Baja</v>
      </c>
      <c r="L15" s="325">
        <f t="shared" ref="L15" si="13">IF(J15&lt;=2,20,IF(J15&lt;=24,40,IF(J15&lt;=500,60,IF(J15&lt;="5000",80,100))))</f>
        <v>40</v>
      </c>
      <c r="M15" s="325" t="s">
        <v>13</v>
      </c>
      <c r="N15" s="325">
        <f>IF(M15="leve",20,IF(M15="Menor",40,IF(M15="Moderado",60,IF(M15="Mayor",80,IF(M15="Catastrófico",100,0)))))</f>
        <v>60</v>
      </c>
      <c r="O15" s="325">
        <f t="shared" si="2"/>
        <v>4060</v>
      </c>
      <c r="P15" s="319" t="str">
        <f>VLOOKUP(O15,'Zona de riesgo'!$B$9:$C$33,2)</f>
        <v>Moderado</v>
      </c>
      <c r="Q15" s="174" t="s">
        <v>514</v>
      </c>
      <c r="R15" s="187" t="s">
        <v>328</v>
      </c>
      <c r="S15" s="187"/>
      <c r="T15" s="175" t="s">
        <v>109</v>
      </c>
      <c r="U15" s="176">
        <f t="shared" si="3"/>
        <v>25</v>
      </c>
      <c r="V15" s="175" t="s">
        <v>117</v>
      </c>
      <c r="W15" s="176">
        <f t="shared" si="4"/>
        <v>15</v>
      </c>
      <c r="X15" s="177">
        <f t="shared" si="7"/>
        <v>40</v>
      </c>
      <c r="Y15" s="175" t="s">
        <v>120</v>
      </c>
      <c r="Z15" s="175" t="s">
        <v>125</v>
      </c>
      <c r="AA15" s="175" t="s">
        <v>129</v>
      </c>
      <c r="AB15" s="177">
        <f>IF(T15="Correctivo",L15,(L15-(L15*X15/100)))</f>
        <v>24</v>
      </c>
      <c r="AC15" s="325" t="str">
        <f t="shared" ref="AC15" si="14">IF(AB17&gt;80,"Muy Alta",IF(AB17&gt;60,"Alta",IF(AB17&gt;40,"Media",IF(AB17&gt;20,"Baja","Muy Baja"))))</f>
        <v>Muy Baja</v>
      </c>
      <c r="AD15" s="175">
        <f>IF(T15="Correctivo",(N15-(N15*X15)/100),N15)</f>
        <v>60</v>
      </c>
      <c r="AE15" s="325" t="str">
        <f>IF(AD17&gt;80,"Catastrófico",IF(AD17&gt;60,"Mayor",IF(AD17&gt;40,"Moderado",IF(AD17&gt;20,"Menor","Leve"))))</f>
        <v>Moderado</v>
      </c>
      <c r="AF15" s="325" t="str">
        <f>CONCATENATE(AC15,AE15)</f>
        <v>Muy BajaModerado</v>
      </c>
      <c r="AG15" s="319" t="str">
        <f>VLOOKUP(AF15,'RIESGO RESIDUAL'!$A$1:$B$25,2,0)</f>
        <v>Moderado</v>
      </c>
      <c r="AH15" s="320" t="str">
        <f>IF(AG15="Baja","Aceptar-Asumir","Reducir-Mitigar")</f>
        <v>Reducir-Mitigar</v>
      </c>
      <c r="AI15" s="315" t="s">
        <v>505</v>
      </c>
      <c r="AJ15" s="315" t="s">
        <v>134</v>
      </c>
      <c r="AK15" s="351" t="s">
        <v>506</v>
      </c>
      <c r="AL15" s="315" t="s">
        <v>365</v>
      </c>
      <c r="AM15" s="315"/>
      <c r="AN15" s="315"/>
    </row>
    <row r="16" spans="2:45" ht="45">
      <c r="B16" s="401"/>
      <c r="C16" s="321"/>
      <c r="D16" s="321"/>
      <c r="E16" s="321"/>
      <c r="F16" s="321"/>
      <c r="G16" s="321"/>
      <c r="H16" s="321"/>
      <c r="I16" s="325" t="s">
        <v>56</v>
      </c>
      <c r="J16" s="325"/>
      <c r="K16" s="325" t="e">
        <f>VLOOKUP(L16,'PARÁMETROS RIESGOS GESTIÓN'!D22:F27,3,TRUE)</f>
        <v>#N/A</v>
      </c>
      <c r="L16" s="325">
        <f t="shared" si="0"/>
        <v>100</v>
      </c>
      <c r="M16" s="325" t="s">
        <v>101</v>
      </c>
      <c r="N16" s="325">
        <f t="shared" ref="N16:N79" si="15">IF(M16="leve",20,IF(M16="Menor",40,IF(M16="Moderado",60,IF(M16="Mayor",80,IF(M16="Catastrófico",100,0)))))</f>
        <v>100</v>
      </c>
      <c r="O16" s="325">
        <f t="shared" si="2"/>
        <v>100100</v>
      </c>
      <c r="P16" s="319" t="str">
        <f>VLOOKUP(O16,'Zona de riesgo'!B22:C46,2)</f>
        <v>Extremo</v>
      </c>
      <c r="Q16" s="174" t="s">
        <v>514</v>
      </c>
      <c r="R16" s="187"/>
      <c r="S16" s="187" t="s">
        <v>328</v>
      </c>
      <c r="T16" s="175" t="s">
        <v>109</v>
      </c>
      <c r="U16" s="176">
        <f t="shared" si="3"/>
        <v>25</v>
      </c>
      <c r="V16" s="175" t="s">
        <v>117</v>
      </c>
      <c r="W16" s="176">
        <f t="shared" si="4"/>
        <v>15</v>
      </c>
      <c r="X16" s="177">
        <f t="shared" si="7"/>
        <v>40</v>
      </c>
      <c r="Y16" s="175" t="s">
        <v>120</v>
      </c>
      <c r="Z16" s="175" t="s">
        <v>125</v>
      </c>
      <c r="AA16" s="175" t="s">
        <v>129</v>
      </c>
      <c r="AB16" s="177">
        <f>IF(T16="preventivo",(AB15-(AB15*X16/100)),IF(T16="detectivo",(AB15-(AB15*X16/100)),IF(T16="Correctivo",AB15,AB15)))</f>
        <v>14.4</v>
      </c>
      <c r="AC16" s="325"/>
      <c r="AD16" s="175">
        <f>IF(T16="Correctivo",(AD15-(AD15*X15/100)),AD15)</f>
        <v>60</v>
      </c>
      <c r="AE16" s="325"/>
      <c r="AF16" s="325"/>
      <c r="AG16" s="319"/>
      <c r="AH16" s="320"/>
      <c r="AI16" s="315"/>
      <c r="AJ16" s="315"/>
      <c r="AK16" s="315"/>
      <c r="AL16" s="315"/>
      <c r="AM16" s="315"/>
      <c r="AN16" s="315"/>
    </row>
    <row r="17" spans="2:40" ht="85.5" customHeight="1">
      <c r="B17" s="401"/>
      <c r="C17" s="321"/>
      <c r="D17" s="321"/>
      <c r="E17" s="321"/>
      <c r="F17" s="321"/>
      <c r="G17" s="321"/>
      <c r="H17" s="321"/>
      <c r="I17" s="325" t="s">
        <v>56</v>
      </c>
      <c r="J17" s="325"/>
      <c r="K17" s="325" t="e">
        <f>VLOOKUP(L17,'PARÁMETROS RIESGOS GESTIÓN'!D23:F28,3,TRUE)</f>
        <v>#N/A</v>
      </c>
      <c r="L17" s="325">
        <f t="shared" si="0"/>
        <v>100</v>
      </c>
      <c r="M17" s="325" t="s">
        <v>101</v>
      </c>
      <c r="N17" s="325">
        <f t="shared" si="15"/>
        <v>100</v>
      </c>
      <c r="O17" s="325">
        <f t="shared" si="2"/>
        <v>100100</v>
      </c>
      <c r="P17" s="319" t="str">
        <f>VLOOKUP(O17,'Zona de riesgo'!B23:C47,2)</f>
        <v>Extremo</v>
      </c>
      <c r="Q17" s="174" t="s">
        <v>748</v>
      </c>
      <c r="R17" s="187"/>
      <c r="S17" s="196" t="s">
        <v>328</v>
      </c>
      <c r="T17" s="175" t="s">
        <v>113</v>
      </c>
      <c r="U17" s="176">
        <f t="shared" si="3"/>
        <v>10</v>
      </c>
      <c r="V17" s="175" t="s">
        <v>117</v>
      </c>
      <c r="W17" s="176">
        <f t="shared" si="4"/>
        <v>15</v>
      </c>
      <c r="X17" s="177">
        <f t="shared" si="7"/>
        <v>25</v>
      </c>
      <c r="Y17" s="175" t="s">
        <v>123</v>
      </c>
      <c r="Z17" s="175" t="s">
        <v>125</v>
      </c>
      <c r="AA17" s="175" t="s">
        <v>129</v>
      </c>
      <c r="AB17" s="177">
        <f>IF(T17="preventivo",(AB16-(AB16*X17/100)),IF(T17="detectivo",(AB16-(AB16*X17/100)),IF(T17="Correctivo",AB16,AB16)))</f>
        <v>14.4</v>
      </c>
      <c r="AC17" s="325"/>
      <c r="AD17" s="175">
        <f>IF(T17="Correctivo",(AD16-(AD16*U16/100)),AD16)</f>
        <v>45</v>
      </c>
      <c r="AE17" s="325"/>
      <c r="AF17" s="325"/>
      <c r="AG17" s="319"/>
      <c r="AH17" s="320"/>
      <c r="AI17" s="315"/>
      <c r="AJ17" s="315"/>
      <c r="AK17" s="315"/>
      <c r="AL17" s="315"/>
      <c r="AM17" s="315"/>
      <c r="AN17" s="315"/>
    </row>
    <row r="18" spans="2:40" ht="105">
      <c r="B18" s="401">
        <v>31</v>
      </c>
      <c r="C18" s="321" t="s">
        <v>511</v>
      </c>
      <c r="D18" s="321" t="s">
        <v>739</v>
      </c>
      <c r="E18" s="321" t="s">
        <v>515</v>
      </c>
      <c r="F18" s="321" t="s">
        <v>516</v>
      </c>
      <c r="G18" s="321" t="s">
        <v>517</v>
      </c>
      <c r="H18" s="321" t="s">
        <v>507</v>
      </c>
      <c r="I18" s="325" t="s">
        <v>50</v>
      </c>
      <c r="J18" s="325">
        <v>4</v>
      </c>
      <c r="K18" s="325" t="str">
        <f>VLOOKUP(L18,'PARÁMETROS RIESGOS GESTIÓN'!$D$12:$F$17,3,0)</f>
        <v>Baja</v>
      </c>
      <c r="L18" s="325">
        <f t="shared" ref="L18" si="16">IF(J18&lt;=2,20,IF(J18&lt;=24,40,IF(J18&lt;=500,60,IF(J18&lt;="5000",80,100))))</f>
        <v>40</v>
      </c>
      <c r="M18" s="325" t="s">
        <v>13</v>
      </c>
      <c r="N18" s="325">
        <f t="shared" si="15"/>
        <v>60</v>
      </c>
      <c r="O18" s="325">
        <f t="shared" si="2"/>
        <v>4060</v>
      </c>
      <c r="P18" s="319" t="str">
        <f>VLOOKUP(O18,'Zona de riesgo'!$B$9:$C$33,2)</f>
        <v>Moderado</v>
      </c>
      <c r="Q18" s="174" t="s">
        <v>518</v>
      </c>
      <c r="R18" s="187" t="s">
        <v>20</v>
      </c>
      <c r="S18" s="187"/>
      <c r="T18" s="175" t="s">
        <v>109</v>
      </c>
      <c r="U18" s="176">
        <f t="shared" si="3"/>
        <v>25</v>
      </c>
      <c r="V18" s="175" t="s">
        <v>117</v>
      </c>
      <c r="W18" s="176">
        <f t="shared" si="4"/>
        <v>15</v>
      </c>
      <c r="X18" s="177">
        <f t="shared" si="7"/>
        <v>40</v>
      </c>
      <c r="Y18" s="175" t="s">
        <v>120</v>
      </c>
      <c r="Z18" s="175" t="s">
        <v>125</v>
      </c>
      <c r="AA18" s="175" t="s">
        <v>129</v>
      </c>
      <c r="AB18" s="177">
        <f>IF(T18="Correctivo",L18,(L18-(L18*X18/100)))</f>
        <v>24</v>
      </c>
      <c r="AC18" s="325" t="str">
        <f t="shared" ref="AC18" si="17">IF(AB20&gt;80,"Muy Alta",IF(AB20&gt;60,"Alta",IF(AB20&gt;40,"Media",IF(AB20&gt;20,"Baja","Muy Baja"))))</f>
        <v>Muy Baja</v>
      </c>
      <c r="AD18" s="175">
        <f>IF(T18="Correctivo",(N18-(N18*X18)/100),N18)</f>
        <v>60</v>
      </c>
      <c r="AE18" s="325" t="str">
        <f>IF(AD20&gt;80,"Catastrófico",IF(AD20&gt;60,"Mayor",IF(AD20&gt;40,"Moderado",IF(AD20&gt;20,"Menor","Leve"))))</f>
        <v>Moderado</v>
      </c>
      <c r="AF18" s="325" t="str">
        <f>CONCATENATE(AC18,AE18)</f>
        <v>Muy BajaModerado</v>
      </c>
      <c r="AG18" s="319" t="str">
        <f>VLOOKUP(AF18,'RIESGO RESIDUAL'!$A$1:$B$25,2,0)</f>
        <v>Moderado</v>
      </c>
      <c r="AH18" s="320" t="str">
        <f>IF(AG18="Baja","Aceptar-Asumir","Reducir-Mitigar")</f>
        <v>Reducir-Mitigar</v>
      </c>
      <c r="AI18" s="178" t="s">
        <v>508</v>
      </c>
      <c r="AJ18" s="178" t="s">
        <v>134</v>
      </c>
      <c r="AK18" s="178" t="s">
        <v>509</v>
      </c>
      <c r="AL18" s="315" t="s">
        <v>365</v>
      </c>
      <c r="AM18" s="178"/>
      <c r="AN18" s="178"/>
    </row>
    <row r="19" spans="2:40" ht="75">
      <c r="B19" s="401"/>
      <c r="C19" s="321"/>
      <c r="D19" s="321"/>
      <c r="E19" s="321"/>
      <c r="F19" s="321"/>
      <c r="G19" s="321"/>
      <c r="H19" s="321"/>
      <c r="I19" s="325" t="s">
        <v>56</v>
      </c>
      <c r="J19" s="325"/>
      <c r="K19" s="325" t="e">
        <f>VLOOKUP(L19,'PARÁMETROS RIESGOS GESTIÓN'!D25:F30,3,TRUE)</f>
        <v>#N/A</v>
      </c>
      <c r="L19" s="325">
        <f t="shared" si="0"/>
        <v>100</v>
      </c>
      <c r="M19" s="325" t="s">
        <v>101</v>
      </c>
      <c r="N19" s="325">
        <f t="shared" si="15"/>
        <v>100</v>
      </c>
      <c r="O19" s="325">
        <f t="shared" si="2"/>
        <v>100100</v>
      </c>
      <c r="P19" s="319" t="str">
        <f>VLOOKUP(O19,'Zona de riesgo'!B25:C49,2)</f>
        <v>Extremo</v>
      </c>
      <c r="Q19" s="174" t="s">
        <v>518</v>
      </c>
      <c r="R19" s="187"/>
      <c r="S19" s="187" t="s">
        <v>20</v>
      </c>
      <c r="T19" s="175" t="s">
        <v>111</v>
      </c>
      <c r="U19" s="176">
        <f t="shared" si="3"/>
        <v>15</v>
      </c>
      <c r="V19" s="175" t="s">
        <v>117</v>
      </c>
      <c r="W19" s="176">
        <f t="shared" si="4"/>
        <v>15</v>
      </c>
      <c r="X19" s="177">
        <f t="shared" si="7"/>
        <v>30</v>
      </c>
      <c r="Y19" s="175" t="s">
        <v>120</v>
      </c>
      <c r="Z19" s="175" t="s">
        <v>125</v>
      </c>
      <c r="AA19" s="175" t="s">
        <v>129</v>
      </c>
      <c r="AB19" s="177">
        <f>IF(T19="preventivo",(AB18-(AB18*X19/100)),IF(T19="detectivo",(AB18-(AB18*X19/100)),IF(T19="Correctivo",AB18,AB18)))</f>
        <v>16.8</v>
      </c>
      <c r="AC19" s="325"/>
      <c r="AD19" s="175">
        <f>IF(T19="Correctivo",(AD18-(AD18*X18/100)),AD18)</f>
        <v>60</v>
      </c>
      <c r="AE19" s="325"/>
      <c r="AF19" s="325"/>
      <c r="AG19" s="319"/>
      <c r="AH19" s="320"/>
      <c r="AI19" s="174" t="s">
        <v>510</v>
      </c>
      <c r="AJ19" s="178" t="s">
        <v>134</v>
      </c>
      <c r="AK19" s="178" t="s">
        <v>509</v>
      </c>
      <c r="AL19" s="315"/>
      <c r="AM19" s="178"/>
      <c r="AN19" s="178"/>
    </row>
    <row r="20" spans="2:40" ht="15">
      <c r="B20" s="401"/>
      <c r="C20" s="321"/>
      <c r="D20" s="321"/>
      <c r="E20" s="321"/>
      <c r="F20" s="321"/>
      <c r="G20" s="321"/>
      <c r="H20" s="321"/>
      <c r="I20" s="325" t="s">
        <v>56</v>
      </c>
      <c r="J20" s="325"/>
      <c r="K20" s="325" t="e">
        <f>VLOOKUP(L20,'PARÁMETROS RIESGOS GESTIÓN'!D26:F31,3,TRUE)</f>
        <v>#N/A</v>
      </c>
      <c r="L20" s="325">
        <f t="shared" si="0"/>
        <v>100</v>
      </c>
      <c r="M20" s="325" t="s">
        <v>101</v>
      </c>
      <c r="N20" s="325">
        <f t="shared" si="15"/>
        <v>100</v>
      </c>
      <c r="O20" s="325">
        <f t="shared" si="2"/>
        <v>100100</v>
      </c>
      <c r="P20" s="319" t="str">
        <f>VLOOKUP(O20,'Zona de riesgo'!B26:C50,2)</f>
        <v>Extremo</v>
      </c>
      <c r="Q20" s="174"/>
      <c r="R20" s="187"/>
      <c r="S20" s="195"/>
      <c r="T20" s="175"/>
      <c r="U20" s="176"/>
      <c r="V20" s="175"/>
      <c r="W20" s="176"/>
      <c r="X20" s="177"/>
      <c r="Y20" s="175"/>
      <c r="Z20" s="175"/>
      <c r="AA20" s="175"/>
      <c r="AB20" s="177">
        <f>IF(T20="preventivo",(AB19-(AB19*X20/100)),IF(T20="detectivo",(AB19-(AB19*X20/100)),IF(T20="Correctivo",AB19,AB19)))</f>
        <v>16.8</v>
      </c>
      <c r="AC20" s="325"/>
      <c r="AD20" s="175">
        <f>IF(T20="Correctivo",(AD19-(AD19*U19/100)),AD19)</f>
        <v>60</v>
      </c>
      <c r="AE20" s="325"/>
      <c r="AF20" s="325"/>
      <c r="AG20" s="319"/>
      <c r="AH20" s="320"/>
      <c r="AI20" s="178"/>
      <c r="AJ20" s="178"/>
      <c r="AK20" s="178"/>
      <c r="AL20" s="315"/>
      <c r="AM20" s="178"/>
      <c r="AN20" s="178"/>
    </row>
    <row r="21" spans="2:40" ht="42.75" customHeight="1">
      <c r="B21" s="402">
        <v>32</v>
      </c>
      <c r="C21" s="321" t="s">
        <v>692</v>
      </c>
      <c r="D21" s="321" t="s">
        <v>529</v>
      </c>
      <c r="E21" s="329" t="s">
        <v>519</v>
      </c>
      <c r="F21" s="347" t="s">
        <v>520</v>
      </c>
      <c r="G21" s="329" t="s">
        <v>530</v>
      </c>
      <c r="H21" s="329" t="str">
        <f>_xlfn.CONCAT("Posibilidad de ",E21, " debido a ",F21," por ",G21)</f>
        <v xml:space="preserve">Posibilidad de Perdida reputacional debido a por Incumplimiento en la realización de operativos de inspección y vigilancia por Falta de planeación de los operativos </v>
      </c>
      <c r="I21" s="331" t="s">
        <v>50</v>
      </c>
      <c r="J21" s="331">
        <v>40</v>
      </c>
      <c r="K21" s="325" t="str">
        <f>VLOOKUP(L21,'PARÁMETROS RIESGOS GESTIÓN'!$D$12:$F$17,3,0)</f>
        <v>Media</v>
      </c>
      <c r="L21" s="325">
        <f t="shared" ref="L21" si="18">IF(J21&lt;=2,20,IF(J21&lt;=24,40,IF(J21&lt;=500,60,IF(J21&lt;="5000",80,100))))</f>
        <v>60</v>
      </c>
      <c r="M21" s="331" t="s">
        <v>99</v>
      </c>
      <c r="N21" s="325">
        <f t="shared" si="15"/>
        <v>40</v>
      </c>
      <c r="O21" s="325">
        <f t="shared" si="2"/>
        <v>6040</v>
      </c>
      <c r="P21" s="319" t="str">
        <f>VLOOKUP(O21,'Zona de riesgo'!$B$9:$C$33,2)</f>
        <v>Moderado</v>
      </c>
      <c r="Q21" s="179" t="s">
        <v>595</v>
      </c>
      <c r="R21" s="197" t="s">
        <v>20</v>
      </c>
      <c r="S21" s="180"/>
      <c r="T21" s="175" t="s">
        <v>109</v>
      </c>
      <c r="U21" s="176">
        <f t="shared" si="3"/>
        <v>25</v>
      </c>
      <c r="V21" s="175" t="s">
        <v>117</v>
      </c>
      <c r="W21" s="176">
        <f t="shared" si="4"/>
        <v>15</v>
      </c>
      <c r="X21" s="177">
        <f t="shared" si="7"/>
        <v>40</v>
      </c>
      <c r="Y21" s="175" t="s">
        <v>120</v>
      </c>
      <c r="Z21" s="175" t="s">
        <v>125</v>
      </c>
      <c r="AA21" s="180" t="s">
        <v>129</v>
      </c>
      <c r="AB21" s="177">
        <f>IF(T21="Correctivo",L21,(L21-(L21*X21/100)))</f>
        <v>36</v>
      </c>
      <c r="AC21" s="325" t="str">
        <f t="shared" ref="AC21" si="19">IF(AB23&gt;80,"Muy Alta",IF(AB23&gt;60,"Alta",IF(AB23&gt;40,"Media",IF(AB23&gt;20,"Baja","Muy Baja"))))</f>
        <v>Baja</v>
      </c>
      <c r="AD21" s="175">
        <f>IF(T21="Correctivo",(N21-(N21*X21)/100),N21)</f>
        <v>40</v>
      </c>
      <c r="AE21" s="325" t="str">
        <f t="shared" ref="AE21" si="20">IF(AD23&gt;80,"Catastrófico",IF(AD23&gt;60,"Mayor",IF(AD23&gt;40,"Moderado",IF(AD23&gt;20,"Menor","Leve"))))</f>
        <v>Menor</v>
      </c>
      <c r="AF21" s="325" t="str">
        <f t="shared" ref="AF21" si="21">CONCATENATE(AC21,AE21)</f>
        <v>BajaMenor</v>
      </c>
      <c r="AG21" s="319" t="str">
        <f>VLOOKUP(AF21,'RIESGO RESIDUAL'!$A$1:$B$25,2,0)</f>
        <v>Moderado</v>
      </c>
      <c r="AH21" s="320" t="str">
        <f t="shared" ref="AH21" si="22">IF(AG21="Baja","Aceptar-Asumir","Reducir-Mitigar")</f>
        <v>Reducir-Mitigar</v>
      </c>
      <c r="AI21" s="198" t="s">
        <v>521</v>
      </c>
      <c r="AJ21" s="181" t="s">
        <v>364</v>
      </c>
      <c r="AK21" s="350">
        <v>44735</v>
      </c>
      <c r="AL21" s="350">
        <v>44858</v>
      </c>
      <c r="AM21" s="327" t="s">
        <v>365</v>
      </c>
      <c r="AN21" s="327"/>
    </row>
    <row r="22" spans="2:40" ht="15">
      <c r="B22" s="402"/>
      <c r="C22" s="321"/>
      <c r="D22" s="321"/>
      <c r="E22" s="330"/>
      <c r="F22" s="330"/>
      <c r="G22" s="330"/>
      <c r="H22" s="330"/>
      <c r="I22" s="328"/>
      <c r="J22" s="328"/>
      <c r="K22" s="325" t="e">
        <f>VLOOKUP(L22,'PARÁMETROS RIESGOS GESTIÓN'!D28:F33,3,TRUE)</f>
        <v>#N/A</v>
      </c>
      <c r="L22" s="325">
        <f t="shared" si="0"/>
        <v>100</v>
      </c>
      <c r="M22" s="328"/>
      <c r="N22" s="325">
        <f t="shared" si="15"/>
        <v>0</v>
      </c>
      <c r="O22" s="325">
        <f t="shared" si="2"/>
        <v>1000</v>
      </c>
      <c r="P22" s="319" t="e">
        <f>VLOOKUP(O22,'Zona de riesgo'!B28:C52,2)</f>
        <v>#N/A</v>
      </c>
      <c r="Q22" s="182"/>
      <c r="R22" s="197"/>
      <c r="S22" s="180"/>
      <c r="T22" s="175"/>
      <c r="U22" s="176"/>
      <c r="V22" s="175"/>
      <c r="W22" s="176"/>
      <c r="X22" s="177"/>
      <c r="Y22" s="180"/>
      <c r="Z22" s="175"/>
      <c r="AA22" s="180"/>
      <c r="AB22" s="177">
        <f>IF(T22="preventivo",(AB21-(AB21*X22/100)),IF(T22="detectivo",(AB21-(AB21*X22/100)),IF(T22="Correctivo",AB21,AB21)))</f>
        <v>36</v>
      </c>
      <c r="AC22" s="325"/>
      <c r="AD22" s="175">
        <f>IF(T22="Correctivo",(AD21-(AD21*X21/100)),AD21)</f>
        <v>40</v>
      </c>
      <c r="AE22" s="325"/>
      <c r="AF22" s="325"/>
      <c r="AG22" s="319"/>
      <c r="AH22" s="320"/>
      <c r="AI22" s="199"/>
      <c r="AJ22" s="199"/>
      <c r="AK22" s="330"/>
      <c r="AL22" s="330"/>
      <c r="AM22" s="328"/>
      <c r="AN22" s="328"/>
    </row>
    <row r="23" spans="2:40" ht="15">
      <c r="B23" s="402"/>
      <c r="C23" s="321"/>
      <c r="D23" s="321"/>
      <c r="E23" s="330"/>
      <c r="F23" s="330"/>
      <c r="G23" s="330"/>
      <c r="H23" s="330"/>
      <c r="I23" s="328"/>
      <c r="J23" s="328"/>
      <c r="K23" s="325" t="e">
        <f>VLOOKUP(L23,'PARÁMETROS RIESGOS GESTIÓN'!D29:F34,3,TRUE)</f>
        <v>#N/A</v>
      </c>
      <c r="L23" s="325">
        <f t="shared" si="0"/>
        <v>100</v>
      </c>
      <c r="M23" s="328"/>
      <c r="N23" s="325">
        <f t="shared" si="15"/>
        <v>0</v>
      </c>
      <c r="O23" s="325">
        <f t="shared" si="2"/>
        <v>1000</v>
      </c>
      <c r="P23" s="319" t="e">
        <f>VLOOKUP(O23,'Zona de riesgo'!B29:C53,2)</f>
        <v>#N/A</v>
      </c>
      <c r="Q23" s="182"/>
      <c r="R23" s="197"/>
      <c r="S23" s="180"/>
      <c r="T23" s="175"/>
      <c r="U23" s="176"/>
      <c r="V23" s="175"/>
      <c r="W23" s="176"/>
      <c r="X23" s="177"/>
      <c r="Y23" s="180"/>
      <c r="Z23" s="175"/>
      <c r="AA23" s="180"/>
      <c r="AB23" s="177">
        <f>IF(T23="preventivo",(AB22-(AB22*X23/100)),IF(T23="detectivo",(AB22-(AB22*X23/100)),IF(T23="Correctivo",AB22,AB22)))</f>
        <v>36</v>
      </c>
      <c r="AC23" s="325"/>
      <c r="AD23" s="175">
        <f>IF(T23="Correctivo",(AD22-(AD22*U22/100)),AD22)</f>
        <v>40</v>
      </c>
      <c r="AE23" s="325"/>
      <c r="AF23" s="325"/>
      <c r="AG23" s="319"/>
      <c r="AH23" s="320"/>
      <c r="AI23" s="199"/>
      <c r="AJ23" s="199"/>
      <c r="AK23" s="330"/>
      <c r="AL23" s="330"/>
      <c r="AM23" s="328"/>
      <c r="AN23" s="328"/>
    </row>
    <row r="24" spans="2:40" ht="30.75" customHeight="1">
      <c r="B24" s="402">
        <v>33</v>
      </c>
      <c r="C24" s="321" t="s">
        <v>692</v>
      </c>
      <c r="D24" s="321" t="s">
        <v>529</v>
      </c>
      <c r="E24" s="329" t="s">
        <v>531</v>
      </c>
      <c r="F24" s="348" t="s">
        <v>523</v>
      </c>
      <c r="G24" s="329" t="s">
        <v>524</v>
      </c>
      <c r="H24" s="329" t="s">
        <v>532</v>
      </c>
      <c r="I24" s="331" t="s">
        <v>50</v>
      </c>
      <c r="J24" s="331">
        <v>40</v>
      </c>
      <c r="K24" s="325" t="str">
        <f>VLOOKUP(L24,'PARÁMETROS RIESGOS GESTIÓN'!$D$12:$F$17,3,0)</f>
        <v>Media</v>
      </c>
      <c r="L24" s="325">
        <f t="shared" ref="L24" si="23">IF(J24&lt;=2,20,IF(J24&lt;=24,40,IF(J24&lt;=500,60,IF(J24&lt;="5000",80,100))))</f>
        <v>60</v>
      </c>
      <c r="M24" s="331" t="s">
        <v>13</v>
      </c>
      <c r="N24" s="325">
        <f t="shared" si="15"/>
        <v>60</v>
      </c>
      <c r="O24" s="325">
        <f t="shared" si="2"/>
        <v>6060</v>
      </c>
      <c r="P24" s="319" t="str">
        <f>VLOOKUP(O24,'Zona de riesgo'!$B$9:$C$33,2)</f>
        <v>Moderado</v>
      </c>
      <c r="Q24" s="182" t="s">
        <v>533</v>
      </c>
      <c r="R24" s="197"/>
      <c r="S24" s="180" t="s">
        <v>20</v>
      </c>
      <c r="T24" s="175" t="s">
        <v>109</v>
      </c>
      <c r="U24" s="176">
        <f t="shared" si="3"/>
        <v>25</v>
      </c>
      <c r="V24" s="175" t="s">
        <v>117</v>
      </c>
      <c r="W24" s="176">
        <f t="shared" si="4"/>
        <v>15</v>
      </c>
      <c r="X24" s="177">
        <f t="shared" si="7"/>
        <v>40</v>
      </c>
      <c r="Y24" s="175" t="s">
        <v>120</v>
      </c>
      <c r="Z24" s="175" t="s">
        <v>125</v>
      </c>
      <c r="AA24" s="180" t="s">
        <v>129</v>
      </c>
      <c r="AB24" s="177">
        <f>IF(T24="Correctivo",L24,(L24-(L24*X24/100)))</f>
        <v>36</v>
      </c>
      <c r="AC24" s="325" t="str">
        <f t="shared" ref="AC24" si="24">IF(AB26&gt;80,"Muy Alta",IF(AB26&gt;60,"Alta",IF(AB26&gt;40,"Media",IF(AB26&gt;20,"Baja","Muy Baja"))))</f>
        <v>Baja</v>
      </c>
      <c r="AD24" s="175">
        <f>IF(T24="Correctivo",(N24-(N24*X24)/100),N24)</f>
        <v>60</v>
      </c>
      <c r="AE24" s="325" t="str">
        <f t="shared" ref="AE24" si="25">IF(AD26&gt;80,"Catastrófico",IF(AD26&gt;60,"Mayor",IF(AD26&gt;40,"Moderado",IF(AD26&gt;20,"Menor","Leve"))))</f>
        <v>Menor</v>
      </c>
      <c r="AF24" s="325" t="str">
        <f t="shared" ref="AF24" si="26">CONCATENATE(AC24,AE24)</f>
        <v>BajaMenor</v>
      </c>
      <c r="AG24" s="319" t="str">
        <f>VLOOKUP(AF24,'RIESGO RESIDUAL'!$A$1:$B$25,2,0)</f>
        <v>Moderado</v>
      </c>
      <c r="AH24" s="320" t="str">
        <f t="shared" ref="AH24" si="27">IF(AG24="Baja","Aceptar-Asumir","Reducir-Mitigar")</f>
        <v>Reducir-Mitigar</v>
      </c>
      <c r="AI24" s="181" t="s">
        <v>534</v>
      </c>
      <c r="AJ24" s="181" t="s">
        <v>364</v>
      </c>
      <c r="AK24" s="350">
        <v>44735</v>
      </c>
      <c r="AL24" s="350">
        <v>44858</v>
      </c>
      <c r="AM24" s="327" t="s">
        <v>365</v>
      </c>
      <c r="AN24" s="327"/>
    </row>
    <row r="25" spans="2:40" ht="43.5" customHeight="1">
      <c r="B25" s="402"/>
      <c r="C25" s="321"/>
      <c r="D25" s="321"/>
      <c r="E25" s="330"/>
      <c r="F25" s="330"/>
      <c r="G25" s="330"/>
      <c r="H25" s="330"/>
      <c r="I25" s="328"/>
      <c r="J25" s="328"/>
      <c r="K25" s="325" t="e">
        <f>VLOOKUP(L25,'PARÁMETROS RIESGOS GESTIÓN'!D31:F36,3,TRUE)</f>
        <v>#N/A</v>
      </c>
      <c r="L25" s="325">
        <f t="shared" si="0"/>
        <v>100</v>
      </c>
      <c r="M25" s="328"/>
      <c r="N25" s="325">
        <f t="shared" si="15"/>
        <v>0</v>
      </c>
      <c r="O25" s="325">
        <f t="shared" si="2"/>
        <v>1000</v>
      </c>
      <c r="P25" s="319" t="e">
        <f>VLOOKUP(O25,'Zona de riesgo'!B31:C55,2)</f>
        <v>#N/A</v>
      </c>
      <c r="Q25" s="182" t="s">
        <v>525</v>
      </c>
      <c r="R25" s="197"/>
      <c r="S25" s="180" t="s">
        <v>20</v>
      </c>
      <c r="T25" s="175" t="s">
        <v>113</v>
      </c>
      <c r="U25" s="176">
        <f t="shared" si="3"/>
        <v>10</v>
      </c>
      <c r="V25" s="175" t="s">
        <v>117</v>
      </c>
      <c r="W25" s="176">
        <f t="shared" si="4"/>
        <v>15</v>
      </c>
      <c r="X25" s="177">
        <f t="shared" si="7"/>
        <v>25</v>
      </c>
      <c r="Y25" s="175" t="s">
        <v>120</v>
      </c>
      <c r="Z25" s="175" t="s">
        <v>125</v>
      </c>
      <c r="AA25" s="180" t="s">
        <v>131</v>
      </c>
      <c r="AB25" s="177">
        <f>IF(T25="preventivo",(AB24-(AB24*X25/100)),IF(T25="detectivo",(AB24-(AB24*X25/100)),IF(T25="Correctivo",AB24,AB24)))</f>
        <v>36</v>
      </c>
      <c r="AC25" s="325"/>
      <c r="AD25" s="175">
        <f>IF(T25="Correctivo",(AD24-(AD24*X24/100)),AD24)</f>
        <v>36</v>
      </c>
      <c r="AE25" s="325"/>
      <c r="AF25" s="325"/>
      <c r="AG25" s="319"/>
      <c r="AH25" s="320"/>
      <c r="AI25" s="199"/>
      <c r="AJ25" s="199"/>
      <c r="AK25" s="330"/>
      <c r="AL25" s="330"/>
      <c r="AM25" s="328"/>
      <c r="AN25" s="328"/>
    </row>
    <row r="26" spans="2:40" ht="15">
      <c r="B26" s="402"/>
      <c r="C26" s="321"/>
      <c r="D26" s="321"/>
      <c r="E26" s="330"/>
      <c r="F26" s="330"/>
      <c r="G26" s="330"/>
      <c r="H26" s="330"/>
      <c r="I26" s="328"/>
      <c r="J26" s="328"/>
      <c r="K26" s="325" t="e">
        <f>VLOOKUP(L26,'PARÁMETROS RIESGOS GESTIÓN'!D32:F37,3,TRUE)</f>
        <v>#N/A</v>
      </c>
      <c r="L26" s="325">
        <f t="shared" si="0"/>
        <v>100</v>
      </c>
      <c r="M26" s="328"/>
      <c r="N26" s="325">
        <f t="shared" si="15"/>
        <v>0</v>
      </c>
      <c r="O26" s="325">
        <f t="shared" si="2"/>
        <v>1000</v>
      </c>
      <c r="P26" s="319" t="e">
        <f>VLOOKUP(O26,'Zona de riesgo'!B32:C56,2)</f>
        <v>#N/A</v>
      </c>
      <c r="Q26" s="182"/>
      <c r="R26" s="197"/>
      <c r="S26" s="180"/>
      <c r="T26" s="175"/>
      <c r="U26" s="176"/>
      <c r="V26" s="175"/>
      <c r="W26" s="176"/>
      <c r="X26" s="177"/>
      <c r="Y26" s="180"/>
      <c r="Z26" s="175"/>
      <c r="AA26" s="180"/>
      <c r="AB26" s="177">
        <f>IF(T26="preventivo",(AB25-(AB25*X26/100)),IF(T26="detectivo",(AB25-(AB25*X26/100)),IF(T26="Correctivo",AB25,AB25)))</f>
        <v>36</v>
      </c>
      <c r="AC26" s="325"/>
      <c r="AD26" s="175">
        <f>IF(T26="Correctivo",(AD25-(AD25*U25/100)),AD25)</f>
        <v>36</v>
      </c>
      <c r="AE26" s="325"/>
      <c r="AF26" s="325"/>
      <c r="AG26" s="319"/>
      <c r="AH26" s="320"/>
      <c r="AI26" s="199"/>
      <c r="AJ26" s="199"/>
      <c r="AK26" s="330"/>
      <c r="AL26" s="330"/>
      <c r="AM26" s="328"/>
      <c r="AN26" s="328"/>
    </row>
    <row r="27" spans="2:40" ht="43.5" customHeight="1">
      <c r="B27" s="402">
        <v>34</v>
      </c>
      <c r="C27" s="321" t="s">
        <v>692</v>
      </c>
      <c r="D27" s="321" t="s">
        <v>529</v>
      </c>
      <c r="E27" s="329" t="s">
        <v>526</v>
      </c>
      <c r="F27" s="329" t="s">
        <v>535</v>
      </c>
      <c r="G27" s="347" t="s">
        <v>536</v>
      </c>
      <c r="H27" s="348" t="str">
        <f>_xlfn.CONCAT("Posibilidad de ",E27, " debido a ",F27," por ",G27)</f>
        <v xml:space="preserve">Posibilidad de perdida reputacional debido a generación de datos no continuos, inexactos e inoportunos  por Fallas en la capacitación del personal de campo y fallas en la veracidad de la información reportada por las fuentes  </v>
      </c>
      <c r="I27" s="331" t="s">
        <v>50</v>
      </c>
      <c r="J27" s="331">
        <v>12</v>
      </c>
      <c r="K27" s="325" t="str">
        <f>VLOOKUP(L27,'PARÁMETROS RIESGOS GESTIÓN'!$D$12:$F$17,3,0)</f>
        <v>Baja</v>
      </c>
      <c r="L27" s="325">
        <f t="shared" ref="L27" si="28">IF(J27&lt;=2,20,IF(J27&lt;=24,40,IF(J27&lt;=500,60,IF(J27&lt;="5000",80,100))))</f>
        <v>40</v>
      </c>
      <c r="M27" s="331" t="s">
        <v>98</v>
      </c>
      <c r="N27" s="325">
        <f t="shared" si="15"/>
        <v>20</v>
      </c>
      <c r="O27" s="325">
        <f t="shared" si="2"/>
        <v>4020</v>
      </c>
      <c r="P27" s="319" t="str">
        <f>VLOOKUP(O27,'Zona de riesgo'!$B$9:$C$33,2)</f>
        <v>Baja</v>
      </c>
      <c r="Q27" s="182" t="s">
        <v>537</v>
      </c>
      <c r="R27" s="197"/>
      <c r="S27" s="180" t="s">
        <v>20</v>
      </c>
      <c r="T27" s="175" t="s">
        <v>109</v>
      </c>
      <c r="U27" s="176">
        <f t="shared" si="3"/>
        <v>25</v>
      </c>
      <c r="V27" s="175" t="s">
        <v>117</v>
      </c>
      <c r="W27" s="176">
        <f t="shared" si="4"/>
        <v>15</v>
      </c>
      <c r="X27" s="177">
        <f t="shared" si="7"/>
        <v>40</v>
      </c>
      <c r="Y27" s="180" t="s">
        <v>120</v>
      </c>
      <c r="Z27" s="175" t="s">
        <v>125</v>
      </c>
      <c r="AA27" s="180" t="s">
        <v>129</v>
      </c>
      <c r="AB27" s="177">
        <f>IF(T27="Correctivo",L27,(L27-(L27*X27/100)))</f>
        <v>24</v>
      </c>
      <c r="AC27" s="325" t="str">
        <f t="shared" ref="AC27" si="29">IF(AB29&gt;80,"Muy Alta",IF(AB29&gt;60,"Alta",IF(AB29&gt;40,"Media",IF(AB29&gt;20,"Baja","Muy Baja"))))</f>
        <v>Muy Baja</v>
      </c>
      <c r="AD27" s="175">
        <f>IF(T27="Correctivo",(N27-(N27*X27)/100),N27)</f>
        <v>20</v>
      </c>
      <c r="AE27" s="325" t="str">
        <f t="shared" ref="AE27" si="30">IF(AD29&gt;80,"Catastrófico",IF(AD29&gt;60,"Mayor",IF(AD29&gt;40,"Moderado",IF(AD29&gt;20,"Menor","Leve"))))</f>
        <v>Leve</v>
      </c>
      <c r="AF27" s="325" t="str">
        <f t="shared" ref="AF27" si="31">CONCATENATE(AC27,AE27)</f>
        <v>Muy BajaLeve</v>
      </c>
      <c r="AG27" s="319" t="str">
        <f>VLOOKUP(AF27,'RIESGO RESIDUAL'!$A$1:$B$25,2,0)</f>
        <v>Baja</v>
      </c>
      <c r="AH27" s="320" t="str">
        <f t="shared" ref="AH27" si="32">IF(AG27="Baja","Aceptar-Asumir","Reducir-Mitigar")</f>
        <v>Aceptar-Asumir</v>
      </c>
      <c r="AI27" s="181" t="s">
        <v>538</v>
      </c>
      <c r="AJ27" s="181" t="s">
        <v>364</v>
      </c>
      <c r="AK27" s="350">
        <v>44735</v>
      </c>
      <c r="AL27" s="350">
        <v>44919</v>
      </c>
      <c r="AM27" s="327" t="s">
        <v>365</v>
      </c>
      <c r="AN27" s="327"/>
    </row>
    <row r="28" spans="2:40" ht="42.75" customHeight="1">
      <c r="B28" s="402"/>
      <c r="C28" s="321"/>
      <c r="D28" s="321"/>
      <c r="E28" s="330"/>
      <c r="F28" s="330"/>
      <c r="G28" s="330"/>
      <c r="H28" s="330"/>
      <c r="I28" s="328"/>
      <c r="J28" s="328"/>
      <c r="K28" s="325" t="e">
        <f>VLOOKUP(L28,'PARÁMETROS RIESGOS GESTIÓN'!D34:F39,3,TRUE)</f>
        <v>#N/A</v>
      </c>
      <c r="L28" s="325">
        <f t="shared" si="0"/>
        <v>100</v>
      </c>
      <c r="M28" s="328"/>
      <c r="N28" s="325">
        <f t="shared" si="15"/>
        <v>0</v>
      </c>
      <c r="O28" s="325">
        <f t="shared" si="2"/>
        <v>1000</v>
      </c>
      <c r="P28" s="319" t="e">
        <f>VLOOKUP(O28,'Zona de riesgo'!B34:C58,2)</f>
        <v>#N/A</v>
      </c>
      <c r="Q28" s="182" t="s">
        <v>539</v>
      </c>
      <c r="R28" s="197"/>
      <c r="S28" s="180" t="s">
        <v>20</v>
      </c>
      <c r="T28" s="175" t="s">
        <v>109</v>
      </c>
      <c r="U28" s="176">
        <f t="shared" si="3"/>
        <v>25</v>
      </c>
      <c r="V28" s="175" t="s">
        <v>117</v>
      </c>
      <c r="W28" s="176">
        <f t="shared" si="4"/>
        <v>15</v>
      </c>
      <c r="X28" s="177">
        <f t="shared" si="7"/>
        <v>40</v>
      </c>
      <c r="Y28" s="180" t="s">
        <v>120</v>
      </c>
      <c r="Z28" s="175" t="s">
        <v>125</v>
      </c>
      <c r="AA28" s="180" t="s">
        <v>129</v>
      </c>
      <c r="AB28" s="177">
        <f>IF(T28="preventivo",(AB27-(AB27*X28/100)),IF(T28="detectivo",(AB27-(AB27*X28/100)),IF(T28="Correctivo",AB27,AB27)))</f>
        <v>14.4</v>
      </c>
      <c r="AC28" s="325"/>
      <c r="AD28" s="175">
        <f>IF(T28="Correctivo",(AD27-(AD27*X27/100)),AD27)</f>
        <v>20</v>
      </c>
      <c r="AE28" s="325"/>
      <c r="AF28" s="325"/>
      <c r="AG28" s="319"/>
      <c r="AH28" s="320"/>
      <c r="AI28" s="183"/>
      <c r="AJ28" s="183"/>
      <c r="AK28" s="328"/>
      <c r="AL28" s="328"/>
      <c r="AM28" s="328"/>
      <c r="AN28" s="328"/>
    </row>
    <row r="29" spans="2:40" ht="15">
      <c r="B29" s="402"/>
      <c r="C29" s="321"/>
      <c r="D29" s="321"/>
      <c r="E29" s="330"/>
      <c r="F29" s="330"/>
      <c r="G29" s="330"/>
      <c r="H29" s="330"/>
      <c r="I29" s="328"/>
      <c r="J29" s="328"/>
      <c r="K29" s="325" t="e">
        <f>VLOOKUP(L29,'PARÁMETROS RIESGOS GESTIÓN'!D35:F40,3,TRUE)</f>
        <v>#N/A</v>
      </c>
      <c r="L29" s="325">
        <f t="shared" si="0"/>
        <v>100</v>
      </c>
      <c r="M29" s="328"/>
      <c r="N29" s="325">
        <f t="shared" si="15"/>
        <v>0</v>
      </c>
      <c r="O29" s="325">
        <f t="shared" si="2"/>
        <v>1000</v>
      </c>
      <c r="P29" s="319" t="e">
        <f>VLOOKUP(O29,'Zona de riesgo'!B35:C59,2)</f>
        <v>#N/A</v>
      </c>
      <c r="Q29" s="182"/>
      <c r="R29" s="197"/>
      <c r="S29" s="180"/>
      <c r="T29" s="175"/>
      <c r="U29" s="176"/>
      <c r="V29" s="175"/>
      <c r="W29" s="176"/>
      <c r="X29" s="177"/>
      <c r="Y29" s="180"/>
      <c r="Z29" s="175"/>
      <c r="AA29" s="180"/>
      <c r="AB29" s="177">
        <f>IF(T29="preventivo",(AB28-(AB28*X29/100)),IF(T29="detectivo",(AB28-(AB28*X29/100)),IF(T29="Correctivo",AB28,AB28)))</f>
        <v>14.4</v>
      </c>
      <c r="AC29" s="325"/>
      <c r="AD29" s="175">
        <f>IF(T29="Correctivo",(AD28-(AD28*U28/100)),AD28)</f>
        <v>20</v>
      </c>
      <c r="AE29" s="325"/>
      <c r="AF29" s="325"/>
      <c r="AG29" s="319"/>
      <c r="AH29" s="320"/>
      <c r="AI29" s="183"/>
      <c r="AJ29" s="183"/>
      <c r="AK29" s="328"/>
      <c r="AL29" s="328"/>
      <c r="AM29" s="328"/>
      <c r="AN29" s="328"/>
    </row>
    <row r="30" spans="2:40" ht="43.5" customHeight="1">
      <c r="B30" s="401">
        <v>35</v>
      </c>
      <c r="C30" s="321" t="s">
        <v>692</v>
      </c>
      <c r="D30" s="321" t="s">
        <v>529</v>
      </c>
      <c r="E30" s="329" t="s">
        <v>526</v>
      </c>
      <c r="F30" s="329" t="s">
        <v>540</v>
      </c>
      <c r="G30" s="347" t="s">
        <v>536</v>
      </c>
      <c r="H30" s="348" t="str">
        <f>_xlfn.CONCAT("Posibilidad de ",E30, " debido a ",F30," por ",G30)</f>
        <v xml:space="preserve">Posibilidad de perdida reputacional debido a Generación de datos no continuos, inexactos e inoportunos  por Fallas en la capacitación del personal de campo y fallas en la veracidad de la información reportada por las fuentes  </v>
      </c>
      <c r="I30" s="331" t="s">
        <v>50</v>
      </c>
      <c r="J30" s="331">
        <v>12</v>
      </c>
      <c r="K30" s="325" t="str">
        <f>VLOOKUP(L30,'PARÁMETROS RIESGOS GESTIÓN'!$D$12:$F$17,3,0)</f>
        <v>Baja</v>
      </c>
      <c r="L30" s="325">
        <f t="shared" ref="L30" si="33">IF(J30&lt;=2,20,IF(J30&lt;=24,40,IF(J30&lt;=500,60,IF(J30&lt;="5000",80,100))))</f>
        <v>40</v>
      </c>
      <c r="M30" s="331" t="s">
        <v>13</v>
      </c>
      <c r="N30" s="325">
        <f t="shared" si="15"/>
        <v>60</v>
      </c>
      <c r="O30" s="325">
        <f t="shared" si="2"/>
        <v>4060</v>
      </c>
      <c r="P30" s="319" t="str">
        <f>VLOOKUP(O30,'Zona de riesgo'!$B$9:$C$33,2)</f>
        <v>Moderado</v>
      </c>
      <c r="Q30" s="182" t="s">
        <v>541</v>
      </c>
      <c r="R30" s="197"/>
      <c r="S30" s="180" t="s">
        <v>20</v>
      </c>
      <c r="T30" s="175" t="s">
        <v>109</v>
      </c>
      <c r="U30" s="176">
        <f t="shared" si="3"/>
        <v>25</v>
      </c>
      <c r="V30" s="175" t="s">
        <v>117</v>
      </c>
      <c r="W30" s="176">
        <f t="shared" si="4"/>
        <v>15</v>
      </c>
      <c r="X30" s="177">
        <f t="shared" si="7"/>
        <v>40</v>
      </c>
      <c r="Y30" s="180" t="s">
        <v>120</v>
      </c>
      <c r="Z30" s="175" t="s">
        <v>125</v>
      </c>
      <c r="AA30" s="180" t="s">
        <v>129</v>
      </c>
      <c r="AB30" s="177">
        <f>IF(T30="Correctivo",L30,(L30-(L30*X30/100)))</f>
        <v>24</v>
      </c>
      <c r="AC30" s="325" t="str">
        <f t="shared" ref="AC30" si="34">IF(AB32&gt;80,"Muy Alta",IF(AB32&gt;60,"Alta",IF(AB32&gt;40,"Media",IF(AB32&gt;20,"Baja","Muy Baja"))))</f>
        <v>Muy Baja</v>
      </c>
      <c r="AD30" s="175">
        <f>IF(T30="Correctivo",(N30-(N30*X30)/100),N30)</f>
        <v>60</v>
      </c>
      <c r="AE30" s="325" t="str">
        <f t="shared" ref="AE30" si="35">IF(AD32&gt;80,"Catastrófico",IF(AD32&gt;60,"Mayor",IF(AD32&gt;40,"Moderado",IF(AD32&gt;20,"Menor","Leve"))))</f>
        <v>Moderado</v>
      </c>
      <c r="AF30" s="325" t="str">
        <f t="shared" ref="AF30" si="36">CONCATENATE(AC30,AE30)</f>
        <v>Muy BajaModerado</v>
      </c>
      <c r="AG30" s="319" t="str">
        <f>VLOOKUP(AF30,'RIESGO RESIDUAL'!$A$1:$B$25,2,0)</f>
        <v>Moderado</v>
      </c>
      <c r="AH30" s="320" t="str">
        <f t="shared" ref="AH30" si="37">IF(AG30="Baja","Aceptar-Asumir","Reducir-Mitigar")</f>
        <v>Reducir-Mitigar</v>
      </c>
      <c r="AI30" s="181" t="s">
        <v>538</v>
      </c>
      <c r="AJ30" s="181" t="s">
        <v>364</v>
      </c>
      <c r="AK30" s="349">
        <v>44735</v>
      </c>
      <c r="AL30" s="327"/>
      <c r="AM30" s="327"/>
      <c r="AN30" s="327"/>
    </row>
    <row r="31" spans="2:40" ht="42.75" customHeight="1">
      <c r="B31" s="401"/>
      <c r="C31" s="321"/>
      <c r="D31" s="321"/>
      <c r="E31" s="330"/>
      <c r="F31" s="330"/>
      <c r="G31" s="330"/>
      <c r="H31" s="330"/>
      <c r="I31" s="328"/>
      <c r="J31" s="328"/>
      <c r="K31" s="325" t="e">
        <f>VLOOKUP(L31,'PARÁMETROS RIESGOS GESTIÓN'!D37:F42,3,TRUE)</f>
        <v>#N/A</v>
      </c>
      <c r="L31" s="325">
        <f t="shared" si="0"/>
        <v>100</v>
      </c>
      <c r="M31" s="328"/>
      <c r="N31" s="325">
        <f t="shared" si="15"/>
        <v>0</v>
      </c>
      <c r="O31" s="325">
        <f t="shared" si="2"/>
        <v>1000</v>
      </c>
      <c r="P31" s="319" t="e">
        <f>VLOOKUP(O31,'Zona de riesgo'!B37:C61,2)</f>
        <v>#N/A</v>
      </c>
      <c r="Q31" s="182" t="s">
        <v>539</v>
      </c>
      <c r="R31" s="197"/>
      <c r="S31" s="180" t="s">
        <v>20</v>
      </c>
      <c r="T31" s="175" t="s">
        <v>109</v>
      </c>
      <c r="U31" s="176">
        <f t="shared" si="3"/>
        <v>25</v>
      </c>
      <c r="V31" s="175" t="s">
        <v>117</v>
      </c>
      <c r="W31" s="176">
        <f t="shared" si="4"/>
        <v>15</v>
      </c>
      <c r="X31" s="177">
        <f t="shared" si="7"/>
        <v>40</v>
      </c>
      <c r="Y31" s="180" t="s">
        <v>120</v>
      </c>
      <c r="Z31" s="175" t="s">
        <v>125</v>
      </c>
      <c r="AA31" s="180" t="s">
        <v>129</v>
      </c>
      <c r="AB31" s="177">
        <f>IF(T31="preventivo",(AB30-(AB30*X31/100)),IF(T31="detectivo",(AB30-(AB30*X31/100)),IF(T31="Correctivo",AB30,AB30)))</f>
        <v>14.4</v>
      </c>
      <c r="AC31" s="325"/>
      <c r="AD31" s="175">
        <f>IF(T31="Correctivo",(AD30-(AD30*X30/100)),AD30)</f>
        <v>60</v>
      </c>
      <c r="AE31" s="325"/>
      <c r="AF31" s="325"/>
      <c r="AG31" s="319"/>
      <c r="AH31" s="320"/>
      <c r="AI31" s="183"/>
      <c r="AJ31" s="183"/>
      <c r="AK31" s="328"/>
      <c r="AL31" s="328"/>
      <c r="AM31" s="328"/>
      <c r="AN31" s="328"/>
    </row>
    <row r="32" spans="2:40" ht="15">
      <c r="B32" s="401"/>
      <c r="C32" s="321"/>
      <c r="D32" s="321"/>
      <c r="E32" s="330"/>
      <c r="F32" s="330"/>
      <c r="G32" s="330"/>
      <c r="H32" s="330"/>
      <c r="I32" s="328"/>
      <c r="J32" s="328"/>
      <c r="K32" s="325" t="e">
        <f>VLOOKUP(L32,'PARÁMETROS RIESGOS GESTIÓN'!D38:F43,3,TRUE)</f>
        <v>#N/A</v>
      </c>
      <c r="L32" s="325">
        <f t="shared" si="0"/>
        <v>100</v>
      </c>
      <c r="M32" s="328"/>
      <c r="N32" s="325">
        <f t="shared" si="15"/>
        <v>0</v>
      </c>
      <c r="O32" s="325">
        <f t="shared" si="2"/>
        <v>1000</v>
      </c>
      <c r="P32" s="319" t="e">
        <f>VLOOKUP(O32,'Zona de riesgo'!B38:C62,2)</f>
        <v>#N/A</v>
      </c>
      <c r="Q32" s="182"/>
      <c r="R32" s="197"/>
      <c r="S32" s="180"/>
      <c r="T32" s="175"/>
      <c r="U32" s="176"/>
      <c r="V32" s="175"/>
      <c r="W32" s="176"/>
      <c r="X32" s="177"/>
      <c r="Y32" s="180"/>
      <c r="Z32" s="175"/>
      <c r="AA32" s="180"/>
      <c r="AB32" s="177">
        <f>IF(T32="preventivo",(AB31-(AB31*X32/100)),IF(T32="detectivo",(AB31-(AB31*X32/100)),IF(T32="Correctivo",AB31,AB31)))</f>
        <v>14.4</v>
      </c>
      <c r="AC32" s="325"/>
      <c r="AD32" s="175">
        <f>IF(T32="Correctivo",(AD31-(AD31*U31/100)),AD31)</f>
        <v>60</v>
      </c>
      <c r="AE32" s="325"/>
      <c r="AF32" s="325"/>
      <c r="AG32" s="319"/>
      <c r="AH32" s="320"/>
      <c r="AI32" s="183"/>
      <c r="AJ32" s="183"/>
      <c r="AK32" s="328"/>
      <c r="AL32" s="328"/>
      <c r="AM32" s="328"/>
      <c r="AN32" s="328"/>
    </row>
    <row r="33" spans="2:40" ht="28.5" customHeight="1">
      <c r="B33" s="401">
        <v>36</v>
      </c>
      <c r="C33" s="322" t="s">
        <v>740</v>
      </c>
      <c r="D33" s="321" t="s">
        <v>741</v>
      </c>
      <c r="E33" s="321" t="s">
        <v>542</v>
      </c>
      <c r="F33" s="321" t="s">
        <v>543</v>
      </c>
      <c r="G33" s="321" t="s">
        <v>544</v>
      </c>
      <c r="H33" s="345" t="s">
        <v>545</v>
      </c>
      <c r="I33" s="325"/>
      <c r="J33" s="325">
        <v>50</v>
      </c>
      <c r="K33" s="325" t="str">
        <f>VLOOKUP(L33,'PARÁMETROS RIESGOS GESTIÓN'!$D$12:$F$17,3,0)</f>
        <v>Media</v>
      </c>
      <c r="L33" s="325">
        <f t="shared" ref="L33" si="38">IF(J33&lt;=2,20,IF(J33&lt;=24,40,IF(J33&lt;=500,60,IF(J33&lt;="5000",80,100))))</f>
        <v>60</v>
      </c>
      <c r="M33" s="325" t="s">
        <v>13</v>
      </c>
      <c r="N33" s="325">
        <f t="shared" si="15"/>
        <v>60</v>
      </c>
      <c r="O33" s="325">
        <f t="shared" si="2"/>
        <v>6060</v>
      </c>
      <c r="P33" s="319" t="str">
        <f>VLOOKUP(O33,'Zona de riesgo'!$B$9:$C$33,2)</f>
        <v>Moderado</v>
      </c>
      <c r="Q33" s="174" t="s">
        <v>546</v>
      </c>
      <c r="R33" s="187" t="s">
        <v>20</v>
      </c>
      <c r="S33" s="175"/>
      <c r="T33" s="175" t="s">
        <v>109</v>
      </c>
      <c r="U33" s="176">
        <f t="shared" si="3"/>
        <v>25</v>
      </c>
      <c r="V33" s="175" t="s">
        <v>117</v>
      </c>
      <c r="W33" s="176">
        <f t="shared" si="4"/>
        <v>15</v>
      </c>
      <c r="X33" s="177">
        <f t="shared" si="7"/>
        <v>40</v>
      </c>
      <c r="Y33" s="175" t="s">
        <v>120</v>
      </c>
      <c r="Z33" s="175" t="s">
        <v>125</v>
      </c>
      <c r="AA33" s="175" t="s">
        <v>129</v>
      </c>
      <c r="AB33" s="177">
        <f>IF(T33="Correctivo",L33,(L33-(L33*X33/100)))</f>
        <v>36</v>
      </c>
      <c r="AC33" s="325" t="str">
        <f t="shared" ref="AC33" si="39">IF(AB35&gt;80,"Muy Alta",IF(AB35&gt;60,"Alta",IF(AB35&gt;40,"Media",IF(AB35&gt;20,"Baja","Muy Baja"))))</f>
        <v>Baja</v>
      </c>
      <c r="AD33" s="175">
        <f>IF(T33="Correctivo",(N33-(N33*X33)/100),N33)</f>
        <v>60</v>
      </c>
      <c r="AE33" s="325" t="str">
        <f t="shared" ref="AE33" si="40">IF(AD35&gt;80,"Catastrófico",IF(AD35&gt;60,"Mayor",IF(AD35&gt;40,"Moderado",IF(AD35&gt;20,"Menor","Leve"))))</f>
        <v>Moderado</v>
      </c>
      <c r="AF33" s="325" t="str">
        <f t="shared" ref="AF33" si="41">CONCATENATE(AC33,AE33)</f>
        <v>BajaModerado</v>
      </c>
      <c r="AG33" s="319" t="str">
        <f>VLOOKUP(AF33,'RIESGO RESIDUAL'!$A$1:$B$25,2,0)</f>
        <v>Moderado</v>
      </c>
      <c r="AH33" s="320" t="str">
        <f t="shared" ref="AH33" si="42">IF(AG33="Baja","Aceptar-Asumir","Reducir-Mitigar")</f>
        <v>Reducir-Mitigar</v>
      </c>
      <c r="AI33" s="184" t="s">
        <v>547</v>
      </c>
      <c r="AJ33" s="178" t="s">
        <v>435</v>
      </c>
      <c r="AK33" s="346">
        <v>44803</v>
      </c>
      <c r="AL33" s="315" t="s">
        <v>409</v>
      </c>
      <c r="AM33" s="315"/>
      <c r="AN33" s="315"/>
    </row>
    <row r="34" spans="2:40" ht="15">
      <c r="B34" s="401"/>
      <c r="C34" s="323"/>
      <c r="D34" s="321"/>
      <c r="E34" s="321"/>
      <c r="F34" s="321"/>
      <c r="G34" s="321"/>
      <c r="H34" s="345"/>
      <c r="I34" s="325"/>
      <c r="J34" s="325"/>
      <c r="K34" s="325" t="e">
        <f>VLOOKUP(L34,'PARÁMETROS RIESGOS GESTIÓN'!D40:F45,3,TRUE)</f>
        <v>#N/A</v>
      </c>
      <c r="L34" s="325">
        <f t="shared" si="0"/>
        <v>100</v>
      </c>
      <c r="M34" s="325" t="s">
        <v>101</v>
      </c>
      <c r="N34" s="325">
        <f t="shared" si="15"/>
        <v>100</v>
      </c>
      <c r="O34" s="325">
        <f t="shared" si="2"/>
        <v>100100</v>
      </c>
      <c r="P34" s="319" t="e">
        <f>VLOOKUP(O34,'Zona de riesgo'!B40:C64,2)</f>
        <v>#N/A</v>
      </c>
      <c r="Q34" s="174" t="s">
        <v>548</v>
      </c>
      <c r="R34" s="187" t="s">
        <v>20</v>
      </c>
      <c r="S34" s="175"/>
      <c r="T34" s="175" t="s">
        <v>109</v>
      </c>
      <c r="U34" s="176">
        <f t="shared" si="3"/>
        <v>25</v>
      </c>
      <c r="V34" s="175" t="s">
        <v>117</v>
      </c>
      <c r="W34" s="176">
        <f t="shared" si="4"/>
        <v>15</v>
      </c>
      <c r="X34" s="177">
        <f t="shared" si="7"/>
        <v>40</v>
      </c>
      <c r="Y34" s="175" t="s">
        <v>120</v>
      </c>
      <c r="Z34" s="175" t="s">
        <v>125</v>
      </c>
      <c r="AA34" s="175" t="s">
        <v>129</v>
      </c>
      <c r="AB34" s="177">
        <f>IF(T34="preventivo",(AB33-(AB33*X34/100)),IF(T34="detectivo",(AB33-(AB33*X34/100)),IF(T34="Correctivo",AB33,AB33)))</f>
        <v>21.6</v>
      </c>
      <c r="AC34" s="325"/>
      <c r="AD34" s="175">
        <f>IF(T34="Correctivo",(AD33-(AD33*X33/100)),AD33)</f>
        <v>60</v>
      </c>
      <c r="AE34" s="325"/>
      <c r="AF34" s="325"/>
      <c r="AG34" s="319"/>
      <c r="AH34" s="320"/>
      <c r="AI34" s="184"/>
      <c r="AJ34" s="178"/>
      <c r="AK34" s="315"/>
      <c r="AL34" s="315"/>
      <c r="AM34" s="315"/>
      <c r="AN34" s="315"/>
    </row>
    <row r="35" spans="2:40" ht="15">
      <c r="B35" s="401"/>
      <c r="C35" s="324"/>
      <c r="D35" s="321"/>
      <c r="E35" s="321"/>
      <c r="F35" s="321"/>
      <c r="G35" s="321"/>
      <c r="H35" s="345"/>
      <c r="I35" s="325"/>
      <c r="J35" s="325"/>
      <c r="K35" s="325" t="e">
        <f>VLOOKUP(L35,'PARÁMETROS RIESGOS GESTIÓN'!D41:F46,3,TRUE)</f>
        <v>#N/A</v>
      </c>
      <c r="L35" s="325">
        <f t="shared" si="0"/>
        <v>100</v>
      </c>
      <c r="M35" s="325" t="s">
        <v>101</v>
      </c>
      <c r="N35" s="325">
        <f t="shared" si="15"/>
        <v>100</v>
      </c>
      <c r="O35" s="325">
        <f t="shared" si="2"/>
        <v>100100</v>
      </c>
      <c r="P35" s="319" t="e">
        <f>VLOOKUP(O35,'Zona de riesgo'!B41:C65,2)</f>
        <v>#N/A</v>
      </c>
      <c r="Q35" s="174"/>
      <c r="R35" s="187"/>
      <c r="S35" s="175"/>
      <c r="T35" s="175"/>
      <c r="U35" s="176"/>
      <c r="V35" s="175"/>
      <c r="W35" s="176"/>
      <c r="X35" s="177"/>
      <c r="Y35" s="175"/>
      <c r="Z35" s="175"/>
      <c r="AA35" s="175"/>
      <c r="AB35" s="177">
        <f>IF(T35="preventivo",(AB34-(AB34*X35/100)),IF(T35="detectivo",(AB34-(AB34*X35/100)),IF(T35="Correctivo",AB34,AB34)))</f>
        <v>21.6</v>
      </c>
      <c r="AC35" s="325"/>
      <c r="AD35" s="175">
        <f>IF(T35="Correctivo",(AD34-(AD34*U34/100)),AD34)</f>
        <v>60</v>
      </c>
      <c r="AE35" s="325"/>
      <c r="AF35" s="325"/>
      <c r="AG35" s="319"/>
      <c r="AH35" s="320"/>
      <c r="AI35" s="184"/>
      <c r="AJ35" s="178"/>
      <c r="AK35" s="315"/>
      <c r="AL35" s="315"/>
      <c r="AM35" s="315"/>
      <c r="AN35" s="315"/>
    </row>
    <row r="36" spans="2:40" ht="28.5" customHeight="1">
      <c r="B36" s="401">
        <v>37</v>
      </c>
      <c r="C36" s="322" t="s">
        <v>740</v>
      </c>
      <c r="D36" s="321" t="s">
        <v>741</v>
      </c>
      <c r="E36" s="321" t="s">
        <v>549</v>
      </c>
      <c r="F36" s="321" t="s">
        <v>550</v>
      </c>
      <c r="G36" s="321" t="s">
        <v>551</v>
      </c>
      <c r="H36" s="345" t="s">
        <v>552</v>
      </c>
      <c r="I36" s="325" t="s">
        <v>50</v>
      </c>
      <c r="J36" s="325">
        <v>50</v>
      </c>
      <c r="K36" s="325" t="str">
        <f>VLOOKUP(L36,'PARÁMETROS RIESGOS GESTIÓN'!$D$12:$F$17,3,0)</f>
        <v>Media</v>
      </c>
      <c r="L36" s="325">
        <f t="shared" ref="L36" si="43">IF(J36&lt;=2,20,IF(J36&lt;=24,40,IF(J36&lt;=500,60,IF(J36&lt;="5000",80,100))))</f>
        <v>60</v>
      </c>
      <c r="M36" s="325" t="s">
        <v>13</v>
      </c>
      <c r="N36" s="325">
        <f t="shared" si="15"/>
        <v>60</v>
      </c>
      <c r="O36" s="325">
        <f t="shared" si="2"/>
        <v>6060</v>
      </c>
      <c r="P36" s="319" t="str">
        <f>VLOOKUP(O36,'Zona de riesgo'!$B$9:$C$33,2)</f>
        <v>Moderado</v>
      </c>
      <c r="Q36" s="174" t="s">
        <v>553</v>
      </c>
      <c r="R36" s="187" t="s">
        <v>20</v>
      </c>
      <c r="S36" s="175"/>
      <c r="T36" s="175" t="s">
        <v>109</v>
      </c>
      <c r="U36" s="176">
        <f t="shared" si="3"/>
        <v>25</v>
      </c>
      <c r="V36" s="175" t="s">
        <v>117</v>
      </c>
      <c r="W36" s="176">
        <f t="shared" si="4"/>
        <v>15</v>
      </c>
      <c r="X36" s="177">
        <f t="shared" si="7"/>
        <v>40</v>
      </c>
      <c r="Y36" s="175" t="s">
        <v>120</v>
      </c>
      <c r="Z36" s="175" t="s">
        <v>125</v>
      </c>
      <c r="AA36" s="175" t="s">
        <v>129</v>
      </c>
      <c r="AB36" s="177">
        <f>IF(T36="Correctivo",L36,(L36-(L36*X36/100)))</f>
        <v>36</v>
      </c>
      <c r="AC36" s="325" t="str">
        <f t="shared" ref="AC36" si="44">IF(AB38&gt;80,"Muy Alta",IF(AB38&gt;60,"Alta",IF(AB38&gt;40,"Media",IF(AB38&gt;20,"Baja","Muy Baja"))))</f>
        <v>Baja</v>
      </c>
      <c r="AD36" s="175">
        <f>IF(T36="Correctivo",(N36-(N36*X36)/100),N36)</f>
        <v>60</v>
      </c>
      <c r="AE36" s="325" t="str">
        <f t="shared" ref="AE36" si="45">IF(AD38&gt;80,"Catastrófico",IF(AD38&gt;60,"Mayor",IF(AD38&gt;40,"Moderado",IF(AD38&gt;20,"Menor","Leve"))))</f>
        <v>Moderado</v>
      </c>
      <c r="AF36" s="325" t="str">
        <f t="shared" ref="AF36" si="46">CONCATENATE(AC36,AE36)</f>
        <v>BajaModerado</v>
      </c>
      <c r="AG36" s="319" t="str">
        <f>VLOOKUP(AF36,'RIESGO RESIDUAL'!$A$1:$B$25,2,0)</f>
        <v>Moderado</v>
      </c>
      <c r="AH36" s="320" t="str">
        <f t="shared" ref="AH36" si="47">IF(AG36="Baja","Aceptar-Asumir","Reducir-Mitigar")</f>
        <v>Reducir-Mitigar</v>
      </c>
      <c r="AI36" s="184" t="s">
        <v>554</v>
      </c>
      <c r="AJ36" s="178" t="s">
        <v>435</v>
      </c>
      <c r="AK36" s="346">
        <v>44803</v>
      </c>
      <c r="AL36" s="315" t="s">
        <v>409</v>
      </c>
      <c r="AM36" s="315"/>
      <c r="AN36" s="315"/>
    </row>
    <row r="37" spans="2:40" ht="30">
      <c r="B37" s="401"/>
      <c r="C37" s="323"/>
      <c r="D37" s="321"/>
      <c r="E37" s="321"/>
      <c r="F37" s="321"/>
      <c r="G37" s="321"/>
      <c r="H37" s="345"/>
      <c r="I37" s="325" t="s">
        <v>56</v>
      </c>
      <c r="J37" s="325"/>
      <c r="K37" s="325" t="e">
        <f>VLOOKUP(L37,'PARÁMETROS RIESGOS GESTIÓN'!D43:F48,3,TRUE)</f>
        <v>#N/A</v>
      </c>
      <c r="L37" s="325">
        <f t="shared" si="0"/>
        <v>100</v>
      </c>
      <c r="M37" s="325" t="s">
        <v>101</v>
      </c>
      <c r="N37" s="325">
        <f t="shared" si="15"/>
        <v>100</v>
      </c>
      <c r="O37" s="325">
        <f t="shared" si="2"/>
        <v>100100</v>
      </c>
      <c r="P37" s="319" t="e">
        <f>VLOOKUP(O37,'Zona de riesgo'!B43:C67,2)</f>
        <v>#N/A</v>
      </c>
      <c r="Q37" s="174" t="s">
        <v>555</v>
      </c>
      <c r="R37" s="187" t="s">
        <v>20</v>
      </c>
      <c r="S37" s="175"/>
      <c r="T37" s="175" t="s">
        <v>109</v>
      </c>
      <c r="U37" s="176">
        <f t="shared" si="3"/>
        <v>25</v>
      </c>
      <c r="V37" s="175" t="s">
        <v>117</v>
      </c>
      <c r="W37" s="176">
        <f t="shared" si="4"/>
        <v>15</v>
      </c>
      <c r="X37" s="177">
        <f t="shared" si="7"/>
        <v>40</v>
      </c>
      <c r="Y37" s="175" t="s">
        <v>120</v>
      </c>
      <c r="Z37" s="175" t="s">
        <v>125</v>
      </c>
      <c r="AA37" s="175" t="s">
        <v>129</v>
      </c>
      <c r="AB37" s="177">
        <f>IF(T37="preventivo",(AB36-(AB36*X37/100)),IF(T37="detectivo",(AB36-(AB36*X37/100)),IF(T37="Correctivo",AB36,AB36)))</f>
        <v>21.6</v>
      </c>
      <c r="AC37" s="325"/>
      <c r="AD37" s="175">
        <f>IF(T37="Correctivo",(AD36-(AD36*X36/100)),AD36)</f>
        <v>60</v>
      </c>
      <c r="AE37" s="325"/>
      <c r="AF37" s="325"/>
      <c r="AG37" s="319"/>
      <c r="AH37" s="320"/>
      <c r="AI37" s="184"/>
      <c r="AJ37" s="178"/>
      <c r="AK37" s="315"/>
      <c r="AL37" s="315"/>
      <c r="AM37" s="315"/>
      <c r="AN37" s="315"/>
    </row>
    <row r="38" spans="2:40" ht="15">
      <c r="B38" s="401"/>
      <c r="C38" s="324"/>
      <c r="D38" s="321"/>
      <c r="E38" s="321"/>
      <c r="F38" s="321"/>
      <c r="G38" s="321"/>
      <c r="H38" s="345"/>
      <c r="I38" s="325" t="s">
        <v>56</v>
      </c>
      <c r="J38" s="325"/>
      <c r="K38" s="325" t="e">
        <f>VLOOKUP(L38,'PARÁMETROS RIESGOS GESTIÓN'!D44:F49,3,TRUE)</f>
        <v>#N/A</v>
      </c>
      <c r="L38" s="325">
        <f t="shared" si="0"/>
        <v>100</v>
      </c>
      <c r="M38" s="325" t="s">
        <v>101</v>
      </c>
      <c r="N38" s="325">
        <f t="shared" si="15"/>
        <v>100</v>
      </c>
      <c r="O38" s="325">
        <f t="shared" si="2"/>
        <v>100100</v>
      </c>
      <c r="P38" s="319" t="e">
        <f>VLOOKUP(O38,'Zona de riesgo'!B44:C68,2)</f>
        <v>#N/A</v>
      </c>
      <c r="Q38" s="174"/>
      <c r="R38" s="187"/>
      <c r="S38" s="175"/>
      <c r="T38" s="175"/>
      <c r="U38" s="176"/>
      <c r="V38" s="175"/>
      <c r="W38" s="176"/>
      <c r="X38" s="177"/>
      <c r="Y38" s="175"/>
      <c r="Z38" s="175"/>
      <c r="AA38" s="175"/>
      <c r="AB38" s="177">
        <f>IF(T38="preventivo",(AB37-(AB37*X38/100)),IF(T38="detectivo",(AB37-(AB37*X38/100)),IF(T38="Correctivo",AB37,AB37)))</f>
        <v>21.6</v>
      </c>
      <c r="AC38" s="325"/>
      <c r="AD38" s="175">
        <f>IF(T38="Correctivo",(AD37-(AD37*U37/100)),AD37)</f>
        <v>60</v>
      </c>
      <c r="AE38" s="325"/>
      <c r="AF38" s="325"/>
      <c r="AG38" s="319"/>
      <c r="AH38" s="320"/>
      <c r="AI38" s="184"/>
      <c r="AJ38" s="178"/>
      <c r="AK38" s="315"/>
      <c r="AL38" s="315"/>
      <c r="AM38" s="315"/>
      <c r="AN38" s="315"/>
    </row>
    <row r="39" spans="2:40" ht="135">
      <c r="B39" s="401">
        <v>38</v>
      </c>
      <c r="C39" s="322" t="s">
        <v>740</v>
      </c>
      <c r="D39" s="321" t="s">
        <v>741</v>
      </c>
      <c r="E39" s="321" t="s">
        <v>556</v>
      </c>
      <c r="F39" s="321" t="s">
        <v>557</v>
      </c>
      <c r="G39" s="321" t="s">
        <v>558</v>
      </c>
      <c r="H39" s="345" t="s">
        <v>559</v>
      </c>
      <c r="I39" s="325" t="s">
        <v>50</v>
      </c>
      <c r="J39" s="325">
        <v>21</v>
      </c>
      <c r="K39" s="325" t="str">
        <f>VLOOKUP(L39,'PARÁMETROS RIESGOS GESTIÓN'!$D$12:$F$17,3,0)</f>
        <v>Baja</v>
      </c>
      <c r="L39" s="325">
        <f t="shared" ref="L39" si="48">IF(J39&lt;=2,20,IF(J39&lt;=24,40,IF(J39&lt;=500,60,IF(J39&lt;="5000",80,100))))</f>
        <v>40</v>
      </c>
      <c r="M39" s="325" t="s">
        <v>13</v>
      </c>
      <c r="N39" s="325">
        <f t="shared" si="15"/>
        <v>60</v>
      </c>
      <c r="O39" s="325">
        <f t="shared" si="2"/>
        <v>4060</v>
      </c>
      <c r="P39" s="319" t="str">
        <f>VLOOKUP(O39,'Zona de riesgo'!$B$9:$C$33,2)</f>
        <v>Moderado</v>
      </c>
      <c r="Q39" s="174" t="s">
        <v>560</v>
      </c>
      <c r="R39" s="187" t="s">
        <v>20</v>
      </c>
      <c r="S39" s="175"/>
      <c r="T39" s="175" t="s">
        <v>109</v>
      </c>
      <c r="U39" s="176">
        <f t="shared" si="3"/>
        <v>25</v>
      </c>
      <c r="V39" s="175" t="s">
        <v>117</v>
      </c>
      <c r="W39" s="176">
        <f t="shared" si="4"/>
        <v>15</v>
      </c>
      <c r="X39" s="177">
        <f t="shared" si="7"/>
        <v>40</v>
      </c>
      <c r="Y39" s="175" t="s">
        <v>120</v>
      </c>
      <c r="Z39" s="175" t="s">
        <v>125</v>
      </c>
      <c r="AA39" s="175" t="s">
        <v>129</v>
      </c>
      <c r="AB39" s="177">
        <f>IF(T39="Correctivo",L39,(L39-(L39*X39/100)))</f>
        <v>24</v>
      </c>
      <c r="AC39" s="325" t="str">
        <f t="shared" ref="AC39" si="49">IF(AB41&gt;80,"Muy Alta",IF(AB41&gt;60,"Alta",IF(AB41&gt;40,"Media",IF(AB41&gt;20,"Baja","Muy Baja"))))</f>
        <v>Muy Baja</v>
      </c>
      <c r="AD39" s="175">
        <f>IF(T39="Correctivo",(N39-(N39*X39)/100),N39)</f>
        <v>60</v>
      </c>
      <c r="AE39" s="325" t="str">
        <f t="shared" ref="AE39" si="50">IF(AD41&gt;80,"Catastrófico",IF(AD41&gt;60,"Mayor",IF(AD41&gt;40,"Moderado",IF(AD41&gt;20,"Menor","Leve"))))</f>
        <v>Moderado</v>
      </c>
      <c r="AF39" s="325" t="str">
        <f t="shared" ref="AF39" si="51">CONCATENATE(AC39,AE39)</f>
        <v>Muy BajaModerado</v>
      </c>
      <c r="AG39" s="319" t="str">
        <f>VLOOKUP(AF39,'RIESGO RESIDUAL'!$A$1:$B$25,2,0)</f>
        <v>Moderado</v>
      </c>
      <c r="AH39" s="320" t="str">
        <f t="shared" ref="AH39" si="52">IF(AG39="Baja","Aceptar-Asumir","Reducir-Mitigar")</f>
        <v>Reducir-Mitigar</v>
      </c>
      <c r="AI39" s="184" t="s">
        <v>561</v>
      </c>
      <c r="AJ39" s="178" t="s">
        <v>435</v>
      </c>
      <c r="AK39" s="346">
        <v>44803</v>
      </c>
      <c r="AL39" s="315" t="s">
        <v>409</v>
      </c>
      <c r="AM39" s="315"/>
      <c r="AN39" s="315"/>
    </row>
    <row r="40" spans="2:40" ht="30">
      <c r="B40" s="401"/>
      <c r="C40" s="323"/>
      <c r="D40" s="321"/>
      <c r="E40" s="321"/>
      <c r="F40" s="321"/>
      <c r="G40" s="321"/>
      <c r="H40" s="345"/>
      <c r="I40" s="325" t="s">
        <v>56</v>
      </c>
      <c r="J40" s="325"/>
      <c r="K40" s="325" t="e">
        <f>VLOOKUP(L40,'PARÁMETROS RIESGOS GESTIÓN'!D46:F51,3,TRUE)</f>
        <v>#N/A</v>
      </c>
      <c r="L40" s="325">
        <f t="shared" si="0"/>
        <v>100</v>
      </c>
      <c r="M40" s="325" t="s">
        <v>101</v>
      </c>
      <c r="N40" s="325">
        <f t="shared" si="15"/>
        <v>100</v>
      </c>
      <c r="O40" s="325">
        <f t="shared" si="2"/>
        <v>100100</v>
      </c>
      <c r="P40" s="319" t="e">
        <f>VLOOKUP(O40,'Zona de riesgo'!B46:C70,2)</f>
        <v>#N/A</v>
      </c>
      <c r="Q40" s="174" t="s">
        <v>562</v>
      </c>
      <c r="R40" s="187" t="s">
        <v>20</v>
      </c>
      <c r="S40" s="175"/>
      <c r="T40" s="175" t="s">
        <v>109</v>
      </c>
      <c r="U40" s="176">
        <f t="shared" si="3"/>
        <v>25</v>
      </c>
      <c r="V40" s="175" t="s">
        <v>117</v>
      </c>
      <c r="W40" s="176">
        <f t="shared" si="4"/>
        <v>15</v>
      </c>
      <c r="X40" s="177">
        <f t="shared" si="7"/>
        <v>40</v>
      </c>
      <c r="Y40" s="175" t="s">
        <v>120</v>
      </c>
      <c r="Z40" s="175" t="s">
        <v>125</v>
      </c>
      <c r="AA40" s="175" t="s">
        <v>129</v>
      </c>
      <c r="AB40" s="177">
        <f>IF(T40="preventivo",(AB39-(AB39*X40/100)),IF(T40="detectivo",(AB39-(AB39*X40/100)),IF(T40="Correctivo",AB39,AB39)))</f>
        <v>14.4</v>
      </c>
      <c r="AC40" s="325"/>
      <c r="AD40" s="175">
        <f>IF(T40="Correctivo",(AD39-(AD39*X39/100)),AD39)</f>
        <v>60</v>
      </c>
      <c r="AE40" s="325"/>
      <c r="AF40" s="325"/>
      <c r="AG40" s="319"/>
      <c r="AH40" s="320"/>
      <c r="AI40" s="184"/>
      <c r="AJ40" s="178"/>
      <c r="AK40" s="315"/>
      <c r="AL40" s="315"/>
      <c r="AM40" s="315"/>
      <c r="AN40" s="315"/>
    </row>
    <row r="41" spans="2:40" ht="15">
      <c r="B41" s="401"/>
      <c r="C41" s="324"/>
      <c r="D41" s="321"/>
      <c r="E41" s="321"/>
      <c r="F41" s="321"/>
      <c r="G41" s="321"/>
      <c r="H41" s="345"/>
      <c r="I41" s="325" t="s">
        <v>56</v>
      </c>
      <c r="J41" s="325"/>
      <c r="K41" s="325" t="e">
        <f>VLOOKUP(L41,'PARÁMETROS RIESGOS GESTIÓN'!D47:F52,3,TRUE)</f>
        <v>#N/A</v>
      </c>
      <c r="L41" s="325">
        <f t="shared" si="0"/>
        <v>100</v>
      </c>
      <c r="M41" s="325" t="s">
        <v>101</v>
      </c>
      <c r="N41" s="325">
        <f t="shared" si="15"/>
        <v>100</v>
      </c>
      <c r="O41" s="325">
        <f t="shared" si="2"/>
        <v>100100</v>
      </c>
      <c r="P41" s="319" t="e">
        <f>VLOOKUP(O41,'Zona de riesgo'!B47:C71,2)</f>
        <v>#N/A</v>
      </c>
      <c r="Q41" s="174"/>
      <c r="R41" s="187"/>
      <c r="S41" s="175"/>
      <c r="T41" s="175"/>
      <c r="U41" s="176"/>
      <c r="V41" s="175"/>
      <c r="W41" s="176"/>
      <c r="X41" s="177"/>
      <c r="Y41" s="175"/>
      <c r="Z41" s="175"/>
      <c r="AA41" s="175"/>
      <c r="AB41" s="177">
        <f>IF(T41="preventivo",(AB40-(AB40*X41/100)),IF(T41="detectivo",(AB40-(AB40*X41/100)),IF(T41="Correctivo",AB40,AB40)))</f>
        <v>14.4</v>
      </c>
      <c r="AC41" s="325"/>
      <c r="AD41" s="175">
        <f>IF(T41="Correctivo",(AD40-(AD40*U40/100)),AD40)</f>
        <v>60</v>
      </c>
      <c r="AE41" s="325"/>
      <c r="AF41" s="325"/>
      <c r="AG41" s="319"/>
      <c r="AH41" s="320"/>
      <c r="AI41" s="184"/>
      <c r="AJ41" s="178"/>
      <c r="AK41" s="315"/>
      <c r="AL41" s="315"/>
      <c r="AM41" s="315"/>
      <c r="AN41" s="315"/>
    </row>
    <row r="42" spans="2:40" ht="42.75" customHeight="1">
      <c r="B42" s="401">
        <v>39</v>
      </c>
      <c r="C42" s="322" t="s">
        <v>740</v>
      </c>
      <c r="D42" s="321" t="s">
        <v>741</v>
      </c>
      <c r="E42" s="321" t="s">
        <v>563</v>
      </c>
      <c r="F42" s="321" t="s">
        <v>564</v>
      </c>
      <c r="G42" s="321" t="s">
        <v>565</v>
      </c>
      <c r="H42" s="345" t="s">
        <v>566</v>
      </c>
      <c r="I42" s="325" t="s">
        <v>50</v>
      </c>
      <c r="J42" s="325">
        <v>21</v>
      </c>
      <c r="K42" s="325" t="str">
        <f>VLOOKUP(L42,'PARÁMETROS RIESGOS GESTIÓN'!$D$12:$F$17,3,0)</f>
        <v>Baja</v>
      </c>
      <c r="L42" s="325">
        <f t="shared" ref="L42" si="53">IF(J42&lt;=2,20,IF(J42&lt;=24,40,IF(J42&lt;=500,60,IF(J42&lt;="5000",80,100))))</f>
        <v>40</v>
      </c>
      <c r="M42" s="325" t="s">
        <v>13</v>
      </c>
      <c r="N42" s="325">
        <f t="shared" si="15"/>
        <v>60</v>
      </c>
      <c r="O42" s="325">
        <f t="shared" si="2"/>
        <v>4060</v>
      </c>
      <c r="P42" s="319" t="str">
        <f>VLOOKUP(O42,'Zona de riesgo'!$B$9:$C$33,2)</f>
        <v>Moderado</v>
      </c>
      <c r="Q42" s="174" t="s">
        <v>567</v>
      </c>
      <c r="R42" s="187" t="s">
        <v>20</v>
      </c>
      <c r="S42" s="175"/>
      <c r="T42" s="175" t="s">
        <v>109</v>
      </c>
      <c r="U42" s="176">
        <f t="shared" si="3"/>
        <v>25</v>
      </c>
      <c r="V42" s="175" t="s">
        <v>117</v>
      </c>
      <c r="W42" s="176">
        <f t="shared" si="4"/>
        <v>15</v>
      </c>
      <c r="X42" s="177">
        <f t="shared" si="7"/>
        <v>40</v>
      </c>
      <c r="Y42" s="175" t="s">
        <v>120</v>
      </c>
      <c r="Z42" s="175" t="s">
        <v>125</v>
      </c>
      <c r="AA42" s="175" t="s">
        <v>129</v>
      </c>
      <c r="AB42" s="177">
        <f>IF(T42="Correctivo",L42,(L42-(L42*X42/100)))</f>
        <v>24</v>
      </c>
      <c r="AC42" s="325" t="str">
        <f t="shared" ref="AC42" si="54">IF(AB44&gt;80,"Muy Alta",IF(AB44&gt;60,"Alta",IF(AB44&gt;40,"Media",IF(AB44&gt;20,"Baja","Muy Baja"))))</f>
        <v>Muy Baja</v>
      </c>
      <c r="AD42" s="175">
        <f>IF(T42="Correctivo",(N42-(N42*X42)/100),N42)</f>
        <v>60</v>
      </c>
      <c r="AE42" s="325" t="str">
        <f t="shared" ref="AE42" si="55">IF(AD44&gt;80,"Catastrófico",IF(AD44&gt;60,"Mayor",IF(AD44&gt;40,"Moderado",IF(AD44&gt;20,"Menor","Leve"))))</f>
        <v>Moderado</v>
      </c>
      <c r="AF42" s="325" t="str">
        <f t="shared" ref="AF42" si="56">CONCATENATE(AC42,AE42)</f>
        <v>Muy BajaModerado</v>
      </c>
      <c r="AG42" s="319" t="str">
        <f>VLOOKUP(AF42,'RIESGO RESIDUAL'!$A$1:$B$25,2,0)</f>
        <v>Moderado</v>
      </c>
      <c r="AH42" s="320" t="str">
        <f t="shared" ref="AH42" si="57">IF(AG42="Baja","Aceptar-Asumir","Reducir-Mitigar")</f>
        <v>Reducir-Mitigar</v>
      </c>
      <c r="AI42" s="184" t="s">
        <v>568</v>
      </c>
      <c r="AJ42" s="178" t="s">
        <v>435</v>
      </c>
      <c r="AK42" s="346">
        <v>44803</v>
      </c>
      <c r="AL42" s="315" t="s">
        <v>409</v>
      </c>
      <c r="AM42" s="315"/>
      <c r="AN42" s="315"/>
    </row>
    <row r="43" spans="2:40" ht="30">
      <c r="B43" s="401"/>
      <c r="C43" s="323"/>
      <c r="D43" s="321"/>
      <c r="E43" s="321"/>
      <c r="F43" s="321"/>
      <c r="G43" s="321"/>
      <c r="H43" s="345"/>
      <c r="I43" s="325" t="s">
        <v>56</v>
      </c>
      <c r="J43" s="325"/>
      <c r="K43" s="325" t="e">
        <f>VLOOKUP(L43,'PARÁMETROS RIESGOS GESTIÓN'!D49:F54,3,TRUE)</f>
        <v>#N/A</v>
      </c>
      <c r="L43" s="325">
        <f t="shared" si="0"/>
        <v>100</v>
      </c>
      <c r="M43" s="325" t="s">
        <v>101</v>
      </c>
      <c r="N43" s="325">
        <f t="shared" si="15"/>
        <v>100</v>
      </c>
      <c r="O43" s="325">
        <f t="shared" si="2"/>
        <v>100100</v>
      </c>
      <c r="P43" s="319" t="e">
        <f>VLOOKUP(O43,'Zona de riesgo'!B49:C73,2)</f>
        <v>#N/A</v>
      </c>
      <c r="Q43" s="174" t="s">
        <v>569</v>
      </c>
      <c r="R43" s="187" t="s">
        <v>20</v>
      </c>
      <c r="S43" s="175"/>
      <c r="T43" s="175" t="s">
        <v>109</v>
      </c>
      <c r="U43" s="176">
        <f t="shared" si="3"/>
        <v>25</v>
      </c>
      <c r="V43" s="175" t="s">
        <v>117</v>
      </c>
      <c r="W43" s="176">
        <f t="shared" si="4"/>
        <v>15</v>
      </c>
      <c r="X43" s="177">
        <f t="shared" si="7"/>
        <v>40</v>
      </c>
      <c r="Y43" s="175" t="s">
        <v>120</v>
      </c>
      <c r="Z43" s="175" t="s">
        <v>125</v>
      </c>
      <c r="AA43" s="175" t="s">
        <v>129</v>
      </c>
      <c r="AB43" s="177">
        <f>IF(T43="preventivo",(AB42-(AB42*X43/100)),IF(T43="detectivo",(AB42-(AB42*X43/100)),IF(T43="Correctivo",AB42,AB42)))</f>
        <v>14.4</v>
      </c>
      <c r="AC43" s="325"/>
      <c r="AD43" s="175">
        <f>IF(T43="Correctivo",(AD42-(AD42*X42/100)),AD42)</f>
        <v>60</v>
      </c>
      <c r="AE43" s="325"/>
      <c r="AF43" s="325"/>
      <c r="AG43" s="319"/>
      <c r="AH43" s="320"/>
      <c r="AI43" s="184"/>
      <c r="AJ43" s="178"/>
      <c r="AK43" s="315"/>
      <c r="AL43" s="315"/>
      <c r="AM43" s="315"/>
      <c r="AN43" s="315"/>
    </row>
    <row r="44" spans="2:40" ht="15">
      <c r="B44" s="401"/>
      <c r="C44" s="324"/>
      <c r="D44" s="321"/>
      <c r="E44" s="321"/>
      <c r="F44" s="321"/>
      <c r="G44" s="321"/>
      <c r="H44" s="345"/>
      <c r="I44" s="325" t="s">
        <v>56</v>
      </c>
      <c r="J44" s="325"/>
      <c r="K44" s="325" t="e">
        <f>VLOOKUP(L44,'PARÁMETROS RIESGOS GESTIÓN'!D50:F55,3,TRUE)</f>
        <v>#N/A</v>
      </c>
      <c r="L44" s="325">
        <f t="shared" si="0"/>
        <v>100</v>
      </c>
      <c r="M44" s="325" t="s">
        <v>101</v>
      </c>
      <c r="N44" s="325">
        <f t="shared" si="15"/>
        <v>100</v>
      </c>
      <c r="O44" s="325">
        <f t="shared" si="2"/>
        <v>100100</v>
      </c>
      <c r="P44" s="319" t="e">
        <f>VLOOKUP(O44,'Zona de riesgo'!B50:C74,2)</f>
        <v>#N/A</v>
      </c>
      <c r="Q44" s="174"/>
      <c r="R44" s="187"/>
      <c r="S44" s="175"/>
      <c r="T44" s="175"/>
      <c r="U44" s="176"/>
      <c r="V44" s="175"/>
      <c r="W44" s="176"/>
      <c r="X44" s="177"/>
      <c r="Y44" s="175"/>
      <c r="Z44" s="175"/>
      <c r="AA44" s="175"/>
      <c r="AB44" s="177">
        <f>IF(T44="preventivo",(AB43-(AB43*X44/100)),IF(T44="detectivo",(AB43-(AB43*X44/100)),IF(T44="Correctivo",AB43,AB43)))</f>
        <v>14.4</v>
      </c>
      <c r="AC44" s="325"/>
      <c r="AD44" s="175">
        <f>IF(T44="Correctivo",(AD43-(AD43*U43/100)),AD43)</f>
        <v>60</v>
      </c>
      <c r="AE44" s="325"/>
      <c r="AF44" s="325"/>
      <c r="AG44" s="319"/>
      <c r="AH44" s="320"/>
      <c r="AI44" s="184"/>
      <c r="AJ44" s="178"/>
      <c r="AK44" s="315"/>
      <c r="AL44" s="315"/>
      <c r="AM44" s="315"/>
      <c r="AN44" s="315"/>
    </row>
    <row r="45" spans="2:40" ht="42.75" customHeight="1">
      <c r="B45" s="401">
        <v>40</v>
      </c>
      <c r="C45" s="322" t="s">
        <v>740</v>
      </c>
      <c r="D45" s="321" t="s">
        <v>741</v>
      </c>
      <c r="E45" s="321" t="s">
        <v>570</v>
      </c>
      <c r="F45" s="321" t="s">
        <v>571</v>
      </c>
      <c r="G45" s="321" t="s">
        <v>572</v>
      </c>
      <c r="H45" s="345" t="s">
        <v>573</v>
      </c>
      <c r="I45" s="325" t="s">
        <v>50</v>
      </c>
      <c r="J45" s="325">
        <v>21</v>
      </c>
      <c r="K45" s="325" t="str">
        <f>VLOOKUP(L45,'PARÁMETROS RIESGOS GESTIÓN'!$D$12:$F$17,3,0)</f>
        <v>Baja</v>
      </c>
      <c r="L45" s="325">
        <f t="shared" ref="L45" si="58">IF(J45&lt;=2,20,IF(J45&lt;=24,40,IF(J45&lt;=500,60,IF(J45&lt;="5000",80,100))))</f>
        <v>40</v>
      </c>
      <c r="M45" s="325" t="s">
        <v>13</v>
      </c>
      <c r="N45" s="325">
        <f t="shared" si="15"/>
        <v>60</v>
      </c>
      <c r="O45" s="325">
        <f t="shared" si="2"/>
        <v>4060</v>
      </c>
      <c r="P45" s="319" t="str">
        <f>VLOOKUP(O45,'Zona de riesgo'!$B$9:$C$33,2)</f>
        <v>Moderado</v>
      </c>
      <c r="Q45" s="174" t="s">
        <v>567</v>
      </c>
      <c r="R45" s="187" t="s">
        <v>20</v>
      </c>
      <c r="S45" s="175"/>
      <c r="T45" s="175" t="s">
        <v>109</v>
      </c>
      <c r="U45" s="176">
        <f t="shared" si="3"/>
        <v>25</v>
      </c>
      <c r="V45" s="175" t="s">
        <v>117</v>
      </c>
      <c r="W45" s="176">
        <f t="shared" si="4"/>
        <v>15</v>
      </c>
      <c r="X45" s="177">
        <f t="shared" si="7"/>
        <v>40</v>
      </c>
      <c r="Y45" s="175" t="s">
        <v>120</v>
      </c>
      <c r="Z45" s="175" t="s">
        <v>125</v>
      </c>
      <c r="AA45" s="175" t="s">
        <v>129</v>
      </c>
      <c r="AB45" s="177">
        <f>IF(T45="Correctivo",L45,(L45-(L45*X45/100)))</f>
        <v>24</v>
      </c>
      <c r="AC45" s="325" t="str">
        <f t="shared" ref="AC45" si="59">IF(AB47&gt;80,"Muy Alta",IF(AB47&gt;60,"Alta",IF(AB47&gt;40,"Media",IF(AB47&gt;20,"Baja","Muy Baja"))))</f>
        <v>Muy Baja</v>
      </c>
      <c r="AD45" s="175">
        <f>IF(T45="Correctivo",(N45-(N45*U45)/100),N45)</f>
        <v>60</v>
      </c>
      <c r="AE45" s="325" t="str">
        <f t="shared" ref="AE45" si="60">IF(AD47&gt;80,"Catastrófico",IF(AD47&gt;60,"Mayor",IF(AD47&gt;40,"Moderado",IF(AD47&gt;20,"Menor","Leve"))))</f>
        <v>Moderado</v>
      </c>
      <c r="AF45" s="325" t="str">
        <f t="shared" ref="AF45" si="61">CONCATENATE(AC45,AE45)</f>
        <v>Muy BajaModerado</v>
      </c>
      <c r="AG45" s="319" t="str">
        <f>VLOOKUP(AF45,'RIESGO RESIDUAL'!$A$1:$B$25,2,0)</f>
        <v>Moderado</v>
      </c>
      <c r="AH45" s="320" t="str">
        <f t="shared" ref="AH45" si="62">IF(AG45="Baja","Aceptar-Asumir","Reducir-Mitigar")</f>
        <v>Reducir-Mitigar</v>
      </c>
      <c r="AI45" s="184" t="s">
        <v>574</v>
      </c>
      <c r="AJ45" s="178" t="s">
        <v>435</v>
      </c>
      <c r="AK45" s="346">
        <v>44803</v>
      </c>
      <c r="AL45" s="315" t="s">
        <v>409</v>
      </c>
      <c r="AM45" s="315"/>
      <c r="AN45" s="315"/>
    </row>
    <row r="46" spans="2:40" ht="30">
      <c r="B46" s="401"/>
      <c r="C46" s="323"/>
      <c r="D46" s="321"/>
      <c r="E46" s="321"/>
      <c r="F46" s="321"/>
      <c r="G46" s="321"/>
      <c r="H46" s="345"/>
      <c r="I46" s="325" t="s">
        <v>56</v>
      </c>
      <c r="J46" s="325"/>
      <c r="K46" s="325" t="e">
        <f>VLOOKUP(L46,'PARÁMETROS RIESGOS GESTIÓN'!D52:F57,3,TRUE)</f>
        <v>#N/A</v>
      </c>
      <c r="L46" s="325">
        <f t="shared" si="0"/>
        <v>100</v>
      </c>
      <c r="M46" s="325" t="s">
        <v>101</v>
      </c>
      <c r="N46" s="325">
        <f t="shared" si="15"/>
        <v>100</v>
      </c>
      <c r="O46" s="325">
        <f t="shared" si="2"/>
        <v>100100</v>
      </c>
      <c r="P46" s="319" t="e">
        <f>VLOOKUP(O46,'Zona de riesgo'!B52:C76,2)</f>
        <v>#N/A</v>
      </c>
      <c r="Q46" s="174" t="s">
        <v>575</v>
      </c>
      <c r="R46" s="187" t="s">
        <v>20</v>
      </c>
      <c r="S46" s="175"/>
      <c r="T46" s="175" t="s">
        <v>109</v>
      </c>
      <c r="U46" s="176">
        <f t="shared" si="3"/>
        <v>25</v>
      </c>
      <c r="V46" s="175" t="s">
        <v>117</v>
      </c>
      <c r="W46" s="176">
        <f t="shared" si="4"/>
        <v>15</v>
      </c>
      <c r="X46" s="177">
        <f t="shared" si="7"/>
        <v>40</v>
      </c>
      <c r="Y46" s="175" t="s">
        <v>120</v>
      </c>
      <c r="Z46" s="175" t="s">
        <v>125</v>
      </c>
      <c r="AA46" s="175" t="s">
        <v>129</v>
      </c>
      <c r="AB46" s="177">
        <f>IF(T46="preventivo",(AB45-(AB45*X46/100)),IF(T46="detectivo",(AB45-(AB45*X46/100)),IF(T46="Correctivo",AB45,AB45)))</f>
        <v>14.4</v>
      </c>
      <c r="AC46" s="325"/>
      <c r="AD46" s="175">
        <f>IF(T46="Correctivo",(AD45-(AD45*U45/100)),AD45)</f>
        <v>60</v>
      </c>
      <c r="AE46" s="325"/>
      <c r="AF46" s="325"/>
      <c r="AG46" s="319"/>
      <c r="AH46" s="320"/>
      <c r="AI46" s="184"/>
      <c r="AJ46" s="178"/>
      <c r="AK46" s="315"/>
      <c r="AL46" s="315"/>
      <c r="AM46" s="315"/>
      <c r="AN46" s="315"/>
    </row>
    <row r="47" spans="2:40" ht="15">
      <c r="B47" s="401"/>
      <c r="C47" s="324"/>
      <c r="D47" s="321"/>
      <c r="E47" s="321"/>
      <c r="F47" s="321"/>
      <c r="G47" s="321"/>
      <c r="H47" s="345"/>
      <c r="I47" s="325" t="s">
        <v>56</v>
      </c>
      <c r="J47" s="325"/>
      <c r="K47" s="325" t="e">
        <f>VLOOKUP(L47,'PARÁMETROS RIESGOS GESTIÓN'!D53:F58,3,TRUE)</f>
        <v>#N/A</v>
      </c>
      <c r="L47" s="325">
        <f t="shared" si="0"/>
        <v>100</v>
      </c>
      <c r="M47" s="325" t="s">
        <v>101</v>
      </c>
      <c r="N47" s="325">
        <f t="shared" si="15"/>
        <v>100</v>
      </c>
      <c r="O47" s="325">
        <f t="shared" si="2"/>
        <v>100100</v>
      </c>
      <c r="P47" s="319" t="e">
        <f>VLOOKUP(O47,'Zona de riesgo'!B53:C77,2)</f>
        <v>#N/A</v>
      </c>
      <c r="Q47" s="174"/>
      <c r="R47" s="187"/>
      <c r="S47" s="175"/>
      <c r="T47" s="175"/>
      <c r="U47" s="176"/>
      <c r="V47" s="175"/>
      <c r="W47" s="176"/>
      <c r="X47" s="177"/>
      <c r="Y47" s="175"/>
      <c r="Z47" s="175"/>
      <c r="AA47" s="175"/>
      <c r="AB47" s="177">
        <f>IF(T47="preventivo",(AB46-(AB46*X47/100)),IF(T47="detectivo",(AB46-(AB46*X47/100)),IF(T47="Correctivo",AB46,AB46)))</f>
        <v>14.4</v>
      </c>
      <c r="AC47" s="325"/>
      <c r="AD47" s="175">
        <f>IF(T47="Correctivo",(AD46-(AD46*U46/100)),AD46)</f>
        <v>60</v>
      </c>
      <c r="AE47" s="325"/>
      <c r="AF47" s="325"/>
      <c r="AG47" s="319"/>
      <c r="AH47" s="320"/>
      <c r="AI47" s="184"/>
      <c r="AJ47" s="178"/>
      <c r="AK47" s="315"/>
      <c r="AL47" s="315"/>
      <c r="AM47" s="315"/>
      <c r="AN47" s="315"/>
    </row>
    <row r="48" spans="2:40" ht="42.75" customHeight="1">
      <c r="B48" s="401">
        <v>41</v>
      </c>
      <c r="C48" s="322" t="s">
        <v>740</v>
      </c>
      <c r="D48" s="321" t="s">
        <v>741</v>
      </c>
      <c r="E48" s="321" t="s">
        <v>563</v>
      </c>
      <c r="F48" s="321" t="s">
        <v>576</v>
      </c>
      <c r="G48" s="321" t="s">
        <v>577</v>
      </c>
      <c r="H48" s="345" t="s">
        <v>578</v>
      </c>
      <c r="I48" s="175"/>
      <c r="J48" s="325">
        <v>2</v>
      </c>
      <c r="K48" s="325" t="str">
        <f>VLOOKUP(L48,'PARÁMETROS RIESGOS GESTIÓN'!$D$12:$F$17,3,0)</f>
        <v>Muy Baja</v>
      </c>
      <c r="L48" s="325">
        <f t="shared" ref="L48" si="63">IF(J48&lt;=2,20,IF(J48&lt;=24,40,IF(J48&lt;=500,60,IF(J48&lt;="5000",80,100))))</f>
        <v>20</v>
      </c>
      <c r="M48" s="325" t="s">
        <v>99</v>
      </c>
      <c r="N48" s="325">
        <f t="shared" si="15"/>
        <v>40</v>
      </c>
      <c r="O48" s="325">
        <f t="shared" si="2"/>
        <v>2040</v>
      </c>
      <c r="P48" s="319" t="str">
        <f>VLOOKUP(O48,'Zona de riesgo'!$B$9:$C$33,2)</f>
        <v>Baja</v>
      </c>
      <c r="Q48" s="174" t="s">
        <v>579</v>
      </c>
      <c r="R48" s="187" t="s">
        <v>20</v>
      </c>
      <c r="S48" s="175"/>
      <c r="T48" s="175" t="s">
        <v>109</v>
      </c>
      <c r="U48" s="176">
        <f t="shared" si="3"/>
        <v>25</v>
      </c>
      <c r="V48" s="175" t="s">
        <v>117</v>
      </c>
      <c r="W48" s="176">
        <f t="shared" si="4"/>
        <v>15</v>
      </c>
      <c r="X48" s="177">
        <f t="shared" si="7"/>
        <v>40</v>
      </c>
      <c r="Y48" s="175" t="s">
        <v>120</v>
      </c>
      <c r="Z48" s="175" t="s">
        <v>125</v>
      </c>
      <c r="AA48" s="175" t="s">
        <v>129</v>
      </c>
      <c r="AB48" s="177">
        <f>IF(T48="Correctivo",L48,(L48-(L48*X48/100)))</f>
        <v>12</v>
      </c>
      <c r="AC48" s="325" t="str">
        <f t="shared" ref="AC48" si="64">IF(AB50&gt;80,"Muy Alta",IF(AB50&gt;60,"Alta",IF(AB50&gt;40,"Media",IF(AB50&gt;20,"Baja","Muy Baja"))))</f>
        <v>Muy Baja</v>
      </c>
      <c r="AD48" s="175">
        <f>IF(T48="Correctivo",(N48-(N48*X48)/100),N48)</f>
        <v>40</v>
      </c>
      <c r="AE48" s="325" t="str">
        <f t="shared" ref="AE48" si="65">IF(AD50&gt;80,"Catastrófico",IF(AD50&gt;60,"Mayor",IF(AD50&gt;40,"Moderado",IF(AD50&gt;20,"Menor","Leve"))))</f>
        <v>Menor</v>
      </c>
      <c r="AF48" s="325" t="str">
        <f t="shared" ref="AF48" si="66">CONCATENATE(AC48,AE48)</f>
        <v>Muy BajaMenor</v>
      </c>
      <c r="AG48" s="319" t="str">
        <f>VLOOKUP(AF48,'RIESGO RESIDUAL'!$A$1:$B$25,2,0)</f>
        <v>Baja</v>
      </c>
      <c r="AH48" s="320" t="str">
        <f t="shared" ref="AH48" si="67">IF(AG48="Baja","Aceptar-Asumir","Reducir-Mitigar")</f>
        <v>Aceptar-Asumir</v>
      </c>
      <c r="AI48" s="185" t="s">
        <v>580</v>
      </c>
      <c r="AJ48" s="178" t="s">
        <v>435</v>
      </c>
      <c r="AK48" s="346">
        <v>44803</v>
      </c>
      <c r="AL48" s="315" t="s">
        <v>409</v>
      </c>
      <c r="AM48" s="315"/>
      <c r="AN48" s="315"/>
    </row>
    <row r="49" spans="2:40" ht="30">
      <c r="B49" s="401"/>
      <c r="C49" s="323"/>
      <c r="D49" s="321"/>
      <c r="E49" s="321"/>
      <c r="F49" s="321"/>
      <c r="G49" s="321"/>
      <c r="H49" s="345"/>
      <c r="I49" s="175" t="s">
        <v>50</v>
      </c>
      <c r="J49" s="325"/>
      <c r="K49" s="325" t="e">
        <f>VLOOKUP(L49,'PARÁMETROS RIESGOS GESTIÓN'!D55:F60,3,TRUE)</f>
        <v>#N/A</v>
      </c>
      <c r="L49" s="325">
        <f t="shared" si="0"/>
        <v>100</v>
      </c>
      <c r="M49" s="325"/>
      <c r="N49" s="325">
        <f t="shared" si="15"/>
        <v>0</v>
      </c>
      <c r="O49" s="325">
        <f t="shared" si="2"/>
        <v>1000</v>
      </c>
      <c r="P49" s="319" t="e">
        <f>VLOOKUP(O49,'Zona de riesgo'!B55:C79,2)</f>
        <v>#N/A</v>
      </c>
      <c r="Q49" s="174" t="s">
        <v>581</v>
      </c>
      <c r="R49" s="187" t="s">
        <v>20</v>
      </c>
      <c r="S49" s="175"/>
      <c r="T49" s="175" t="s">
        <v>109</v>
      </c>
      <c r="U49" s="176">
        <f t="shared" si="3"/>
        <v>25</v>
      </c>
      <c r="V49" s="175" t="s">
        <v>117</v>
      </c>
      <c r="W49" s="176">
        <f t="shared" si="4"/>
        <v>15</v>
      </c>
      <c r="X49" s="177">
        <f t="shared" si="7"/>
        <v>40</v>
      </c>
      <c r="Y49" s="175" t="s">
        <v>120</v>
      </c>
      <c r="Z49" s="175" t="s">
        <v>125</v>
      </c>
      <c r="AA49" s="175" t="s">
        <v>129</v>
      </c>
      <c r="AB49" s="177">
        <f>IF(T49="preventivo",(AB48-(AB48*X49/100)),IF(T49="detectivo",(AB48-(AB48*X49/100)),IF(T49="Correctivo",AB48,AB48)))</f>
        <v>7.2</v>
      </c>
      <c r="AC49" s="325"/>
      <c r="AD49" s="175">
        <f>IF(T49="Correctivo",(AD48-(AD48*X48/100)),AD48)</f>
        <v>40</v>
      </c>
      <c r="AE49" s="325"/>
      <c r="AF49" s="325"/>
      <c r="AG49" s="319"/>
      <c r="AH49" s="320"/>
      <c r="AI49" s="185"/>
      <c r="AJ49" s="178"/>
      <c r="AK49" s="315"/>
      <c r="AL49" s="315"/>
      <c r="AM49" s="315"/>
      <c r="AN49" s="315"/>
    </row>
    <row r="50" spans="2:40" ht="15">
      <c r="B50" s="401"/>
      <c r="C50" s="324"/>
      <c r="D50" s="321"/>
      <c r="E50" s="321"/>
      <c r="F50" s="321"/>
      <c r="G50" s="321"/>
      <c r="H50" s="345"/>
      <c r="I50" s="175"/>
      <c r="J50" s="325"/>
      <c r="K50" s="325" t="e">
        <f>VLOOKUP(L50,'PARÁMETROS RIESGOS GESTIÓN'!D56:F61,3,TRUE)</f>
        <v>#N/A</v>
      </c>
      <c r="L50" s="325">
        <f t="shared" si="0"/>
        <v>100</v>
      </c>
      <c r="M50" s="325"/>
      <c r="N50" s="325">
        <f t="shared" si="15"/>
        <v>0</v>
      </c>
      <c r="O50" s="325">
        <f t="shared" si="2"/>
        <v>1000</v>
      </c>
      <c r="P50" s="319" t="e">
        <f>VLOOKUP(O50,'Zona de riesgo'!B56:C80,2)</f>
        <v>#N/A</v>
      </c>
      <c r="Q50" s="174"/>
      <c r="R50" s="187"/>
      <c r="S50" s="175"/>
      <c r="T50" s="175"/>
      <c r="U50" s="176"/>
      <c r="V50" s="175"/>
      <c r="W50" s="176"/>
      <c r="X50" s="177"/>
      <c r="Y50" s="175"/>
      <c r="Z50" s="175"/>
      <c r="AA50" s="175"/>
      <c r="AB50" s="177">
        <f>IF(T50="preventivo",(AB49-(AB49*X50/100)),IF(T50="detectivo",(AB49-(AB49*X50/100)),IF(T50="Correctivo",AB49,AB49)))</f>
        <v>7.2</v>
      </c>
      <c r="AC50" s="325"/>
      <c r="AD50" s="175">
        <f>IF(T50="Correctivo",(AD49-(AD49*U49/100)),AD49)</f>
        <v>40</v>
      </c>
      <c r="AE50" s="325"/>
      <c r="AF50" s="325"/>
      <c r="AG50" s="319"/>
      <c r="AH50" s="320"/>
      <c r="AI50" s="185"/>
      <c r="AJ50" s="178"/>
      <c r="AK50" s="315"/>
      <c r="AL50" s="315"/>
      <c r="AM50" s="315"/>
      <c r="AN50" s="315"/>
    </row>
    <row r="51" spans="2:40" ht="42.75" customHeight="1">
      <c r="B51" s="401">
        <v>42</v>
      </c>
      <c r="C51" s="322" t="s">
        <v>740</v>
      </c>
      <c r="D51" s="321" t="s">
        <v>741</v>
      </c>
      <c r="E51" s="321" t="s">
        <v>582</v>
      </c>
      <c r="F51" s="321" t="s">
        <v>583</v>
      </c>
      <c r="G51" s="321" t="s">
        <v>584</v>
      </c>
      <c r="H51" s="345" t="s">
        <v>585</v>
      </c>
      <c r="I51" s="325" t="s">
        <v>50</v>
      </c>
      <c r="J51" s="325">
        <v>21</v>
      </c>
      <c r="K51" s="325" t="str">
        <f>VLOOKUP(L51,'PARÁMETROS RIESGOS GESTIÓN'!$D$12:$F$17,3,0)</f>
        <v>Baja</v>
      </c>
      <c r="L51" s="325">
        <f t="shared" ref="L51" si="68">IF(J51&lt;=2,20,IF(J51&lt;=24,40,IF(J51&lt;=500,60,IF(J51&lt;="5000",80,100))))</f>
        <v>40</v>
      </c>
      <c r="M51" s="325" t="s">
        <v>13</v>
      </c>
      <c r="N51" s="325">
        <f t="shared" si="15"/>
        <v>60</v>
      </c>
      <c r="O51" s="325">
        <f t="shared" si="2"/>
        <v>4060</v>
      </c>
      <c r="P51" s="319" t="str">
        <f>VLOOKUP(O51,'Zona de riesgo'!$B$9:$C$33,2)</f>
        <v>Moderado</v>
      </c>
      <c r="Q51" s="174" t="s">
        <v>579</v>
      </c>
      <c r="R51" s="187" t="s">
        <v>20</v>
      </c>
      <c r="S51" s="175"/>
      <c r="T51" s="175" t="s">
        <v>109</v>
      </c>
      <c r="U51" s="176">
        <f t="shared" si="3"/>
        <v>25</v>
      </c>
      <c r="V51" s="175" t="s">
        <v>117</v>
      </c>
      <c r="W51" s="176">
        <f t="shared" si="4"/>
        <v>15</v>
      </c>
      <c r="X51" s="177">
        <f t="shared" si="7"/>
        <v>40</v>
      </c>
      <c r="Y51" s="175" t="s">
        <v>120</v>
      </c>
      <c r="Z51" s="175" t="s">
        <v>125</v>
      </c>
      <c r="AA51" s="175" t="s">
        <v>129</v>
      </c>
      <c r="AB51" s="177">
        <f>IF(T51="Correctivo",L51,(L51-(L51*X51/100)))</f>
        <v>24</v>
      </c>
      <c r="AC51" s="325" t="str">
        <f t="shared" ref="AC51" si="69">IF(AB53&gt;80,"Muy Alta",IF(AB53&gt;60,"Alta",IF(AB53&gt;40,"Media",IF(AB53&gt;20,"Baja","Muy Baja"))))</f>
        <v>Muy Baja</v>
      </c>
      <c r="AD51" s="175">
        <f>IF(T51="Correctivo",(N51-(N51*X51)/100),N51)</f>
        <v>60</v>
      </c>
      <c r="AE51" s="325" t="str">
        <f t="shared" ref="AE51" si="70">IF(AD53&gt;80,"Catastrófico",IF(AD53&gt;60,"Mayor",IF(AD53&gt;40,"Moderado",IF(AD53&gt;20,"Menor","Leve"))))</f>
        <v>Moderado</v>
      </c>
      <c r="AF51" s="325" t="str">
        <f t="shared" ref="AF51" si="71">CONCATENATE(AC51,AE51)</f>
        <v>Muy BajaModerado</v>
      </c>
      <c r="AG51" s="319" t="str">
        <f>VLOOKUP(AF51,'RIESGO RESIDUAL'!$A$1:$B$25,2,0)</f>
        <v>Moderado</v>
      </c>
      <c r="AH51" s="320" t="str">
        <f t="shared" ref="AH51" si="72">IF(AG51="Baja","Aceptar-Asumir","Reducir-Mitigar")</f>
        <v>Reducir-Mitigar</v>
      </c>
      <c r="AI51" s="185" t="s">
        <v>586</v>
      </c>
      <c r="AJ51" s="178" t="s">
        <v>435</v>
      </c>
      <c r="AK51" s="346">
        <v>44803</v>
      </c>
      <c r="AL51" s="315" t="s">
        <v>409</v>
      </c>
      <c r="AM51" s="315"/>
      <c r="AN51" s="315"/>
    </row>
    <row r="52" spans="2:40" ht="30">
      <c r="B52" s="401"/>
      <c r="C52" s="323"/>
      <c r="D52" s="321"/>
      <c r="E52" s="321"/>
      <c r="F52" s="321"/>
      <c r="G52" s="321"/>
      <c r="H52" s="345"/>
      <c r="I52" s="325" t="s">
        <v>56</v>
      </c>
      <c r="J52" s="325"/>
      <c r="K52" s="325" t="e">
        <f>VLOOKUP(L52,'PARÁMETROS RIESGOS GESTIÓN'!D58:F63,3,TRUE)</f>
        <v>#N/A</v>
      </c>
      <c r="L52" s="325">
        <f t="shared" si="0"/>
        <v>100</v>
      </c>
      <c r="M52" s="325" t="s">
        <v>101</v>
      </c>
      <c r="N52" s="325">
        <f t="shared" si="15"/>
        <v>100</v>
      </c>
      <c r="O52" s="325">
        <f t="shared" si="2"/>
        <v>100100</v>
      </c>
      <c r="P52" s="319" t="e">
        <f>VLOOKUP(O52,'Zona de riesgo'!B58:C82,2)</f>
        <v>#N/A</v>
      </c>
      <c r="Q52" s="174" t="s">
        <v>587</v>
      </c>
      <c r="R52" s="187" t="s">
        <v>20</v>
      </c>
      <c r="S52" s="175"/>
      <c r="T52" s="175" t="s">
        <v>109</v>
      </c>
      <c r="U52" s="176">
        <f t="shared" si="3"/>
        <v>25</v>
      </c>
      <c r="V52" s="175" t="s">
        <v>117</v>
      </c>
      <c r="W52" s="176">
        <f t="shared" si="4"/>
        <v>15</v>
      </c>
      <c r="X52" s="177">
        <f t="shared" si="7"/>
        <v>40</v>
      </c>
      <c r="Y52" s="175" t="s">
        <v>120</v>
      </c>
      <c r="Z52" s="175" t="s">
        <v>125</v>
      </c>
      <c r="AA52" s="175" t="s">
        <v>129</v>
      </c>
      <c r="AB52" s="177">
        <f>IF(T52="preventivo",(AB51-(AB51*X52/100)),IF(T52="detectivo",(AB51-(AB51*X52/100)),IF(T52="Correctivo",AB51,AB51)))</f>
        <v>14.4</v>
      </c>
      <c r="AC52" s="325"/>
      <c r="AD52" s="175">
        <f>IF(T52="Correctivo",(AD51-(AD51*X51/100)),AD51)</f>
        <v>60</v>
      </c>
      <c r="AE52" s="325"/>
      <c r="AF52" s="325"/>
      <c r="AG52" s="319"/>
      <c r="AH52" s="320"/>
      <c r="AI52" s="185"/>
      <c r="AJ52" s="178"/>
      <c r="AK52" s="315"/>
      <c r="AL52" s="315"/>
      <c r="AM52" s="315"/>
      <c r="AN52" s="315"/>
    </row>
    <row r="53" spans="2:40" ht="15">
      <c r="B53" s="401"/>
      <c r="C53" s="324"/>
      <c r="D53" s="321"/>
      <c r="E53" s="321"/>
      <c r="F53" s="321"/>
      <c r="G53" s="321"/>
      <c r="H53" s="345"/>
      <c r="I53" s="325" t="s">
        <v>56</v>
      </c>
      <c r="J53" s="325"/>
      <c r="K53" s="325" t="e">
        <f>VLOOKUP(L53,'PARÁMETROS RIESGOS GESTIÓN'!D59:F64,3,TRUE)</f>
        <v>#N/A</v>
      </c>
      <c r="L53" s="325">
        <f t="shared" si="0"/>
        <v>100</v>
      </c>
      <c r="M53" s="325" t="s">
        <v>101</v>
      </c>
      <c r="N53" s="325">
        <f t="shared" si="15"/>
        <v>100</v>
      </c>
      <c r="O53" s="325">
        <f t="shared" si="2"/>
        <v>100100</v>
      </c>
      <c r="P53" s="319" t="e">
        <f>VLOOKUP(O53,'Zona de riesgo'!B59:C83,2)</f>
        <v>#N/A</v>
      </c>
      <c r="Q53" s="174"/>
      <c r="R53" s="187"/>
      <c r="S53" s="175"/>
      <c r="T53" s="175"/>
      <c r="U53" s="176"/>
      <c r="V53" s="175"/>
      <c r="W53" s="176"/>
      <c r="X53" s="177"/>
      <c r="Y53" s="175"/>
      <c r="Z53" s="175"/>
      <c r="AA53" s="175"/>
      <c r="AB53" s="177">
        <f>IF(T53="preventivo",(AB52-(AB52*X53/100)),IF(T53="detectivo",(AB52-(AB52*X53/100)),IF(T53="Correctivo",AB52,AB52)))</f>
        <v>14.4</v>
      </c>
      <c r="AC53" s="325"/>
      <c r="AD53" s="175">
        <f>IF(T53="Correctivo",(AD52-(AD52*U52/100)),AD52)</f>
        <v>60</v>
      </c>
      <c r="AE53" s="325"/>
      <c r="AF53" s="325"/>
      <c r="AG53" s="319"/>
      <c r="AH53" s="320"/>
      <c r="AI53" s="185"/>
      <c r="AJ53" s="178"/>
      <c r="AK53" s="315"/>
      <c r="AL53" s="315"/>
      <c r="AM53" s="315"/>
      <c r="AN53" s="315"/>
    </row>
    <row r="54" spans="2:40" ht="42.75" customHeight="1">
      <c r="B54" s="401">
        <v>43</v>
      </c>
      <c r="C54" s="322" t="s">
        <v>740</v>
      </c>
      <c r="D54" s="321" t="s">
        <v>741</v>
      </c>
      <c r="E54" s="321" t="s">
        <v>588</v>
      </c>
      <c r="F54" s="321" t="s">
        <v>589</v>
      </c>
      <c r="G54" s="321" t="s">
        <v>590</v>
      </c>
      <c r="H54" s="345" t="s">
        <v>591</v>
      </c>
      <c r="I54" s="325" t="s">
        <v>50</v>
      </c>
      <c r="J54" s="325">
        <v>21</v>
      </c>
      <c r="K54" s="325" t="str">
        <f>VLOOKUP(L54,'PARÁMETROS RIESGOS GESTIÓN'!$D$12:$F$17,3,0)</f>
        <v>Baja</v>
      </c>
      <c r="L54" s="325">
        <f t="shared" ref="L54" si="73">IF(J54&lt;=2,20,IF(J54&lt;=24,40,IF(J54&lt;=500,60,IF(J54&lt;="5000",80,100))))</f>
        <v>40</v>
      </c>
      <c r="M54" s="325" t="s">
        <v>13</v>
      </c>
      <c r="N54" s="325">
        <f t="shared" si="15"/>
        <v>60</v>
      </c>
      <c r="O54" s="325">
        <f t="shared" si="2"/>
        <v>4060</v>
      </c>
      <c r="P54" s="319" t="str">
        <f>VLOOKUP(O54,'Zona de riesgo'!$B$9:$C$33,2)</f>
        <v>Moderado</v>
      </c>
      <c r="Q54" s="174" t="s">
        <v>579</v>
      </c>
      <c r="R54" s="187" t="s">
        <v>20</v>
      </c>
      <c r="S54" s="175"/>
      <c r="T54" s="175" t="s">
        <v>109</v>
      </c>
      <c r="U54" s="176">
        <f t="shared" si="3"/>
        <v>25</v>
      </c>
      <c r="V54" s="175" t="s">
        <v>117</v>
      </c>
      <c r="W54" s="176">
        <f t="shared" si="4"/>
        <v>15</v>
      </c>
      <c r="X54" s="177">
        <f t="shared" si="7"/>
        <v>40</v>
      </c>
      <c r="Y54" s="175" t="s">
        <v>120</v>
      </c>
      <c r="Z54" s="175" t="s">
        <v>125</v>
      </c>
      <c r="AA54" s="175" t="s">
        <v>129</v>
      </c>
      <c r="AB54" s="177">
        <f>IF(T54="Correctivo",L54,(L54-(L54*X54/100)))</f>
        <v>24</v>
      </c>
      <c r="AC54" s="325" t="str">
        <f t="shared" ref="AC54" si="74">IF(AB56&gt;80,"Muy Alta",IF(AB56&gt;60,"Alta",IF(AB56&gt;40,"Media",IF(AB56&gt;20,"Baja","Muy Baja"))))</f>
        <v>Muy Baja</v>
      </c>
      <c r="AD54" s="175">
        <f>IF(T54="Correctivo",(N54-(N54*X54)/100),N54)</f>
        <v>60</v>
      </c>
      <c r="AE54" s="325" t="str">
        <f t="shared" ref="AE54" si="75">IF(AD56&gt;80,"Catastrófico",IF(AD56&gt;60,"Mayor",IF(AD56&gt;40,"Moderado",IF(AD56&gt;20,"Menor","Leve"))))</f>
        <v>Moderado</v>
      </c>
      <c r="AF54" s="325" t="str">
        <f t="shared" ref="AF54" si="76">CONCATENATE(AC54,AE54)</f>
        <v>Muy BajaModerado</v>
      </c>
      <c r="AG54" s="319" t="str">
        <f>VLOOKUP(AF54,'RIESGO RESIDUAL'!$A$1:$B$25,2,0)</f>
        <v>Moderado</v>
      </c>
      <c r="AH54" s="320" t="str">
        <f t="shared" ref="AH54" si="77">IF(AG54="Baja","Aceptar-Asumir","Reducir-Mitigar")</f>
        <v>Reducir-Mitigar</v>
      </c>
      <c r="AI54" s="184" t="s">
        <v>592</v>
      </c>
      <c r="AJ54" s="178" t="s">
        <v>435</v>
      </c>
      <c r="AK54" s="346">
        <v>44803</v>
      </c>
      <c r="AL54" s="315" t="s">
        <v>409</v>
      </c>
      <c r="AM54" s="315"/>
      <c r="AN54" s="315"/>
    </row>
    <row r="55" spans="2:40" ht="30">
      <c r="B55" s="401"/>
      <c r="C55" s="323"/>
      <c r="D55" s="321"/>
      <c r="E55" s="321"/>
      <c r="F55" s="321"/>
      <c r="G55" s="321"/>
      <c r="H55" s="345"/>
      <c r="I55" s="325" t="s">
        <v>56</v>
      </c>
      <c r="J55" s="325"/>
      <c r="K55" s="325" t="e">
        <f>VLOOKUP(L55,'PARÁMETROS RIESGOS GESTIÓN'!D61:F66,3,TRUE)</f>
        <v>#N/A</v>
      </c>
      <c r="L55" s="325">
        <f t="shared" si="0"/>
        <v>100</v>
      </c>
      <c r="M55" s="325" t="s">
        <v>101</v>
      </c>
      <c r="N55" s="325">
        <f t="shared" si="15"/>
        <v>100</v>
      </c>
      <c r="O55" s="325">
        <f t="shared" si="2"/>
        <v>100100</v>
      </c>
      <c r="P55" s="319" t="e">
        <f>VLOOKUP(O55,'Zona de riesgo'!B61:C85,2)</f>
        <v>#N/A</v>
      </c>
      <c r="Q55" s="174" t="s">
        <v>593</v>
      </c>
      <c r="R55" s="187" t="s">
        <v>20</v>
      </c>
      <c r="S55" s="175"/>
      <c r="T55" s="175" t="s">
        <v>109</v>
      </c>
      <c r="U55" s="176">
        <f t="shared" si="3"/>
        <v>25</v>
      </c>
      <c r="V55" s="175" t="s">
        <v>117</v>
      </c>
      <c r="W55" s="176">
        <f t="shared" si="4"/>
        <v>15</v>
      </c>
      <c r="X55" s="177">
        <f t="shared" si="7"/>
        <v>40</v>
      </c>
      <c r="Y55" s="175" t="s">
        <v>120</v>
      </c>
      <c r="Z55" s="175" t="s">
        <v>125</v>
      </c>
      <c r="AA55" s="175" t="s">
        <v>129</v>
      </c>
      <c r="AB55" s="177">
        <f>IF(T55="preventivo",(AB54-(AB54*X55/100)),IF(T55="detectivo",(AB54-(AB54*X55/100)),IF(T55="Correctivo",AB54,AB54)))</f>
        <v>14.4</v>
      </c>
      <c r="AC55" s="325"/>
      <c r="AD55" s="175">
        <f>IF(T55="Correctivo",(AD54-(AD54*X54/100)),AD54)</f>
        <v>60</v>
      </c>
      <c r="AE55" s="325"/>
      <c r="AF55" s="325"/>
      <c r="AG55" s="319"/>
      <c r="AH55" s="320"/>
      <c r="AI55" s="184"/>
      <c r="AJ55" s="178"/>
      <c r="AK55" s="315"/>
      <c r="AL55" s="315"/>
      <c r="AM55" s="315"/>
      <c r="AN55" s="315"/>
    </row>
    <row r="56" spans="2:40" ht="15">
      <c r="B56" s="401"/>
      <c r="C56" s="324"/>
      <c r="D56" s="321"/>
      <c r="E56" s="321"/>
      <c r="F56" s="321"/>
      <c r="G56" s="321"/>
      <c r="H56" s="345"/>
      <c r="I56" s="325" t="s">
        <v>56</v>
      </c>
      <c r="J56" s="325"/>
      <c r="K56" s="325" t="e">
        <f>VLOOKUP(L56,'PARÁMETROS RIESGOS GESTIÓN'!D62:F67,3,TRUE)</f>
        <v>#N/A</v>
      </c>
      <c r="L56" s="325">
        <f t="shared" si="0"/>
        <v>100</v>
      </c>
      <c r="M56" s="325" t="s">
        <v>101</v>
      </c>
      <c r="N56" s="325">
        <f t="shared" si="15"/>
        <v>100</v>
      </c>
      <c r="O56" s="325">
        <f t="shared" si="2"/>
        <v>100100</v>
      </c>
      <c r="P56" s="319" t="e">
        <f>VLOOKUP(O56,'Zona de riesgo'!B62:C86,2)</f>
        <v>#N/A</v>
      </c>
      <c r="Q56" s="174"/>
      <c r="R56" s="187"/>
      <c r="S56" s="175"/>
      <c r="T56" s="175"/>
      <c r="U56" s="176"/>
      <c r="V56" s="175"/>
      <c r="W56" s="176"/>
      <c r="X56" s="177"/>
      <c r="Y56" s="175"/>
      <c r="Z56" s="175"/>
      <c r="AA56" s="175"/>
      <c r="AB56" s="177">
        <f>IF(T56="preventivo",(AB55-(AB55*X56/100)),IF(T56="detectivo",(AB55-(AB55*X56/100)),IF(T56="Correctivo",AB55,AB55)))</f>
        <v>14.4</v>
      </c>
      <c r="AC56" s="325"/>
      <c r="AD56" s="175">
        <f>IF(T56="Correctivo",(AD55-(AD55*U55/100)),AD55)</f>
        <v>60</v>
      </c>
      <c r="AE56" s="325"/>
      <c r="AF56" s="325"/>
      <c r="AG56" s="319"/>
      <c r="AH56" s="320"/>
      <c r="AI56" s="184"/>
      <c r="AJ56" s="178"/>
      <c r="AK56" s="315"/>
      <c r="AL56" s="315"/>
      <c r="AM56" s="315"/>
      <c r="AN56" s="315"/>
    </row>
    <row r="57" spans="2:40" ht="42.75" customHeight="1">
      <c r="B57" s="401">
        <v>44</v>
      </c>
      <c r="C57" s="322" t="s">
        <v>742</v>
      </c>
      <c r="D57" s="322" t="s">
        <v>527</v>
      </c>
      <c r="E57" s="329" t="s">
        <v>596</v>
      </c>
      <c r="F57" s="329" t="s">
        <v>597</v>
      </c>
      <c r="G57" s="329" t="s">
        <v>598</v>
      </c>
      <c r="H57" s="329" t="s">
        <v>599</v>
      </c>
      <c r="I57" s="331" t="s">
        <v>50</v>
      </c>
      <c r="J57" s="331">
        <v>1</v>
      </c>
      <c r="K57" s="325" t="str">
        <f>VLOOKUP(L57,'PARÁMETROS RIESGOS GESTIÓN'!$D$12:$F$17,3,0)</f>
        <v>Muy Baja</v>
      </c>
      <c r="L57" s="325">
        <f t="shared" ref="L57" si="78">IF(J57&lt;=2,20,IF(J57&lt;=24,40,IF(J57&lt;=500,60,IF(J57&lt;="5000",80,100))))</f>
        <v>20</v>
      </c>
      <c r="M57" s="331" t="s">
        <v>100</v>
      </c>
      <c r="N57" s="325">
        <f t="shared" si="15"/>
        <v>80</v>
      </c>
      <c r="O57" s="325">
        <f t="shared" si="2"/>
        <v>2080</v>
      </c>
      <c r="P57" s="319" t="str">
        <f>VLOOKUP(O57,'Zona de riesgo'!$B$9:$C$33,2)</f>
        <v>Baja</v>
      </c>
      <c r="Q57" s="197" t="s">
        <v>600</v>
      </c>
      <c r="R57" s="197"/>
      <c r="S57" s="180"/>
      <c r="T57" s="175" t="s">
        <v>111</v>
      </c>
      <c r="U57" s="176">
        <f t="shared" si="3"/>
        <v>15</v>
      </c>
      <c r="V57" s="175" t="s">
        <v>117</v>
      </c>
      <c r="W57" s="176">
        <f t="shared" si="4"/>
        <v>15</v>
      </c>
      <c r="X57" s="177">
        <f t="shared" si="7"/>
        <v>30</v>
      </c>
      <c r="Y57" s="180" t="s">
        <v>123</v>
      </c>
      <c r="Z57" s="180" t="s">
        <v>125</v>
      </c>
      <c r="AA57" s="180" t="s">
        <v>129</v>
      </c>
      <c r="AB57" s="177">
        <f>IF(T57="Correctivo",L57,(L57-(L57*X57/100)))</f>
        <v>14</v>
      </c>
      <c r="AC57" s="325" t="str">
        <f t="shared" ref="AC57" si="79">IF(AB59&gt;80,"Muy Alta",IF(AB59&gt;60,"Alta",IF(AB59&gt;40,"Media",IF(AB59&gt;20,"Baja","Muy Baja"))))</f>
        <v>Muy Baja</v>
      </c>
      <c r="AD57" s="175">
        <f>IF(T57="Correctivo",(N57-(N57*X57)/100),N57)</f>
        <v>80</v>
      </c>
      <c r="AE57" s="325" t="str">
        <f t="shared" ref="AE57" si="80">IF(AD59&gt;80,"Catastrófico",IF(AD59&gt;60,"Mayor",IF(AD59&gt;40,"Moderado",IF(AD59&gt;20,"Menor","Leve"))))</f>
        <v>Mayor</v>
      </c>
      <c r="AF57" s="325" t="str">
        <f t="shared" ref="AF57:AF72" si="81">CONCATENATE(AC57,AE57)</f>
        <v>Muy BajaMayor</v>
      </c>
      <c r="AG57" s="319" t="str">
        <f>VLOOKUP(AF57,'RIESGO RESIDUAL'!$A$1:$B$25,2,0)</f>
        <v xml:space="preserve">Alto </v>
      </c>
      <c r="AH57" s="320" t="str">
        <f t="shared" ref="AH57:AH63" si="82">IF(AG57="Baja","Aceptar-Asumir","Reducir-Mitigar")</f>
        <v>Reducir-Mitigar</v>
      </c>
      <c r="AI57" s="327" t="s">
        <v>601</v>
      </c>
      <c r="AJ57" s="342" t="s">
        <v>602</v>
      </c>
      <c r="AK57" s="341">
        <v>44742</v>
      </c>
      <c r="AL57" s="327" t="s">
        <v>603</v>
      </c>
      <c r="AM57" s="327" t="s">
        <v>365</v>
      </c>
      <c r="AN57" s="327" t="s">
        <v>604</v>
      </c>
    </row>
    <row r="58" spans="2:40" ht="30">
      <c r="B58" s="401"/>
      <c r="C58" s="323"/>
      <c r="D58" s="323"/>
      <c r="E58" s="330"/>
      <c r="F58" s="330"/>
      <c r="G58" s="330"/>
      <c r="H58" s="330"/>
      <c r="I58" s="328"/>
      <c r="J58" s="328"/>
      <c r="K58" s="325" t="e">
        <f>VLOOKUP(L58,'PARÁMETROS RIESGOS GESTIÓN'!D64:F69,3,TRUE)</f>
        <v>#N/A</v>
      </c>
      <c r="L58" s="325">
        <f t="shared" si="0"/>
        <v>100</v>
      </c>
      <c r="M58" s="328"/>
      <c r="N58" s="325">
        <f t="shared" si="15"/>
        <v>0</v>
      </c>
      <c r="O58" s="325">
        <f t="shared" si="2"/>
        <v>1000</v>
      </c>
      <c r="P58" s="319" t="e">
        <f>VLOOKUP(O58,'Zona de riesgo'!B64:C88,2)</f>
        <v>#N/A</v>
      </c>
      <c r="Q58" s="197" t="s">
        <v>605</v>
      </c>
      <c r="R58" s="197"/>
      <c r="S58" s="180"/>
      <c r="T58" s="175" t="s">
        <v>109</v>
      </c>
      <c r="U58" s="176">
        <f t="shared" si="3"/>
        <v>25</v>
      </c>
      <c r="V58" s="175" t="s">
        <v>117</v>
      </c>
      <c r="W58" s="176">
        <f t="shared" si="4"/>
        <v>15</v>
      </c>
      <c r="X58" s="177">
        <f t="shared" si="7"/>
        <v>40</v>
      </c>
      <c r="Y58" s="180" t="s">
        <v>120</v>
      </c>
      <c r="Z58" s="180" t="s">
        <v>125</v>
      </c>
      <c r="AA58" s="180" t="s">
        <v>129</v>
      </c>
      <c r="AB58" s="177">
        <f>IF(T58="preventivo",(AB57-(AB57*X58/100)),IF(T58="detectivo",(AB57-(AB57*X58/100)),IF(T58="Correctivo",AB57,AB57)))</f>
        <v>8.4</v>
      </c>
      <c r="AC58" s="325"/>
      <c r="AD58" s="175">
        <f>IF(T58="Correctivo",(AD57-(AD57*X57/100)),AD57)</f>
        <v>80</v>
      </c>
      <c r="AE58" s="325"/>
      <c r="AF58" s="325"/>
      <c r="AG58" s="319"/>
      <c r="AH58" s="320"/>
      <c r="AI58" s="328"/>
      <c r="AJ58" s="343"/>
      <c r="AK58" s="328"/>
      <c r="AL58" s="328"/>
      <c r="AM58" s="328"/>
      <c r="AN58" s="328"/>
    </row>
    <row r="59" spans="2:40" ht="30">
      <c r="B59" s="401"/>
      <c r="C59" s="324"/>
      <c r="D59" s="324"/>
      <c r="E59" s="330"/>
      <c r="F59" s="330"/>
      <c r="G59" s="330"/>
      <c r="H59" s="330"/>
      <c r="I59" s="328"/>
      <c r="J59" s="328"/>
      <c r="K59" s="325" t="e">
        <f>VLOOKUP(L59,'PARÁMETROS RIESGOS GESTIÓN'!D65:F70,3,TRUE)</f>
        <v>#N/A</v>
      </c>
      <c r="L59" s="325">
        <f t="shared" si="0"/>
        <v>100</v>
      </c>
      <c r="M59" s="328"/>
      <c r="N59" s="325">
        <f t="shared" si="15"/>
        <v>0</v>
      </c>
      <c r="O59" s="325">
        <f t="shared" si="2"/>
        <v>1000</v>
      </c>
      <c r="P59" s="319" t="e">
        <f>VLOOKUP(O59,'Zona de riesgo'!B65:C89,2)</f>
        <v>#N/A</v>
      </c>
      <c r="Q59" s="197" t="s">
        <v>606</v>
      </c>
      <c r="R59" s="197"/>
      <c r="S59" s="180"/>
      <c r="T59" s="175" t="s">
        <v>109</v>
      </c>
      <c r="U59" s="176">
        <f t="shared" si="3"/>
        <v>25</v>
      </c>
      <c r="V59" s="175" t="s">
        <v>117</v>
      </c>
      <c r="W59" s="176">
        <f t="shared" si="4"/>
        <v>15</v>
      </c>
      <c r="X59" s="177">
        <f t="shared" si="7"/>
        <v>40</v>
      </c>
      <c r="Y59" s="180" t="s">
        <v>123</v>
      </c>
      <c r="Z59" s="180" t="s">
        <v>125</v>
      </c>
      <c r="AA59" s="180" t="s">
        <v>131</v>
      </c>
      <c r="AB59" s="177">
        <f>IF(T59="preventivo",(AB58-(AB58*X59/100)),IF(T59="detectivo",(AB58-(AB58*X59/100)),IF(T59="Correctivo",AB58,AB58)))</f>
        <v>5.0400000000000009</v>
      </c>
      <c r="AC59" s="325"/>
      <c r="AD59" s="175">
        <f>IF(T59="Correctivo",(AD58-(AD58*U58/100)),AD58)</f>
        <v>80</v>
      </c>
      <c r="AE59" s="325"/>
      <c r="AF59" s="325"/>
      <c r="AG59" s="319"/>
      <c r="AH59" s="320"/>
      <c r="AI59" s="328"/>
      <c r="AJ59" s="344"/>
      <c r="AK59" s="328"/>
      <c r="AL59" s="328"/>
      <c r="AM59" s="328"/>
      <c r="AN59" s="328"/>
    </row>
    <row r="60" spans="2:40" ht="42.75" customHeight="1">
      <c r="B60" s="401">
        <v>45</v>
      </c>
      <c r="C60" s="322" t="s">
        <v>742</v>
      </c>
      <c r="D60" s="322" t="s">
        <v>527</v>
      </c>
      <c r="E60" s="329" t="s">
        <v>596</v>
      </c>
      <c r="F60" s="329" t="s">
        <v>597</v>
      </c>
      <c r="G60" s="329" t="s">
        <v>598</v>
      </c>
      <c r="H60" s="329" t="s">
        <v>607</v>
      </c>
      <c r="I60" s="331" t="s">
        <v>50</v>
      </c>
      <c r="J60" s="331">
        <v>1</v>
      </c>
      <c r="K60" s="325" t="str">
        <f>VLOOKUP(L60,'PARÁMETROS RIESGOS GESTIÓN'!$D$12:$F$17,3,0)</f>
        <v>Muy Baja</v>
      </c>
      <c r="L60" s="325">
        <f t="shared" ref="L60" si="83">IF(J60&lt;=2,20,IF(J60&lt;=24,40,IF(J60&lt;=500,60,IF(J60&lt;="5000",80,100))))</f>
        <v>20</v>
      </c>
      <c r="M60" s="331" t="s">
        <v>100</v>
      </c>
      <c r="N60" s="325">
        <f t="shared" si="15"/>
        <v>80</v>
      </c>
      <c r="O60" s="325">
        <f t="shared" si="2"/>
        <v>2080</v>
      </c>
      <c r="P60" s="319" t="str">
        <f>VLOOKUP(O60,'Zona de riesgo'!$B$9:$C$33,2)</f>
        <v>Baja</v>
      </c>
      <c r="Q60" s="197" t="s">
        <v>600</v>
      </c>
      <c r="R60" s="197"/>
      <c r="S60" s="180"/>
      <c r="T60" s="175" t="s">
        <v>111</v>
      </c>
      <c r="U60" s="176">
        <f t="shared" si="3"/>
        <v>15</v>
      </c>
      <c r="V60" s="175" t="s">
        <v>117</v>
      </c>
      <c r="W60" s="176">
        <f t="shared" si="4"/>
        <v>15</v>
      </c>
      <c r="X60" s="177">
        <f t="shared" si="7"/>
        <v>30</v>
      </c>
      <c r="Y60" s="180" t="s">
        <v>120</v>
      </c>
      <c r="Z60" s="180" t="s">
        <v>125</v>
      </c>
      <c r="AA60" s="180" t="s">
        <v>129</v>
      </c>
      <c r="AB60" s="177">
        <f>IF(T60="Correctivo",L60,(L60-(L60*X60/100)))</f>
        <v>14</v>
      </c>
      <c r="AC60" s="325" t="str">
        <f>IF(AB59&gt;80,"Muy Alta",IF(AB59&gt;60,"Alta",IF(AB59&gt;40,"Media",IF(AB59&gt;20,"Baja","Muy Baja"))))</f>
        <v>Muy Baja</v>
      </c>
      <c r="AD60" s="175">
        <f>IF(T60="Correctivo",(N60-(N60*X60)/100),N60)</f>
        <v>80</v>
      </c>
      <c r="AE60" s="325" t="str">
        <f>IF(AD62&gt;80,"Catastrófico",IF(AD62&gt;60,"Mayor",IF(AD62&gt;40,"Moderado",IF(AD62&gt;20,"Menor","Leve"))))</f>
        <v>Mayor</v>
      </c>
      <c r="AF60" s="316" t="str">
        <f t="shared" si="81"/>
        <v>Muy BajaMayor</v>
      </c>
      <c r="AG60" s="319" t="str">
        <f>VLOOKUP(AF60,'RIESGO RESIDUAL'!$A$1:$B$25,2,0)</f>
        <v xml:space="preserve">Alto </v>
      </c>
      <c r="AH60" s="320" t="str">
        <f t="shared" si="82"/>
        <v>Reducir-Mitigar</v>
      </c>
      <c r="AI60" s="181" t="s">
        <v>608</v>
      </c>
      <c r="AJ60" s="181" t="s">
        <v>602</v>
      </c>
      <c r="AK60" s="341">
        <v>44742</v>
      </c>
      <c r="AL60" s="327" t="s">
        <v>603</v>
      </c>
      <c r="AM60" s="327" t="s">
        <v>365</v>
      </c>
      <c r="AN60" s="327" t="s">
        <v>604</v>
      </c>
    </row>
    <row r="61" spans="2:40" ht="42.75" customHeight="1">
      <c r="B61" s="401"/>
      <c r="C61" s="323"/>
      <c r="D61" s="323"/>
      <c r="E61" s="329"/>
      <c r="F61" s="329"/>
      <c r="G61" s="329"/>
      <c r="H61" s="329"/>
      <c r="I61" s="331"/>
      <c r="J61" s="331"/>
      <c r="K61" s="325" t="e">
        <f>VLOOKUP(L61,'PARÁMETROS RIESGOS GESTIÓN'!D67:F72,3,TRUE)</f>
        <v>#N/A</v>
      </c>
      <c r="L61" s="325">
        <f t="shared" si="0"/>
        <v>100</v>
      </c>
      <c r="M61" s="331"/>
      <c r="N61" s="325">
        <f t="shared" si="15"/>
        <v>0</v>
      </c>
      <c r="O61" s="325">
        <f t="shared" si="2"/>
        <v>1000</v>
      </c>
      <c r="P61" s="319" t="e">
        <f>VLOOKUP(O61,'Zona de riesgo'!B67:C91,2)</f>
        <v>#N/A</v>
      </c>
      <c r="Q61" s="197"/>
      <c r="R61" s="197"/>
      <c r="S61" s="180"/>
      <c r="T61" s="175"/>
      <c r="U61" s="176"/>
      <c r="V61" s="175"/>
      <c r="W61" s="176"/>
      <c r="X61" s="177"/>
      <c r="Y61" s="180"/>
      <c r="Z61" s="180"/>
      <c r="AA61" s="180"/>
      <c r="AB61" s="177">
        <f>IF(T61="preventivo",(AB60-(AB60*X61/100)),IF(T61="detectivo",(AB60-(AB60*X61/100)),IF(T61="Correctivo",AB60,AB60)))</f>
        <v>14</v>
      </c>
      <c r="AC61" s="325"/>
      <c r="AD61" s="175">
        <f>IF(T61="Correctivo",(AD60-(AD60*X60/100)),AD60)</f>
        <v>80</v>
      </c>
      <c r="AE61" s="325"/>
      <c r="AF61" s="317"/>
      <c r="AG61" s="319"/>
      <c r="AH61" s="320"/>
      <c r="AI61" s="181"/>
      <c r="AJ61" s="181"/>
      <c r="AK61" s="341"/>
      <c r="AL61" s="327"/>
      <c r="AM61" s="327"/>
      <c r="AN61" s="327"/>
    </row>
    <row r="62" spans="2:40" ht="30">
      <c r="B62" s="401"/>
      <c r="C62" s="324"/>
      <c r="D62" s="324"/>
      <c r="E62" s="330"/>
      <c r="F62" s="330"/>
      <c r="G62" s="330"/>
      <c r="H62" s="330"/>
      <c r="I62" s="328"/>
      <c r="J62" s="328"/>
      <c r="K62" s="325" t="e">
        <f>VLOOKUP(L62,'PARÁMETROS RIESGOS GESTIÓN'!D68:F73,3,TRUE)</f>
        <v>#N/A</v>
      </c>
      <c r="L62" s="325">
        <f t="shared" si="0"/>
        <v>100</v>
      </c>
      <c r="M62" s="328"/>
      <c r="N62" s="325">
        <f t="shared" si="15"/>
        <v>0</v>
      </c>
      <c r="O62" s="325">
        <f t="shared" si="2"/>
        <v>1000</v>
      </c>
      <c r="P62" s="319" t="e">
        <f>VLOOKUP(O62,'Zona de riesgo'!B68:C92,2)</f>
        <v>#N/A</v>
      </c>
      <c r="Q62" s="197" t="s">
        <v>609</v>
      </c>
      <c r="R62" s="197"/>
      <c r="S62" s="180"/>
      <c r="T62" s="175" t="s">
        <v>109</v>
      </c>
      <c r="U62" s="176">
        <f t="shared" si="3"/>
        <v>25</v>
      </c>
      <c r="V62" s="175" t="s">
        <v>117</v>
      </c>
      <c r="W62" s="176">
        <f t="shared" si="4"/>
        <v>15</v>
      </c>
      <c r="X62" s="177">
        <f t="shared" si="7"/>
        <v>40</v>
      </c>
      <c r="Y62" s="180" t="s">
        <v>123</v>
      </c>
      <c r="Z62" s="180" t="s">
        <v>125</v>
      </c>
      <c r="AA62" s="180" t="s">
        <v>131</v>
      </c>
      <c r="AB62" s="177">
        <f>IF(T62="preventivo",(AB61-(AB61*X62/100)),IF(T62="detectivo",(AB61-(AB61*X62/100)),IF(T62="Correctivo",AB61,AB61)))</f>
        <v>8.4</v>
      </c>
      <c r="AC62" s="325"/>
      <c r="AD62" s="175">
        <f>IF(T62="Correctivo",(AD61-(AD61*U61/100)),AD61)</f>
        <v>80</v>
      </c>
      <c r="AE62" s="325"/>
      <c r="AF62" s="318"/>
      <c r="AG62" s="319"/>
      <c r="AH62" s="320"/>
      <c r="AI62" s="183"/>
      <c r="AJ62" s="183"/>
      <c r="AK62" s="328"/>
      <c r="AL62" s="328"/>
      <c r="AM62" s="328"/>
      <c r="AN62" s="328"/>
    </row>
    <row r="63" spans="2:40" ht="28.5" customHeight="1">
      <c r="B63" s="401">
        <v>46</v>
      </c>
      <c r="C63" s="322" t="s">
        <v>742</v>
      </c>
      <c r="D63" s="322" t="s">
        <v>527</v>
      </c>
      <c r="E63" s="329" t="s">
        <v>610</v>
      </c>
      <c r="F63" s="329" t="s">
        <v>611</v>
      </c>
      <c r="G63" s="329" t="s">
        <v>612</v>
      </c>
      <c r="H63" s="329" t="s">
        <v>613</v>
      </c>
      <c r="I63" s="331" t="s">
        <v>50</v>
      </c>
      <c r="J63" s="331">
        <v>50</v>
      </c>
      <c r="K63" s="325" t="str">
        <f>VLOOKUP(L63,'PARÁMETROS RIESGOS GESTIÓN'!$D$12:$F$17,3,0)</f>
        <v>Media</v>
      </c>
      <c r="L63" s="325">
        <f t="shared" ref="L63" si="84">IF(J63&lt;=2,20,IF(J63&lt;=24,40,IF(J63&lt;=500,60,IF(J63&lt;="5000",80,100))))</f>
        <v>60</v>
      </c>
      <c r="M63" s="331" t="s">
        <v>13</v>
      </c>
      <c r="N63" s="325">
        <f t="shared" si="15"/>
        <v>60</v>
      </c>
      <c r="O63" s="325">
        <f t="shared" si="2"/>
        <v>6060</v>
      </c>
      <c r="P63" s="319" t="str">
        <f>VLOOKUP(O63,'Zona de riesgo'!$B$9:$C$33,2)</f>
        <v>Moderado</v>
      </c>
      <c r="Q63" s="197" t="s">
        <v>614</v>
      </c>
      <c r="R63" s="197"/>
      <c r="S63" s="180"/>
      <c r="T63" s="175" t="s">
        <v>109</v>
      </c>
      <c r="U63" s="176">
        <f t="shared" si="3"/>
        <v>25</v>
      </c>
      <c r="V63" s="175" t="s">
        <v>117</v>
      </c>
      <c r="W63" s="176">
        <f t="shared" si="4"/>
        <v>15</v>
      </c>
      <c r="X63" s="177">
        <f t="shared" si="7"/>
        <v>40</v>
      </c>
      <c r="Y63" s="180" t="s">
        <v>120</v>
      </c>
      <c r="Z63" s="180" t="s">
        <v>125</v>
      </c>
      <c r="AA63" s="180" t="s">
        <v>131</v>
      </c>
      <c r="AB63" s="177">
        <f>IF(T63="Correctivo",L63,(L63-(L63*X63/100)))</f>
        <v>36</v>
      </c>
      <c r="AC63" s="325" t="str">
        <f t="shared" ref="AC63" si="85">IF(AB65&gt;80,"Muy Alta",IF(AB65&gt;60,"Alta",IF(AB65&gt;40,"Media",IF(AB65&gt;20,"Baja","Muy Baja"))))</f>
        <v>Muy Baja</v>
      </c>
      <c r="AD63" s="175">
        <f>IF(T63="Correctivo",(N63-(N63*X63)/100),N63)</f>
        <v>60</v>
      </c>
      <c r="AE63" s="325" t="str">
        <f t="shared" ref="AE63" si="86">IF(AD65&gt;80,"Catastrófico",IF(AD65&gt;60,"Mayor",IF(AD65&gt;40,"Moderado",IF(AD65&gt;20,"Menor","Leve"))))</f>
        <v>Moderado</v>
      </c>
      <c r="AF63" s="316" t="str">
        <f t="shared" si="81"/>
        <v>Muy BajaModerado</v>
      </c>
      <c r="AG63" s="319" t="str">
        <f>VLOOKUP(AF63,'RIESGO RESIDUAL'!$A$1:$B$25,2,0)</f>
        <v>Moderado</v>
      </c>
      <c r="AH63" s="320" t="str">
        <f t="shared" si="82"/>
        <v>Reducir-Mitigar</v>
      </c>
      <c r="AI63" s="181" t="s">
        <v>615</v>
      </c>
      <c r="AJ63" s="181" t="s">
        <v>602</v>
      </c>
      <c r="AK63" s="341">
        <v>44742</v>
      </c>
      <c r="AL63" s="327" t="s">
        <v>603</v>
      </c>
      <c r="AM63" s="327" t="s">
        <v>365</v>
      </c>
      <c r="AN63" s="327" t="s">
        <v>604</v>
      </c>
    </row>
    <row r="64" spans="2:40" ht="15">
      <c r="B64" s="401"/>
      <c r="C64" s="323"/>
      <c r="D64" s="323"/>
      <c r="E64" s="330"/>
      <c r="F64" s="330"/>
      <c r="G64" s="330"/>
      <c r="H64" s="330"/>
      <c r="I64" s="328"/>
      <c r="J64" s="328"/>
      <c r="K64" s="325" t="e">
        <f>VLOOKUP(L64,'PARÁMETROS RIESGOS GESTIÓN'!D70:F75,3,TRUE)</f>
        <v>#N/A</v>
      </c>
      <c r="L64" s="325">
        <f t="shared" si="0"/>
        <v>100</v>
      </c>
      <c r="M64" s="328"/>
      <c r="N64" s="325">
        <f t="shared" si="15"/>
        <v>0</v>
      </c>
      <c r="O64" s="325">
        <f t="shared" si="2"/>
        <v>1000</v>
      </c>
      <c r="P64" s="319" t="e">
        <f>VLOOKUP(O64,'Zona de riesgo'!B70:C94,2)</f>
        <v>#N/A</v>
      </c>
      <c r="Q64" s="197" t="s">
        <v>616</v>
      </c>
      <c r="R64" s="197"/>
      <c r="S64" s="180"/>
      <c r="T64" s="175" t="s">
        <v>109</v>
      </c>
      <c r="U64" s="176">
        <f t="shared" si="3"/>
        <v>25</v>
      </c>
      <c r="V64" s="175" t="s">
        <v>117</v>
      </c>
      <c r="W64" s="176">
        <f t="shared" si="4"/>
        <v>15</v>
      </c>
      <c r="X64" s="177">
        <f t="shared" si="7"/>
        <v>40</v>
      </c>
      <c r="Y64" s="180" t="s">
        <v>120</v>
      </c>
      <c r="Z64" s="180" t="s">
        <v>127</v>
      </c>
      <c r="AA64" s="180" t="s">
        <v>129</v>
      </c>
      <c r="AB64" s="177">
        <f>IF(T64="preventivo",(AB63-(AB63*X64/100)),IF(T64="detectivo",(AB63-(AB63*X64/100)),IF(T64="Correctivo",AB63,AB63)))</f>
        <v>21.6</v>
      </c>
      <c r="AC64" s="325"/>
      <c r="AD64" s="175">
        <f>IF(T64="Correctivo",(AD63-(AD63*X63/100)),AD63)</f>
        <v>60</v>
      </c>
      <c r="AE64" s="325"/>
      <c r="AF64" s="317"/>
      <c r="AG64" s="319"/>
      <c r="AH64" s="320"/>
      <c r="AI64" s="183"/>
      <c r="AJ64" s="183"/>
      <c r="AK64" s="328"/>
      <c r="AL64" s="328"/>
      <c r="AM64" s="328"/>
      <c r="AN64" s="328"/>
    </row>
    <row r="65" spans="2:40" ht="15">
      <c r="B65" s="401"/>
      <c r="C65" s="324"/>
      <c r="D65" s="324"/>
      <c r="E65" s="330"/>
      <c r="F65" s="330"/>
      <c r="G65" s="330"/>
      <c r="H65" s="330"/>
      <c r="I65" s="328"/>
      <c r="J65" s="328"/>
      <c r="K65" s="325" t="e">
        <f>VLOOKUP(L65,'PARÁMETROS RIESGOS GESTIÓN'!D71:F76,3,TRUE)</f>
        <v>#N/A</v>
      </c>
      <c r="L65" s="325">
        <f t="shared" si="0"/>
        <v>100</v>
      </c>
      <c r="M65" s="328"/>
      <c r="N65" s="325">
        <f t="shared" si="15"/>
        <v>0</v>
      </c>
      <c r="O65" s="325">
        <f t="shared" si="2"/>
        <v>1000</v>
      </c>
      <c r="P65" s="319" t="e">
        <f>VLOOKUP(O65,'Zona de riesgo'!B71:C95,2)</f>
        <v>#N/A</v>
      </c>
      <c r="Q65" s="197" t="s">
        <v>617</v>
      </c>
      <c r="R65" s="197"/>
      <c r="S65" s="180"/>
      <c r="T65" s="175" t="s">
        <v>109</v>
      </c>
      <c r="U65" s="176">
        <f t="shared" si="3"/>
        <v>25</v>
      </c>
      <c r="V65" s="175" t="s">
        <v>117</v>
      </c>
      <c r="W65" s="176">
        <f t="shared" si="4"/>
        <v>15</v>
      </c>
      <c r="X65" s="177">
        <f t="shared" si="7"/>
        <v>40</v>
      </c>
      <c r="Y65" s="180" t="s">
        <v>120</v>
      </c>
      <c r="Z65" s="180" t="s">
        <v>127</v>
      </c>
      <c r="AA65" s="180" t="s">
        <v>131</v>
      </c>
      <c r="AB65" s="177">
        <f>IF(T65="preventivo",(AB64-(AB64*X65/100)),IF(T65="detectivo",(AB64-(AB64*X65/100)),IF(T65="Correctivo",AB64,AB64)))</f>
        <v>12.96</v>
      </c>
      <c r="AC65" s="325"/>
      <c r="AD65" s="175">
        <f>IF(T65="Correctivo",(AD64-(AD64*U64/100)),AD64)</f>
        <v>60</v>
      </c>
      <c r="AE65" s="325"/>
      <c r="AF65" s="318"/>
      <c r="AG65" s="319"/>
      <c r="AH65" s="320"/>
      <c r="AI65" s="183"/>
      <c r="AJ65" s="183"/>
      <c r="AK65" s="328"/>
      <c r="AL65" s="328"/>
      <c r="AM65" s="328"/>
      <c r="AN65" s="328"/>
    </row>
    <row r="66" spans="2:40" ht="45">
      <c r="B66" s="401">
        <v>47</v>
      </c>
      <c r="C66" s="322" t="s">
        <v>742</v>
      </c>
      <c r="D66" s="322" t="s">
        <v>527</v>
      </c>
      <c r="E66" s="329" t="s">
        <v>618</v>
      </c>
      <c r="F66" s="329" t="s">
        <v>619</v>
      </c>
      <c r="G66" s="329" t="s">
        <v>620</v>
      </c>
      <c r="H66" s="329" t="s">
        <v>621</v>
      </c>
      <c r="I66" s="331" t="s">
        <v>50</v>
      </c>
      <c r="J66" s="331">
        <v>1</v>
      </c>
      <c r="K66" s="325" t="str">
        <f>VLOOKUP(L66,'PARÁMETROS RIESGOS GESTIÓN'!$D$12:$F$17,3,0)</f>
        <v>Muy Baja</v>
      </c>
      <c r="L66" s="325">
        <f t="shared" ref="L66" si="87">IF(J66&lt;=2,20,IF(J66&lt;=24,40,IF(J66&lt;=500,60,IF(J66&lt;="5000",80,100))))</f>
        <v>20</v>
      </c>
      <c r="M66" s="331" t="s">
        <v>99</v>
      </c>
      <c r="N66" s="325">
        <f t="shared" si="15"/>
        <v>40</v>
      </c>
      <c r="O66" s="325">
        <f t="shared" si="2"/>
        <v>2040</v>
      </c>
      <c r="P66" s="319" t="str">
        <f>VLOOKUP(O66,'Zona de riesgo'!$B$9:$C$33,2)</f>
        <v>Baja</v>
      </c>
      <c r="Q66" s="197" t="s">
        <v>622</v>
      </c>
      <c r="R66" s="197"/>
      <c r="S66" s="180"/>
      <c r="T66" s="175" t="s">
        <v>109</v>
      </c>
      <c r="U66" s="176">
        <f t="shared" si="3"/>
        <v>25</v>
      </c>
      <c r="V66" s="175" t="s">
        <v>117</v>
      </c>
      <c r="W66" s="176">
        <f t="shared" si="4"/>
        <v>15</v>
      </c>
      <c r="X66" s="177">
        <f t="shared" si="7"/>
        <v>40</v>
      </c>
      <c r="Y66" s="180" t="s">
        <v>120</v>
      </c>
      <c r="Z66" s="180" t="s">
        <v>127</v>
      </c>
      <c r="AA66" s="180" t="s">
        <v>131</v>
      </c>
      <c r="AB66" s="177">
        <f>IF(T66="Correctivo",L66,(L66-(L66*X66/100)))</f>
        <v>12</v>
      </c>
      <c r="AC66" s="325" t="str">
        <f t="shared" ref="AC66" si="88">IF(AB68&gt;80,"Muy Alta",IF(AB68&gt;60,"Alta",IF(AB68&gt;40,"Media",IF(AB68&gt;20,"Baja","Muy Baja"))))</f>
        <v>Muy Baja</v>
      </c>
      <c r="AD66" s="175">
        <f>IF(T66="Correctivo",(N66-(N66*X66)/100),N66)</f>
        <v>40</v>
      </c>
      <c r="AE66" s="325" t="str">
        <f t="shared" ref="AE66" si="89">IF(AD68&gt;80,"Catastrófico",IF(AD68&gt;60,"Mayor",IF(AD68&gt;40,"Moderado",IF(AD68&gt;20,"Menor","Leve"))))</f>
        <v>Menor</v>
      </c>
      <c r="AF66" s="316" t="str">
        <f t="shared" si="81"/>
        <v>Muy BajaMenor</v>
      </c>
      <c r="AG66" s="319" t="str">
        <f>VLOOKUP(AF66,'RIESGO RESIDUAL'!$A$1:$B$25,2,0)</f>
        <v>Baja</v>
      </c>
      <c r="AH66" s="320" t="str">
        <f t="shared" ref="AH66" si="90">IF(AG66="Baja","Aceptar-Asumir","Reducir-Mitigar")</f>
        <v>Aceptar-Asumir</v>
      </c>
      <c r="AI66" s="327" t="s">
        <v>602</v>
      </c>
      <c r="AJ66" s="341">
        <v>44742</v>
      </c>
      <c r="AK66" s="327" t="s">
        <v>603</v>
      </c>
      <c r="AL66" s="327" t="s">
        <v>365</v>
      </c>
      <c r="AM66" s="327" t="s">
        <v>604</v>
      </c>
      <c r="AN66" s="327" t="s">
        <v>602</v>
      </c>
    </row>
    <row r="67" spans="2:40" ht="30">
      <c r="B67" s="401"/>
      <c r="C67" s="323"/>
      <c r="D67" s="323"/>
      <c r="E67" s="330"/>
      <c r="F67" s="330"/>
      <c r="G67" s="330"/>
      <c r="H67" s="330"/>
      <c r="I67" s="328"/>
      <c r="J67" s="328"/>
      <c r="K67" s="325" t="e">
        <f>VLOOKUP(L67,'PARÁMETROS RIESGOS GESTIÓN'!D73:F78,3,TRUE)</f>
        <v>#N/A</v>
      </c>
      <c r="L67" s="325">
        <f t="shared" si="0"/>
        <v>100</v>
      </c>
      <c r="M67" s="328"/>
      <c r="N67" s="325">
        <f t="shared" si="15"/>
        <v>0</v>
      </c>
      <c r="O67" s="325">
        <f t="shared" si="2"/>
        <v>1000</v>
      </c>
      <c r="P67" s="319" t="e">
        <f>VLOOKUP(O67,'Zona de riesgo'!B73:C97,2)</f>
        <v>#N/A</v>
      </c>
      <c r="Q67" s="197" t="s">
        <v>623</v>
      </c>
      <c r="R67" s="197"/>
      <c r="S67" s="180"/>
      <c r="T67" s="175" t="s">
        <v>109</v>
      </c>
      <c r="U67" s="176">
        <f t="shared" si="3"/>
        <v>25</v>
      </c>
      <c r="V67" s="175" t="s">
        <v>117</v>
      </c>
      <c r="W67" s="176">
        <f t="shared" si="4"/>
        <v>15</v>
      </c>
      <c r="X67" s="177">
        <f t="shared" si="7"/>
        <v>40</v>
      </c>
      <c r="Y67" s="180" t="s">
        <v>123</v>
      </c>
      <c r="Z67" s="180" t="s">
        <v>127</v>
      </c>
      <c r="AA67" s="180" t="s">
        <v>131</v>
      </c>
      <c r="AB67" s="177">
        <f>IF(T67="preventivo",(AB66-(AB66*X67/100)),IF(T67="detectivo",(AB66-(AB66*X67/100)),IF(T67="Correctivo",AB66,AB66)))</f>
        <v>7.2</v>
      </c>
      <c r="AC67" s="325"/>
      <c r="AD67" s="175">
        <f>IF(T67="Correctivo",(AD66-(AD66*X66/100)),AD66)</f>
        <v>40</v>
      </c>
      <c r="AE67" s="325"/>
      <c r="AF67" s="317"/>
      <c r="AG67" s="319"/>
      <c r="AH67" s="320"/>
      <c r="AI67" s="328"/>
      <c r="AJ67" s="328"/>
      <c r="AK67" s="328"/>
      <c r="AL67" s="328"/>
      <c r="AM67" s="328"/>
      <c r="AN67" s="328"/>
    </row>
    <row r="68" spans="2:40" ht="15">
      <c r="B68" s="401"/>
      <c r="C68" s="324"/>
      <c r="D68" s="324"/>
      <c r="E68" s="330"/>
      <c r="F68" s="330"/>
      <c r="G68" s="330"/>
      <c r="H68" s="330"/>
      <c r="I68" s="328"/>
      <c r="J68" s="328"/>
      <c r="K68" s="325" t="e">
        <f>VLOOKUP(L68,'PARÁMETROS RIESGOS GESTIÓN'!D74:F79,3,TRUE)</f>
        <v>#N/A</v>
      </c>
      <c r="L68" s="325">
        <f t="shared" si="0"/>
        <v>100</v>
      </c>
      <c r="M68" s="328"/>
      <c r="N68" s="325">
        <f t="shared" si="15"/>
        <v>0</v>
      </c>
      <c r="O68" s="325">
        <f t="shared" si="2"/>
        <v>1000</v>
      </c>
      <c r="P68" s="319" t="e">
        <f>VLOOKUP(O68,'Zona de riesgo'!B74:C98,2)</f>
        <v>#N/A</v>
      </c>
      <c r="Q68" s="197" t="s">
        <v>624</v>
      </c>
      <c r="R68" s="197"/>
      <c r="S68" s="180"/>
      <c r="T68" s="175" t="s">
        <v>109</v>
      </c>
      <c r="U68" s="176">
        <f t="shared" si="3"/>
        <v>25</v>
      </c>
      <c r="V68" s="175" t="s">
        <v>117</v>
      </c>
      <c r="W68" s="176">
        <f t="shared" si="4"/>
        <v>15</v>
      </c>
      <c r="X68" s="177">
        <f t="shared" si="7"/>
        <v>40</v>
      </c>
      <c r="Y68" s="180" t="s">
        <v>123</v>
      </c>
      <c r="Z68" s="180" t="s">
        <v>127</v>
      </c>
      <c r="AA68" s="180" t="s">
        <v>131</v>
      </c>
      <c r="AB68" s="177">
        <f>IF(T68="preventivo",(AB67-(AB67*X68/100)),IF(T68="detectivo",(AB67-(AB67*X68/100)),IF(T68="Correctivo",AB67,AB67)))</f>
        <v>4.32</v>
      </c>
      <c r="AC68" s="325"/>
      <c r="AD68" s="175">
        <f>IF(T68="Correctivo",(AD67-(AD67*U67/100)),AD67)</f>
        <v>40</v>
      </c>
      <c r="AE68" s="325"/>
      <c r="AF68" s="318"/>
      <c r="AG68" s="319"/>
      <c r="AH68" s="320"/>
      <c r="AI68" s="328"/>
      <c r="AJ68" s="328"/>
      <c r="AK68" s="328"/>
      <c r="AL68" s="328"/>
      <c r="AM68" s="328"/>
      <c r="AN68" s="328"/>
    </row>
    <row r="69" spans="2:40" ht="42.75" customHeight="1">
      <c r="B69" s="401">
        <v>48</v>
      </c>
      <c r="C69" s="322" t="s">
        <v>742</v>
      </c>
      <c r="D69" s="322" t="s">
        <v>527</v>
      </c>
      <c r="E69" s="329" t="s">
        <v>625</v>
      </c>
      <c r="F69" s="329" t="s">
        <v>626</v>
      </c>
      <c r="G69" s="329" t="s">
        <v>627</v>
      </c>
      <c r="H69" s="329" t="s">
        <v>628</v>
      </c>
      <c r="I69" s="331" t="s">
        <v>50</v>
      </c>
      <c r="J69" s="331">
        <v>70</v>
      </c>
      <c r="K69" s="325" t="str">
        <f>VLOOKUP(L69,'PARÁMETROS RIESGOS GESTIÓN'!$D$12:$F$17,3,0)</f>
        <v>Media</v>
      </c>
      <c r="L69" s="325">
        <f t="shared" ref="L69" si="91">IF(J69&lt;=2,20,IF(J69&lt;=24,40,IF(J69&lt;=500,60,IF(J69&lt;="5000",80,100))))</f>
        <v>60</v>
      </c>
      <c r="M69" s="331" t="s">
        <v>100</v>
      </c>
      <c r="N69" s="325">
        <f t="shared" si="15"/>
        <v>80</v>
      </c>
      <c r="O69" s="325">
        <f t="shared" si="2"/>
        <v>6080</v>
      </c>
      <c r="P69" s="319" t="str">
        <f>VLOOKUP(O69,'Zona de riesgo'!$B$9:$C$33,2)</f>
        <v>Moderado</v>
      </c>
      <c r="Q69" s="197" t="s">
        <v>600</v>
      </c>
      <c r="R69" s="197"/>
      <c r="S69" s="180"/>
      <c r="T69" s="175" t="s">
        <v>111</v>
      </c>
      <c r="U69" s="176">
        <f t="shared" si="3"/>
        <v>15</v>
      </c>
      <c r="V69" s="175" t="s">
        <v>117</v>
      </c>
      <c r="W69" s="176">
        <f t="shared" si="4"/>
        <v>15</v>
      </c>
      <c r="X69" s="177">
        <f t="shared" si="7"/>
        <v>30</v>
      </c>
      <c r="Y69" s="180" t="s">
        <v>120</v>
      </c>
      <c r="Z69" s="180" t="s">
        <v>125</v>
      </c>
      <c r="AA69" s="180" t="s">
        <v>131</v>
      </c>
      <c r="AB69" s="177">
        <f>IF(T69="Correctivo",L69,(L69-(L69*X69/100)))</f>
        <v>42</v>
      </c>
      <c r="AC69" s="325" t="str">
        <f t="shared" ref="AC69" si="92">IF(AB71&gt;80,"Muy Alta",IF(AB71&gt;60,"Alta",IF(AB71&gt;40,"Media",IF(AB71&gt;20,"Baja","Muy Baja"))))</f>
        <v>Muy Baja</v>
      </c>
      <c r="AD69" s="175">
        <f>IF(T69="Correctivo",(N69-(N69*X69)/100),N69)</f>
        <v>80</v>
      </c>
      <c r="AE69" s="325" t="str">
        <f t="shared" ref="AE69" si="93">IF(AD71&gt;80,"Catastrófico",IF(AD71&gt;60,"Mayor",IF(AD71&gt;40,"Moderado",IF(AD71&gt;20,"Menor","Leve"))))</f>
        <v>Mayor</v>
      </c>
      <c r="AF69" s="316" t="str">
        <f t="shared" si="81"/>
        <v>Muy BajaMayor</v>
      </c>
      <c r="AG69" s="319" t="str">
        <f>VLOOKUP(AF69,'RIESGO RESIDUAL'!$A$1:$B$25,2,0)</f>
        <v xml:space="preserve">Alto </v>
      </c>
      <c r="AH69" s="320" t="str">
        <f t="shared" ref="AH69" si="94">IF(AG69="Baja","Aceptar-Asumir","Reducir-Mitigar")</f>
        <v>Reducir-Mitigar</v>
      </c>
      <c r="AI69" s="181" t="s">
        <v>629</v>
      </c>
      <c r="AJ69" s="181" t="s">
        <v>602</v>
      </c>
      <c r="AK69" s="341">
        <v>44742</v>
      </c>
      <c r="AL69" s="327" t="s">
        <v>603</v>
      </c>
      <c r="AM69" s="327" t="s">
        <v>365</v>
      </c>
      <c r="AN69" s="327" t="s">
        <v>604</v>
      </c>
    </row>
    <row r="70" spans="2:40" ht="15">
      <c r="B70" s="401"/>
      <c r="C70" s="323"/>
      <c r="D70" s="323"/>
      <c r="E70" s="330"/>
      <c r="F70" s="330"/>
      <c r="G70" s="330"/>
      <c r="H70" s="330"/>
      <c r="I70" s="328"/>
      <c r="J70" s="328"/>
      <c r="K70" s="325" t="e">
        <f>VLOOKUP(L70,'PARÁMETROS RIESGOS GESTIÓN'!D76:F81,3,TRUE)</f>
        <v>#N/A</v>
      </c>
      <c r="L70" s="325">
        <f t="shared" si="0"/>
        <v>100</v>
      </c>
      <c r="M70" s="328"/>
      <c r="N70" s="325">
        <f t="shared" si="15"/>
        <v>0</v>
      </c>
      <c r="O70" s="325">
        <f t="shared" si="2"/>
        <v>1000</v>
      </c>
      <c r="P70" s="319" t="e">
        <f>VLOOKUP(O70,'Zona de riesgo'!B76:C100,2)</f>
        <v>#N/A</v>
      </c>
      <c r="Q70" s="197" t="s">
        <v>616</v>
      </c>
      <c r="R70" s="197"/>
      <c r="S70" s="180"/>
      <c r="T70" s="175" t="s">
        <v>109</v>
      </c>
      <c r="U70" s="176">
        <f t="shared" si="3"/>
        <v>25</v>
      </c>
      <c r="V70" s="175" t="s">
        <v>117</v>
      </c>
      <c r="W70" s="176">
        <f t="shared" si="4"/>
        <v>15</v>
      </c>
      <c r="X70" s="177">
        <f t="shared" si="7"/>
        <v>40</v>
      </c>
      <c r="Y70" s="180" t="s">
        <v>120</v>
      </c>
      <c r="Z70" s="180" t="s">
        <v>127</v>
      </c>
      <c r="AA70" s="180" t="s">
        <v>129</v>
      </c>
      <c r="AB70" s="177">
        <f>IF(T70="preventivo",(AB69-(AB69*X70/100)),IF(T70="detectivo",(AB69-(AB69*X70/100)),IF(T70="Correctivo",AB69,AB69)))</f>
        <v>25.2</v>
      </c>
      <c r="AC70" s="325"/>
      <c r="AD70" s="175">
        <f>IF(T70="Correctivo",(AD69-(AD69*X69/100)),AD69)</f>
        <v>80</v>
      </c>
      <c r="AE70" s="325"/>
      <c r="AF70" s="317"/>
      <c r="AG70" s="319"/>
      <c r="AH70" s="320"/>
      <c r="AI70" s="183"/>
      <c r="AJ70" s="183"/>
      <c r="AK70" s="328"/>
      <c r="AL70" s="328"/>
      <c r="AM70" s="328"/>
      <c r="AN70" s="328"/>
    </row>
    <row r="71" spans="2:40" ht="15">
      <c r="B71" s="401"/>
      <c r="C71" s="324"/>
      <c r="D71" s="324"/>
      <c r="E71" s="330"/>
      <c r="F71" s="330"/>
      <c r="G71" s="330"/>
      <c r="H71" s="330"/>
      <c r="I71" s="328"/>
      <c r="J71" s="328"/>
      <c r="K71" s="325" t="e">
        <f>VLOOKUP(L71,'PARÁMETROS RIESGOS GESTIÓN'!D77:F82,3,TRUE)</f>
        <v>#N/A</v>
      </c>
      <c r="L71" s="325">
        <f t="shared" ref="L71:L101" si="95">IF(J71="1 a 2",20,IF(J71="3 a 24",40,IF(J71="25 a 500",60,IF(J71="501 a 5000",80,100))))</f>
        <v>100</v>
      </c>
      <c r="M71" s="328"/>
      <c r="N71" s="325">
        <f t="shared" si="15"/>
        <v>0</v>
      </c>
      <c r="O71" s="325">
        <f t="shared" ref="O71:O101" si="96">VALUE(_xlfn.CONCAT(L71,N71))</f>
        <v>1000</v>
      </c>
      <c r="P71" s="319" t="e">
        <f>VLOOKUP(O71,'Zona de riesgo'!B77:C101,2)</f>
        <v>#N/A</v>
      </c>
      <c r="Q71" s="197" t="s">
        <v>617</v>
      </c>
      <c r="R71" s="197"/>
      <c r="S71" s="180"/>
      <c r="T71" s="175" t="s">
        <v>109</v>
      </c>
      <c r="U71" s="176">
        <f t="shared" si="3"/>
        <v>25</v>
      </c>
      <c r="V71" s="175" t="s">
        <v>117</v>
      </c>
      <c r="W71" s="176">
        <f t="shared" si="4"/>
        <v>15</v>
      </c>
      <c r="X71" s="177">
        <f t="shared" si="7"/>
        <v>40</v>
      </c>
      <c r="Y71" s="180" t="s">
        <v>123</v>
      </c>
      <c r="Z71" s="180" t="s">
        <v>127</v>
      </c>
      <c r="AA71" s="180" t="s">
        <v>131</v>
      </c>
      <c r="AB71" s="177">
        <f>IF(T71="preventivo",(AB70-(AB70*X71/100)),IF(T71="detectivo",(AB70-(AB70*X71/100)),IF(T71="Correctivo",AB70,AB70)))</f>
        <v>15.12</v>
      </c>
      <c r="AC71" s="325"/>
      <c r="AD71" s="175">
        <f>IF(T71="Correctivo",(AD70-(AD70*U70/100)),AD70)</f>
        <v>80</v>
      </c>
      <c r="AE71" s="325"/>
      <c r="AF71" s="318"/>
      <c r="AG71" s="319"/>
      <c r="AH71" s="320"/>
      <c r="AI71" s="183"/>
      <c r="AJ71" s="183"/>
      <c r="AK71" s="328"/>
      <c r="AL71" s="328"/>
      <c r="AM71" s="328"/>
      <c r="AN71" s="328"/>
    </row>
    <row r="72" spans="2:40" ht="114" customHeight="1">
      <c r="B72" s="401">
        <v>49</v>
      </c>
      <c r="C72" s="322" t="s">
        <v>742</v>
      </c>
      <c r="D72" s="322" t="s">
        <v>527</v>
      </c>
      <c r="E72" s="329" t="s">
        <v>630</v>
      </c>
      <c r="F72" s="329" t="s">
        <v>631</v>
      </c>
      <c r="G72" s="329" t="s">
        <v>632</v>
      </c>
      <c r="H72" s="329" t="s">
        <v>633</v>
      </c>
      <c r="I72" s="331" t="s">
        <v>50</v>
      </c>
      <c r="J72" s="331">
        <v>25</v>
      </c>
      <c r="K72" s="325" t="str">
        <f>VLOOKUP(L72,'PARÁMETROS RIESGOS GESTIÓN'!$D$12:$F$17,3,0)</f>
        <v>Media</v>
      </c>
      <c r="L72" s="325">
        <f t="shared" ref="L72" si="97">IF(J72&lt;=2,20,IF(J72&lt;=24,40,IF(J72&lt;=500,60,IF(J72&lt;="5000",80,100))))</f>
        <v>60</v>
      </c>
      <c r="M72" s="331" t="s">
        <v>100</v>
      </c>
      <c r="N72" s="325">
        <f t="shared" si="15"/>
        <v>80</v>
      </c>
      <c r="O72" s="325">
        <f t="shared" si="96"/>
        <v>6080</v>
      </c>
      <c r="P72" s="319" t="str">
        <f>VLOOKUP(O72,'Zona de riesgo'!$B$9:$C$33,2)</f>
        <v>Moderado</v>
      </c>
      <c r="Q72" s="197" t="s">
        <v>634</v>
      </c>
      <c r="R72" s="197"/>
      <c r="S72" s="180"/>
      <c r="T72" s="175" t="s">
        <v>109</v>
      </c>
      <c r="U72" s="176">
        <f t="shared" ref="U72:U99" si="98">IF(T72="Preventivo",25,IF(T72="Detectivo",15,IF(T72="Correctivo",10)))</f>
        <v>25</v>
      </c>
      <c r="V72" s="175" t="s">
        <v>117</v>
      </c>
      <c r="W72" s="176">
        <f t="shared" ref="W72:W99" si="99">IF(V72="Automático",25,IF(V72="manual",15))</f>
        <v>15</v>
      </c>
      <c r="X72" s="177">
        <f t="shared" ref="X72:X90" si="100">U72+W72</f>
        <v>40</v>
      </c>
      <c r="Y72" s="180" t="s">
        <v>120</v>
      </c>
      <c r="Z72" s="180" t="s">
        <v>125</v>
      </c>
      <c r="AA72" s="180" t="s">
        <v>131</v>
      </c>
      <c r="AB72" s="177">
        <f>IF(T72="Correctivo",L72,(L72-(L72*X72/100)))</f>
        <v>36</v>
      </c>
      <c r="AC72" s="325" t="str">
        <f t="shared" ref="AC72" si="101">IF(AB74&gt;80,"Muy Alta",IF(AB74&gt;60,"Alta",IF(AB74&gt;40,"Media",IF(AB74&gt;20,"Baja","Muy Baja"))))</f>
        <v>Baja</v>
      </c>
      <c r="AD72" s="175">
        <f>IF(T72="Correctivo",(N72-(N72*X72)/100),N72)</f>
        <v>80</v>
      </c>
      <c r="AE72" s="325" t="str">
        <f>IF(AD72&gt;80,"Catastrófico",IF(AD72&gt;60,"Mayor",IF(AD72&gt;40,"Moderado",IF(AD72&gt;20,"Menor","Leve"))))</f>
        <v>Mayor</v>
      </c>
      <c r="AF72" s="316" t="str">
        <f t="shared" si="81"/>
        <v>BajaMayor</v>
      </c>
      <c r="AG72" s="319" t="str">
        <f>VLOOKUP(AF72,'RIESGO RESIDUAL'!$A$1:$B$25,2,0)</f>
        <v xml:space="preserve">Alto </v>
      </c>
      <c r="AH72" s="320" t="str">
        <f t="shared" ref="AH72" si="102">IF(AG72="Baja","Aceptar-Asumir","Reducir-Mitigar")</f>
        <v>Reducir-Mitigar</v>
      </c>
      <c r="AI72" s="181" t="s">
        <v>635</v>
      </c>
      <c r="AJ72" s="181" t="s">
        <v>636</v>
      </c>
      <c r="AK72" s="186">
        <v>44742</v>
      </c>
      <c r="AL72" s="181" t="s">
        <v>603</v>
      </c>
      <c r="AM72" s="181" t="s">
        <v>365</v>
      </c>
      <c r="AN72" s="181" t="s">
        <v>604</v>
      </c>
    </row>
    <row r="73" spans="2:40" ht="14.25" customHeight="1">
      <c r="B73" s="401"/>
      <c r="C73" s="323"/>
      <c r="D73" s="323"/>
      <c r="E73" s="329"/>
      <c r="F73" s="329"/>
      <c r="G73" s="329"/>
      <c r="H73" s="329"/>
      <c r="I73" s="331"/>
      <c r="J73" s="331"/>
      <c r="K73" s="325" t="e">
        <f>VLOOKUP(L73,'PARÁMETROS RIESGOS GESTIÓN'!D79:F84,3,TRUE)</f>
        <v>#N/A</v>
      </c>
      <c r="L73" s="325">
        <f t="shared" si="95"/>
        <v>100</v>
      </c>
      <c r="M73" s="331"/>
      <c r="N73" s="325">
        <f t="shared" si="15"/>
        <v>0</v>
      </c>
      <c r="O73" s="325">
        <f t="shared" si="96"/>
        <v>1000</v>
      </c>
      <c r="P73" s="319" t="e">
        <f>VLOOKUP(O73,'Zona de riesgo'!B79:C103,2)</f>
        <v>#N/A</v>
      </c>
      <c r="Q73" s="175"/>
      <c r="R73" s="175"/>
      <c r="S73" s="175"/>
      <c r="T73" s="175"/>
      <c r="U73" s="176"/>
      <c r="V73" s="175"/>
      <c r="W73" s="176"/>
      <c r="X73" s="177"/>
      <c r="Y73" s="175"/>
      <c r="Z73" s="177"/>
      <c r="AA73" s="177"/>
      <c r="AB73" s="177">
        <f>IF(T73="preventivo",(AB72-(AB72*X73/100)),IF(T73="detectivo",(AB72-(AB72*X73/100)),IF(T73="Correctivo",AB72,AB72)))</f>
        <v>36</v>
      </c>
      <c r="AC73" s="325"/>
      <c r="AD73" s="175">
        <f>IF(T73="Correctivo",(AD72-(AD72*X72/100)),AD72)</f>
        <v>80</v>
      </c>
      <c r="AE73" s="325"/>
      <c r="AF73" s="317"/>
      <c r="AG73" s="319"/>
      <c r="AH73" s="320"/>
      <c r="AI73" s="187"/>
      <c r="AJ73" s="175"/>
      <c r="AK73" s="175"/>
      <c r="AL73" s="175"/>
      <c r="AM73" s="175"/>
      <c r="AN73" s="175"/>
    </row>
    <row r="74" spans="2:40" ht="14.25" customHeight="1">
      <c r="B74" s="401"/>
      <c r="C74" s="324"/>
      <c r="D74" s="324"/>
      <c r="E74" s="329"/>
      <c r="F74" s="329"/>
      <c r="G74" s="329"/>
      <c r="H74" s="329"/>
      <c r="I74" s="331"/>
      <c r="J74" s="331"/>
      <c r="K74" s="325" t="e">
        <f>VLOOKUP(L74,'PARÁMETROS RIESGOS GESTIÓN'!D80:F85,3,TRUE)</f>
        <v>#N/A</v>
      </c>
      <c r="L74" s="325">
        <f t="shared" si="95"/>
        <v>100</v>
      </c>
      <c r="M74" s="331"/>
      <c r="N74" s="325">
        <f t="shared" si="15"/>
        <v>0</v>
      </c>
      <c r="O74" s="325">
        <f t="shared" si="96"/>
        <v>1000</v>
      </c>
      <c r="P74" s="319" t="e">
        <f>VLOOKUP(O74,'Zona de riesgo'!B80:C104,2)</f>
        <v>#N/A</v>
      </c>
      <c r="Q74" s="175"/>
      <c r="R74" s="175"/>
      <c r="S74" s="175"/>
      <c r="T74" s="175"/>
      <c r="U74" s="176"/>
      <c r="V74" s="175"/>
      <c r="W74" s="176"/>
      <c r="X74" s="177"/>
      <c r="Y74" s="175"/>
      <c r="Z74" s="177"/>
      <c r="AA74" s="177"/>
      <c r="AB74" s="177">
        <f>IF(T74="preventivo",(AB73-(AB73*X74/100)),IF(T74="detectivo",(AB73-(AB73*X74/100)),IF(T74="Correctivo",AB73,AB73)))</f>
        <v>36</v>
      </c>
      <c r="AC74" s="325"/>
      <c r="AD74" s="175">
        <f>IF(T74="Correctivo",(AD73-(AD73*U73/100)),AD73)</f>
        <v>80</v>
      </c>
      <c r="AE74" s="325"/>
      <c r="AF74" s="318"/>
      <c r="AG74" s="319"/>
      <c r="AH74" s="320"/>
      <c r="AI74" s="187"/>
      <c r="AJ74" s="175"/>
      <c r="AK74" s="175"/>
      <c r="AL74" s="175"/>
      <c r="AM74" s="175"/>
      <c r="AN74" s="175"/>
    </row>
    <row r="75" spans="2:40" ht="30">
      <c r="B75" s="401">
        <v>50</v>
      </c>
      <c r="C75" s="321" t="s">
        <v>696</v>
      </c>
      <c r="D75" s="321" t="s">
        <v>743</v>
      </c>
      <c r="E75" s="321" t="s">
        <v>637</v>
      </c>
      <c r="F75" s="321" t="s">
        <v>638</v>
      </c>
      <c r="G75" s="321" t="s">
        <v>639</v>
      </c>
      <c r="H75" s="321" t="s">
        <v>640</v>
      </c>
      <c r="I75" s="325" t="s">
        <v>50</v>
      </c>
      <c r="J75" s="325">
        <v>14</v>
      </c>
      <c r="K75" s="325" t="str">
        <f>VLOOKUP(L75,'PARÁMETROS RIESGOS GESTIÓN'!$D$12:$F$17,3,0)</f>
        <v>Baja</v>
      </c>
      <c r="L75" s="325">
        <f t="shared" ref="L75" si="103">IF(J75&lt;=2,20,IF(J75&lt;=24,40,IF(J75&lt;=500,60,IF(J75&lt;="5000",80,100))))</f>
        <v>40</v>
      </c>
      <c r="M75" s="325" t="s">
        <v>98</v>
      </c>
      <c r="N75" s="325">
        <f t="shared" si="15"/>
        <v>20</v>
      </c>
      <c r="O75" s="325">
        <f t="shared" si="96"/>
        <v>4020</v>
      </c>
      <c r="P75" s="319" t="str">
        <f>VLOOKUP(O75,'Zona de riesgo'!$B$9:$C$33,2)</f>
        <v>Baja</v>
      </c>
      <c r="Q75" s="174" t="s">
        <v>641</v>
      </c>
      <c r="R75" s="187" t="s">
        <v>20</v>
      </c>
      <c r="S75" s="175"/>
      <c r="T75" s="175" t="s">
        <v>109</v>
      </c>
      <c r="U75" s="176">
        <f t="shared" si="98"/>
        <v>25</v>
      </c>
      <c r="V75" s="175" t="s">
        <v>117</v>
      </c>
      <c r="W75" s="176">
        <f t="shared" si="99"/>
        <v>15</v>
      </c>
      <c r="X75" s="177">
        <f t="shared" si="100"/>
        <v>40</v>
      </c>
      <c r="Y75" s="175" t="s">
        <v>120</v>
      </c>
      <c r="Z75" s="175" t="s">
        <v>127</v>
      </c>
      <c r="AA75" s="175" t="s">
        <v>129</v>
      </c>
      <c r="AB75" s="177">
        <f>IF(T75="Correctivo",L75,(L75-(L75*X75/100)))</f>
        <v>24</v>
      </c>
      <c r="AC75" s="325" t="str">
        <f t="shared" ref="AC75" si="104">IF(AB77&gt;80,"Muy Alta",IF(AB77&gt;60,"Alta",IF(AB77&gt;40,"Media",IF(AB77&gt;20,"Baja","Muy Baja"))))</f>
        <v>Muy Baja</v>
      </c>
      <c r="AD75" s="175">
        <f>IF(T75="Correctivo",(N75-(N75*X75)/100),N75)</f>
        <v>20</v>
      </c>
      <c r="AE75" s="325" t="str">
        <f>IF(AD75&gt;80,"Catastrófico",IF(AD75&gt;60,"Mayor",IF(AD75&gt;40,"Moderado",IF(AD75&gt;20,"Menor","Leve"))))</f>
        <v>Leve</v>
      </c>
      <c r="AF75" s="316" t="str">
        <f t="shared" ref="AF75" si="105">CONCATENATE(AC75,AE75)</f>
        <v>Muy BajaLeve</v>
      </c>
      <c r="AG75" s="319" t="str">
        <f>VLOOKUP(AF75,'RIESGO RESIDUAL'!$A$1:$B$25,2,0)</f>
        <v>Baja</v>
      </c>
      <c r="AH75" s="320" t="str">
        <f t="shared" ref="AH75" si="106">IF(AG75="Baja","Aceptar-Asumir","Reducir-Mitigar")</f>
        <v>Aceptar-Asumir</v>
      </c>
      <c r="AI75" s="315" t="s">
        <v>385</v>
      </c>
      <c r="AJ75" s="325" t="e">
        <f>CONCATENATE(AG75,#REF!)</f>
        <v>#REF!</v>
      </c>
      <c r="AK75" s="315" t="s">
        <v>385</v>
      </c>
      <c r="AL75" s="315" t="s">
        <v>385</v>
      </c>
      <c r="AM75" s="315" t="s">
        <v>385</v>
      </c>
      <c r="AN75" s="315" t="s">
        <v>385</v>
      </c>
    </row>
    <row r="76" spans="2:40" ht="15">
      <c r="B76" s="401"/>
      <c r="C76" s="321"/>
      <c r="D76" s="321"/>
      <c r="E76" s="321"/>
      <c r="F76" s="321"/>
      <c r="G76" s="321"/>
      <c r="H76" s="321"/>
      <c r="I76" s="325" t="s">
        <v>56</v>
      </c>
      <c r="J76" s="325"/>
      <c r="K76" s="325" t="e">
        <f>VLOOKUP(L76,'PARÁMETROS RIESGOS GESTIÓN'!D82:F87,3,TRUE)</f>
        <v>#N/A</v>
      </c>
      <c r="L76" s="325">
        <f t="shared" si="95"/>
        <v>100</v>
      </c>
      <c r="M76" s="325" t="s">
        <v>101</v>
      </c>
      <c r="N76" s="325">
        <f t="shared" si="15"/>
        <v>100</v>
      </c>
      <c r="O76" s="325">
        <f t="shared" si="96"/>
        <v>100100</v>
      </c>
      <c r="P76" s="319" t="e">
        <f>VLOOKUP(O76,'Zona de riesgo'!B82:C106,2)</f>
        <v>#N/A</v>
      </c>
      <c r="Q76" s="174" t="s">
        <v>111</v>
      </c>
      <c r="R76" s="187" t="s">
        <v>328</v>
      </c>
      <c r="S76" s="175"/>
      <c r="T76" s="175" t="s">
        <v>111</v>
      </c>
      <c r="U76" s="176">
        <f t="shared" si="98"/>
        <v>15</v>
      </c>
      <c r="V76" s="175" t="s">
        <v>117</v>
      </c>
      <c r="W76" s="176">
        <f t="shared" si="99"/>
        <v>15</v>
      </c>
      <c r="X76" s="177">
        <f t="shared" si="100"/>
        <v>30</v>
      </c>
      <c r="Y76" s="175" t="s">
        <v>123</v>
      </c>
      <c r="Z76" s="175" t="s">
        <v>127</v>
      </c>
      <c r="AA76" s="175" t="s">
        <v>131</v>
      </c>
      <c r="AB76" s="177">
        <f>IF(T76="preventivo",(AB75-(AB75*X76/100)),IF(T76="detectivo",(AB75-(AB75*X76/100)),IF(T76="Correctivo",AB75,AB75)))</f>
        <v>16.8</v>
      </c>
      <c r="AC76" s="325"/>
      <c r="AD76" s="175">
        <f>IF(T76="Correctivo",(AD75-(AD75*X75/100)),AD75)</f>
        <v>20</v>
      </c>
      <c r="AE76" s="325"/>
      <c r="AF76" s="317"/>
      <c r="AG76" s="319"/>
      <c r="AH76" s="320"/>
      <c r="AI76" s="315"/>
      <c r="AJ76" s="325"/>
      <c r="AK76" s="315"/>
      <c r="AL76" s="315"/>
      <c r="AM76" s="315"/>
      <c r="AN76" s="315"/>
    </row>
    <row r="77" spans="2:40" ht="15">
      <c r="B77" s="401"/>
      <c r="C77" s="321"/>
      <c r="D77" s="321"/>
      <c r="E77" s="321"/>
      <c r="F77" s="321"/>
      <c r="G77" s="321"/>
      <c r="H77" s="321"/>
      <c r="I77" s="325" t="s">
        <v>56</v>
      </c>
      <c r="J77" s="325"/>
      <c r="K77" s="325" t="e">
        <f>VLOOKUP(L77,'PARÁMETROS RIESGOS GESTIÓN'!D83:F88,3,TRUE)</f>
        <v>#N/A</v>
      </c>
      <c r="L77" s="325">
        <f t="shared" si="95"/>
        <v>100</v>
      </c>
      <c r="M77" s="325" t="s">
        <v>101</v>
      </c>
      <c r="N77" s="325">
        <f t="shared" si="15"/>
        <v>100</v>
      </c>
      <c r="O77" s="325">
        <f t="shared" si="96"/>
        <v>100100</v>
      </c>
      <c r="P77" s="319" t="e">
        <f>VLOOKUP(O77,'Zona de riesgo'!B83:C107,2)</f>
        <v>#N/A</v>
      </c>
      <c r="Q77" s="174" t="s">
        <v>135</v>
      </c>
      <c r="R77" s="187"/>
      <c r="S77" s="175"/>
      <c r="T77" s="195"/>
      <c r="U77" s="176"/>
      <c r="V77" s="175"/>
      <c r="W77" s="176"/>
      <c r="X77" s="177"/>
      <c r="Y77" s="175"/>
      <c r="Z77" s="176"/>
      <c r="AA77" s="177"/>
      <c r="AB77" s="177">
        <f>IF(T77="preventivo",(AB76-(AB76*X77/100)),IF(T77="detectivo",(AB76-(AB76*X77/100)),IF(T77="Correctivo",AB76,AB76)))</f>
        <v>16.8</v>
      </c>
      <c r="AC77" s="325"/>
      <c r="AD77" s="175">
        <f>IF(T77="Correctivo",(AD76-(AD76*U76/100)),AD76)</f>
        <v>20</v>
      </c>
      <c r="AE77" s="325"/>
      <c r="AF77" s="318"/>
      <c r="AG77" s="319"/>
      <c r="AH77" s="320"/>
      <c r="AI77" s="315"/>
      <c r="AJ77" s="325"/>
      <c r="AK77" s="315"/>
      <c r="AL77" s="315"/>
      <c r="AM77" s="315"/>
      <c r="AN77" s="315"/>
    </row>
    <row r="78" spans="2:40" ht="20.25" customHeight="1">
      <c r="B78" s="401">
        <v>51</v>
      </c>
      <c r="C78" s="321" t="s">
        <v>744</v>
      </c>
      <c r="D78" s="321" t="s">
        <v>745</v>
      </c>
      <c r="E78" s="321" t="s">
        <v>642</v>
      </c>
      <c r="F78" s="321" t="s">
        <v>643</v>
      </c>
      <c r="G78" s="321" t="s">
        <v>644</v>
      </c>
      <c r="H78" s="321" t="str">
        <f>_xlfn.CONCAT("Posibilidad de ",E78," por ",G78)</f>
        <v>Posibilidad de Incumplimiento de los terminos legales para la liquidación de los actos contractuales por Indebida supervisión</v>
      </c>
      <c r="I78" s="325" t="s">
        <v>54</v>
      </c>
      <c r="J78" s="325">
        <v>32</v>
      </c>
      <c r="K78" s="325" t="str">
        <f>VLOOKUP(L78,'PARÁMETROS RIESGOS GESTIÓN'!$D$12:$F$17,3,0)</f>
        <v>Media</v>
      </c>
      <c r="L78" s="325">
        <f t="shared" ref="L78" si="107">IF(J78&lt;=2,20,IF(J78&lt;=24,40,IF(J78&lt;=500,60,IF(J78&lt;="5000",80,100))))</f>
        <v>60</v>
      </c>
      <c r="M78" s="325" t="s">
        <v>13</v>
      </c>
      <c r="N78" s="325">
        <f t="shared" si="15"/>
        <v>60</v>
      </c>
      <c r="O78" s="325">
        <f t="shared" si="96"/>
        <v>6060</v>
      </c>
      <c r="P78" s="319" t="str">
        <f>VLOOKUP(O78,'Zona de riesgo'!$B$9:$C$33,2)</f>
        <v>Moderado</v>
      </c>
      <c r="Q78" s="174" t="s">
        <v>645</v>
      </c>
      <c r="R78" s="187" t="s">
        <v>328</v>
      </c>
      <c r="S78" s="175"/>
      <c r="T78" s="175" t="s">
        <v>109</v>
      </c>
      <c r="U78" s="176">
        <f t="shared" si="98"/>
        <v>25</v>
      </c>
      <c r="V78" s="175" t="s">
        <v>117</v>
      </c>
      <c r="W78" s="176">
        <f t="shared" si="99"/>
        <v>15</v>
      </c>
      <c r="X78" s="177">
        <f t="shared" si="100"/>
        <v>40</v>
      </c>
      <c r="Y78" s="175" t="s">
        <v>120</v>
      </c>
      <c r="Z78" s="175" t="s">
        <v>125</v>
      </c>
      <c r="AA78" s="175" t="s">
        <v>129</v>
      </c>
      <c r="AB78" s="177">
        <f>IF(T78="Correctivo",L78,(L78-(L78*X78/100)))</f>
        <v>36</v>
      </c>
      <c r="AC78" s="325" t="str">
        <f t="shared" ref="AC78" si="108">IF(AB80&gt;80,"Muy Alta",IF(AB80&gt;60,"Alta",IF(AB80&gt;40,"Media",IF(AB80&gt;20,"Baja","Muy Baja"))))</f>
        <v>Baja</v>
      </c>
      <c r="AD78" s="175">
        <f>IF(T78="Correctivo",(N78-(N78*X78)/100),N78)</f>
        <v>60</v>
      </c>
      <c r="AE78" s="325" t="str">
        <f>IF(AD78&gt;80,"Catastrófico",IF(AD78&gt;60,"Mayor",IF(AD78&gt;40,"Moderado",IF(AD78&gt;20,"Menor","Leve"))))</f>
        <v>Moderado</v>
      </c>
      <c r="AF78" s="316" t="str">
        <f t="shared" ref="AF78" si="109">CONCATENATE(AC78,AE78)</f>
        <v>BajaModerado</v>
      </c>
      <c r="AG78" s="319" t="str">
        <f>VLOOKUP(AF78,'RIESGO RESIDUAL'!$A$1:$B$25,2,0)</f>
        <v>Moderado</v>
      </c>
      <c r="AH78" s="320" t="str">
        <f t="shared" ref="AH78:AH99" si="110">IF(AG78="Baja","Aceptar-Asumir","Reducir-Mitigar")</f>
        <v>Reducir-Mitigar</v>
      </c>
      <c r="AI78" s="340" t="s">
        <v>646</v>
      </c>
      <c r="AJ78" s="316" t="e">
        <f>CONCATENATE(AG78,#REF!)</f>
        <v>#REF!</v>
      </c>
      <c r="AK78" s="315" t="s">
        <v>647</v>
      </c>
      <c r="AL78" s="340" t="s">
        <v>365</v>
      </c>
      <c r="AM78" s="340" t="s">
        <v>365</v>
      </c>
      <c r="AN78" s="188"/>
    </row>
    <row r="79" spans="2:40" ht="15">
      <c r="B79" s="401"/>
      <c r="C79" s="321"/>
      <c r="D79" s="321"/>
      <c r="E79" s="321"/>
      <c r="F79" s="321"/>
      <c r="G79" s="321"/>
      <c r="H79" s="321"/>
      <c r="I79" s="325" t="s">
        <v>56</v>
      </c>
      <c r="J79" s="325"/>
      <c r="K79" s="325" t="e">
        <f>VLOOKUP(L79,'PARÁMETROS RIESGOS GESTIÓN'!D85:F90,3,TRUE)</f>
        <v>#N/A</v>
      </c>
      <c r="L79" s="325">
        <f t="shared" si="95"/>
        <v>100</v>
      </c>
      <c r="M79" s="325" t="s">
        <v>101</v>
      </c>
      <c r="N79" s="325">
        <f t="shared" si="15"/>
        <v>100</v>
      </c>
      <c r="O79" s="325">
        <f t="shared" si="96"/>
        <v>100100</v>
      </c>
      <c r="P79" s="319" t="e">
        <f>VLOOKUP(O79,'Zona de riesgo'!B85:C109,2)</f>
        <v>#N/A</v>
      </c>
      <c r="Q79" s="174" t="s">
        <v>648</v>
      </c>
      <c r="R79" s="187" t="s">
        <v>328</v>
      </c>
      <c r="S79" s="175"/>
      <c r="T79" s="175" t="s">
        <v>109</v>
      </c>
      <c r="U79" s="176">
        <f t="shared" si="98"/>
        <v>25</v>
      </c>
      <c r="V79" s="175" t="s">
        <v>117</v>
      </c>
      <c r="W79" s="176">
        <f t="shared" si="99"/>
        <v>15</v>
      </c>
      <c r="X79" s="177">
        <f t="shared" si="100"/>
        <v>40</v>
      </c>
      <c r="Y79" s="175" t="s">
        <v>120</v>
      </c>
      <c r="Z79" s="175" t="s">
        <v>125</v>
      </c>
      <c r="AA79" s="175" t="s">
        <v>129</v>
      </c>
      <c r="AB79" s="177">
        <f>IF(T79="preventivo",(AB78-(AB78*X79/100)),IF(T79="detectivo",(AB78-(AB78*X79/100)),IF(T79="Correctivo",AB78,AB78)))</f>
        <v>21.6</v>
      </c>
      <c r="AC79" s="325"/>
      <c r="AD79" s="175">
        <f>IF(T79="Correctivo",(AD78-(AD78*X78/100)),AD78)</f>
        <v>60</v>
      </c>
      <c r="AE79" s="325"/>
      <c r="AF79" s="317"/>
      <c r="AG79" s="319"/>
      <c r="AH79" s="320"/>
      <c r="AI79" s="337"/>
      <c r="AJ79" s="317"/>
      <c r="AK79" s="315"/>
      <c r="AL79" s="337"/>
      <c r="AM79" s="337"/>
      <c r="AN79" s="188"/>
    </row>
    <row r="80" spans="2:40" ht="15">
      <c r="B80" s="401"/>
      <c r="C80" s="321"/>
      <c r="D80" s="321"/>
      <c r="E80" s="321"/>
      <c r="F80" s="321"/>
      <c r="G80" s="321"/>
      <c r="H80" s="321"/>
      <c r="I80" s="325" t="s">
        <v>56</v>
      </c>
      <c r="J80" s="325"/>
      <c r="K80" s="325" t="e">
        <f>VLOOKUP(L80,'PARÁMETROS RIESGOS GESTIÓN'!D86:F91,3,TRUE)</f>
        <v>#N/A</v>
      </c>
      <c r="L80" s="325">
        <f t="shared" si="95"/>
        <v>100</v>
      </c>
      <c r="M80" s="325" t="s">
        <v>101</v>
      </c>
      <c r="N80" s="325">
        <f t="shared" ref="N80:N101" si="111">IF(M80="leve",20,IF(M80="Menor",40,IF(M80="Moderado",60,IF(M80="Mayor",80,IF(M80="Catastrófico",100,0)))))</f>
        <v>100</v>
      </c>
      <c r="O80" s="325">
        <f t="shared" si="96"/>
        <v>100100</v>
      </c>
      <c r="P80" s="319" t="e">
        <f>VLOOKUP(O80,'Zona de riesgo'!B86:C110,2)</f>
        <v>#N/A</v>
      </c>
      <c r="Q80" s="174" t="s">
        <v>645</v>
      </c>
      <c r="R80" s="187"/>
      <c r="S80" s="175" t="s">
        <v>328</v>
      </c>
      <c r="T80" s="175" t="s">
        <v>113</v>
      </c>
      <c r="U80" s="176">
        <f t="shared" si="98"/>
        <v>10</v>
      </c>
      <c r="V80" s="175" t="s">
        <v>117</v>
      </c>
      <c r="W80" s="176">
        <f t="shared" si="99"/>
        <v>15</v>
      </c>
      <c r="X80" s="177">
        <f t="shared" si="100"/>
        <v>25</v>
      </c>
      <c r="Y80" s="175" t="s">
        <v>120</v>
      </c>
      <c r="Z80" s="175" t="s">
        <v>125</v>
      </c>
      <c r="AA80" s="175" t="s">
        <v>129</v>
      </c>
      <c r="AB80" s="177">
        <f>IF(T80="preventivo",(AB79-(AB79*X80/100)),IF(T80="detectivo",(AB79-(AB79*X80/100)),IF(T80="Correctivo",AB79,AB79)))</f>
        <v>21.6</v>
      </c>
      <c r="AC80" s="325"/>
      <c r="AD80" s="175">
        <f>IF(T80="Correctivo",(AD79-(AD79*U79/100)),AD79)</f>
        <v>45</v>
      </c>
      <c r="AE80" s="325"/>
      <c r="AF80" s="318"/>
      <c r="AG80" s="319"/>
      <c r="AH80" s="320"/>
      <c r="AI80" s="338"/>
      <c r="AJ80" s="318"/>
      <c r="AK80" s="315"/>
      <c r="AL80" s="338"/>
      <c r="AM80" s="338"/>
      <c r="AN80" s="188"/>
    </row>
    <row r="81" spans="2:40" ht="30">
      <c r="B81" s="401">
        <v>52</v>
      </c>
      <c r="C81" s="322" t="s">
        <v>654</v>
      </c>
      <c r="D81" s="321" t="s">
        <v>464</v>
      </c>
      <c r="E81" s="321" t="s">
        <v>649</v>
      </c>
      <c r="F81" s="321" t="s">
        <v>650</v>
      </c>
      <c r="G81" s="321" t="s">
        <v>651</v>
      </c>
      <c r="H81" s="321" t="str">
        <f xml:space="preserve"> _xlfn.CONCAT("Posibilidad de ",E81, " debido a ",F81," por ",G81)</f>
        <v>Posibilidad de Afectacion Economica debido a Traslado de documentos de gestión financiera a archivo central por debilidad en  la custodia durante  el traslado</v>
      </c>
      <c r="I81" s="325" t="s">
        <v>61</v>
      </c>
      <c r="J81" s="325">
        <v>12</v>
      </c>
      <c r="K81" s="325" t="str">
        <f>VLOOKUP(L81,'PARÁMETROS RIESGOS GESTIÓN'!$D$12:$F$17,3,0)</f>
        <v>Baja</v>
      </c>
      <c r="L81" s="325">
        <f t="shared" ref="L81" si="112">IF(J81&lt;=2,20,IF(J81&lt;=24,40,IF(J81&lt;=500,60,IF(J81&lt;="5000",80,100))))</f>
        <v>40</v>
      </c>
      <c r="M81" s="325" t="s">
        <v>98</v>
      </c>
      <c r="N81" s="325">
        <f t="shared" si="111"/>
        <v>20</v>
      </c>
      <c r="O81" s="325">
        <f t="shared" si="96"/>
        <v>4020</v>
      </c>
      <c r="P81" s="319" t="str">
        <f>VLOOKUP(O81,'Zona de riesgo'!$B$9:$C$33,2)</f>
        <v>Baja</v>
      </c>
      <c r="Q81" s="174" t="s">
        <v>652</v>
      </c>
      <c r="R81" s="187" t="s">
        <v>20</v>
      </c>
      <c r="S81" s="175"/>
      <c r="T81" s="175" t="s">
        <v>109</v>
      </c>
      <c r="U81" s="176">
        <f t="shared" si="98"/>
        <v>25</v>
      </c>
      <c r="V81" s="175" t="s">
        <v>117</v>
      </c>
      <c r="W81" s="176">
        <f t="shared" si="99"/>
        <v>15</v>
      </c>
      <c r="X81" s="177">
        <f t="shared" si="100"/>
        <v>40</v>
      </c>
      <c r="Y81" s="175" t="s">
        <v>120</v>
      </c>
      <c r="Z81" s="175" t="s">
        <v>127</v>
      </c>
      <c r="AA81" s="175" t="s">
        <v>129</v>
      </c>
      <c r="AB81" s="177">
        <f>IF(T81="Correctivo",L81,(L81-(L81*X81/100)))</f>
        <v>24</v>
      </c>
      <c r="AC81" s="325" t="str">
        <f t="shared" ref="AC81" si="113">IF(AB83&gt;80,"Muy Alta",IF(AB83&gt;60,"Alta",IF(AB83&gt;40,"Media",IF(AB83&gt;20,"Baja","Muy Baja"))))</f>
        <v>Baja</v>
      </c>
      <c r="AD81" s="175">
        <f>IF(T81="Correctivo",(N81-(N81*X81)/100),N81)</f>
        <v>20</v>
      </c>
      <c r="AE81" s="325" t="str">
        <f>IF(AD81&gt;80,"Catastrófico",IF(AD81&gt;60,"Mayor",IF(AD81&gt;40,"Moderado",IF(AD81&gt;20,"Menor","Leve"))))</f>
        <v>Leve</v>
      </c>
      <c r="AF81" s="316" t="str">
        <f t="shared" ref="AF81" si="114">CONCATENATE(AC81,AE81)</f>
        <v>BajaLeve</v>
      </c>
      <c r="AG81" s="319" t="str">
        <f>VLOOKUP(AF81,'RIESGO RESIDUAL'!$A$1:$B$25,2,0)</f>
        <v>Baja</v>
      </c>
      <c r="AH81" s="320" t="str">
        <f t="shared" si="110"/>
        <v>Aceptar-Asumir</v>
      </c>
      <c r="AI81" s="315" t="s">
        <v>653</v>
      </c>
      <c r="AJ81" s="325" t="e">
        <f>CONCATENATE(AG81,#REF!)</f>
        <v>#REF!</v>
      </c>
      <c r="AK81" s="315" t="s">
        <v>469</v>
      </c>
      <c r="AL81" s="340" t="s">
        <v>365</v>
      </c>
      <c r="AM81" s="340" t="s">
        <v>365</v>
      </c>
      <c r="AN81" s="188"/>
    </row>
    <row r="82" spans="2:40" ht="15">
      <c r="B82" s="401"/>
      <c r="C82" s="323"/>
      <c r="D82" s="321"/>
      <c r="E82" s="321"/>
      <c r="F82" s="321"/>
      <c r="G82" s="321"/>
      <c r="H82" s="321"/>
      <c r="I82" s="325" t="s">
        <v>56</v>
      </c>
      <c r="J82" s="325"/>
      <c r="K82" s="325" t="e">
        <f>VLOOKUP(L82,'PARÁMETROS RIESGOS GESTIÓN'!D88:F93,3,TRUE)</f>
        <v>#N/A</v>
      </c>
      <c r="L82" s="325">
        <f t="shared" si="95"/>
        <v>100</v>
      </c>
      <c r="M82" s="325" t="s">
        <v>101</v>
      </c>
      <c r="N82" s="325">
        <f t="shared" si="111"/>
        <v>100</v>
      </c>
      <c r="O82" s="325">
        <f t="shared" si="96"/>
        <v>100100</v>
      </c>
      <c r="P82" s="319" t="e">
        <f>VLOOKUP(O82,'Zona de riesgo'!B88:C112,2)</f>
        <v>#N/A</v>
      </c>
      <c r="Q82" s="174"/>
      <c r="R82" s="187"/>
      <c r="S82" s="175"/>
      <c r="T82" s="195"/>
      <c r="U82" s="176"/>
      <c r="V82" s="175"/>
      <c r="W82" s="176"/>
      <c r="X82" s="177"/>
      <c r="Y82" s="175"/>
      <c r="Z82" s="176"/>
      <c r="AA82" s="177"/>
      <c r="AB82" s="177">
        <f>IF(T82="preventivo",(AB81-(AB81*X82/100)),IF(T82="detectivo",(AB81-(AB81*X82/100)),IF(T82="Correctivo",AB81,AB81)))</f>
        <v>24</v>
      </c>
      <c r="AC82" s="325"/>
      <c r="AD82" s="175">
        <f>IF(T82="Correctivo",(AD81-(AD81*X81/100)),AD81)</f>
        <v>20</v>
      </c>
      <c r="AE82" s="325"/>
      <c r="AF82" s="317"/>
      <c r="AG82" s="319"/>
      <c r="AH82" s="320"/>
      <c r="AI82" s="315"/>
      <c r="AJ82" s="325"/>
      <c r="AK82" s="315"/>
      <c r="AL82" s="337"/>
      <c r="AM82" s="337"/>
      <c r="AN82" s="188"/>
    </row>
    <row r="83" spans="2:40" ht="15">
      <c r="B83" s="401"/>
      <c r="C83" s="324"/>
      <c r="D83" s="321"/>
      <c r="E83" s="321"/>
      <c r="F83" s="321"/>
      <c r="G83" s="321"/>
      <c r="H83" s="321"/>
      <c r="I83" s="325" t="s">
        <v>56</v>
      </c>
      <c r="J83" s="325"/>
      <c r="K83" s="325" t="e">
        <f>VLOOKUP(L83,'PARÁMETROS RIESGOS GESTIÓN'!D89:F94,3,TRUE)</f>
        <v>#N/A</v>
      </c>
      <c r="L83" s="325">
        <f t="shared" si="95"/>
        <v>100</v>
      </c>
      <c r="M83" s="325" t="s">
        <v>101</v>
      </c>
      <c r="N83" s="325">
        <f t="shared" si="111"/>
        <v>100</v>
      </c>
      <c r="O83" s="325">
        <f t="shared" si="96"/>
        <v>100100</v>
      </c>
      <c r="P83" s="319" t="e">
        <f>VLOOKUP(O83,'Zona de riesgo'!B89:C113,2)</f>
        <v>#N/A</v>
      </c>
      <c r="Q83" s="174"/>
      <c r="R83" s="187"/>
      <c r="S83" s="175"/>
      <c r="T83" s="195"/>
      <c r="U83" s="176"/>
      <c r="V83" s="175"/>
      <c r="W83" s="176"/>
      <c r="X83" s="177"/>
      <c r="Y83" s="175"/>
      <c r="Z83" s="176"/>
      <c r="AA83" s="177"/>
      <c r="AB83" s="177">
        <f>IF(T83="preventivo",(AB82-(AB82*X83/100)),IF(T83="detectivo",(AB82-(AB82*X83/100)),IF(T83="Correctivo",AB82,AB82)))</f>
        <v>24</v>
      </c>
      <c r="AC83" s="325"/>
      <c r="AD83" s="175">
        <f>IF(T83="Correctivo",(AD82-(AD82*U82/100)),AD82)</f>
        <v>20</v>
      </c>
      <c r="AE83" s="325"/>
      <c r="AF83" s="318"/>
      <c r="AG83" s="319"/>
      <c r="AH83" s="320"/>
      <c r="AI83" s="315"/>
      <c r="AJ83" s="325"/>
      <c r="AK83" s="315"/>
      <c r="AL83" s="338"/>
      <c r="AM83" s="338"/>
      <c r="AN83" s="188"/>
    </row>
    <row r="84" spans="2:40" ht="45">
      <c r="B84" s="401">
        <v>53</v>
      </c>
      <c r="C84" s="322" t="s">
        <v>660</v>
      </c>
      <c r="D84" s="321" t="s">
        <v>710</v>
      </c>
      <c r="E84" s="321" t="s">
        <v>655</v>
      </c>
      <c r="F84" s="321" t="s">
        <v>656</v>
      </c>
      <c r="G84" s="321" t="s">
        <v>657</v>
      </c>
      <c r="H84" s="321" t="str">
        <f xml:space="preserve"> _xlfn.CONCAT("Posibilidad de ",E84, " debido a ",F84," por ",G84)</f>
        <v>Posibilidad de Incumplimiento de  la norma vigente para la administración de los archivos de gestión debido a envio de la documentación al archivo central de manera inoportuna por Desorganización al interior de las áreas en la gestión de archivos</v>
      </c>
      <c r="I84" s="325" t="s">
        <v>50</v>
      </c>
      <c r="J84" s="339">
        <v>100</v>
      </c>
      <c r="K84" s="325" t="str">
        <f>VLOOKUP(L84,'PARÁMETROS RIESGOS GESTIÓN'!$D$12:$F$17,3,0)</f>
        <v>Media</v>
      </c>
      <c r="L84" s="325">
        <f t="shared" ref="L84" si="115">IF(J84&lt;=2,20,IF(J84&lt;=24,40,IF(J84&lt;=500,60,IF(J84&lt;="5000",80,100))))</f>
        <v>60</v>
      </c>
      <c r="M84" s="325" t="s">
        <v>13</v>
      </c>
      <c r="N84" s="325">
        <f t="shared" si="111"/>
        <v>60</v>
      </c>
      <c r="O84" s="325">
        <f t="shared" si="96"/>
        <v>6060</v>
      </c>
      <c r="P84" s="319" t="str">
        <f>VLOOKUP(O84,'Zona de riesgo'!$B$9:$C$33,2)</f>
        <v>Moderado</v>
      </c>
      <c r="Q84" s="174" t="s">
        <v>658</v>
      </c>
      <c r="R84" s="187" t="s">
        <v>328</v>
      </c>
      <c r="S84" s="175"/>
      <c r="T84" s="175" t="s">
        <v>109</v>
      </c>
      <c r="U84" s="176">
        <f t="shared" si="98"/>
        <v>25</v>
      </c>
      <c r="V84" s="175" t="s">
        <v>117</v>
      </c>
      <c r="W84" s="176">
        <f t="shared" si="99"/>
        <v>15</v>
      </c>
      <c r="X84" s="177">
        <f t="shared" si="100"/>
        <v>40</v>
      </c>
      <c r="Y84" s="175" t="s">
        <v>120</v>
      </c>
      <c r="Z84" s="175" t="s">
        <v>127</v>
      </c>
      <c r="AA84" s="175" t="s">
        <v>129</v>
      </c>
      <c r="AB84" s="177">
        <f>IF(T84="Correctivo",L84,(L84-(L84*X84/100)))</f>
        <v>36</v>
      </c>
      <c r="AC84" s="325" t="str">
        <f t="shared" ref="AC84" si="116">IF(AB86&gt;80,"Muy Alta",IF(AB86&gt;60,"Alta",IF(AB86&gt;40,"Media",IF(AB86&gt;20,"Baja","Muy Baja"))))</f>
        <v>Baja</v>
      </c>
      <c r="AD84" s="175">
        <f>IF(T84="Correctivo",(N84-(N84*X84)/100),N84)</f>
        <v>60</v>
      </c>
      <c r="AE84" s="325" t="str">
        <f>IF(AD84&gt;80,"Catastrófico",IF(AD84&gt;60,"Mayor",IF(AD84&gt;40,"Moderado",IF(AD84&gt;20,"Menor","Leve"))))</f>
        <v>Moderado</v>
      </c>
      <c r="AF84" s="316" t="str">
        <f t="shared" ref="AF84" si="117">CONCATENATE(AC84,AE84)</f>
        <v>BajaModerado</v>
      </c>
      <c r="AG84" s="319" t="str">
        <f>VLOOKUP(AF84,'RIESGO RESIDUAL'!$A$1:$B$25,2,0)</f>
        <v>Moderado</v>
      </c>
      <c r="AH84" s="320" t="str">
        <f t="shared" si="110"/>
        <v>Reducir-Mitigar</v>
      </c>
      <c r="AI84" s="315" t="s">
        <v>659</v>
      </c>
      <c r="AJ84" s="325" t="e">
        <f>CONCATENATE(AG84,#REF!)</f>
        <v>#REF!</v>
      </c>
      <c r="AK84" s="315" t="s">
        <v>408</v>
      </c>
      <c r="AL84" s="333" t="s">
        <v>409</v>
      </c>
      <c r="AM84" s="336">
        <v>44805</v>
      </c>
      <c r="AN84" s="188"/>
    </row>
    <row r="85" spans="2:40" ht="15">
      <c r="B85" s="401"/>
      <c r="C85" s="323"/>
      <c r="D85" s="321"/>
      <c r="E85" s="321"/>
      <c r="F85" s="321"/>
      <c r="G85" s="321"/>
      <c r="H85" s="321"/>
      <c r="I85" s="325" t="s">
        <v>56</v>
      </c>
      <c r="J85" s="339"/>
      <c r="K85" s="325" t="e">
        <f>VLOOKUP(L85,'PARÁMETROS RIESGOS GESTIÓN'!D91:F96,3,TRUE)</f>
        <v>#N/A</v>
      </c>
      <c r="L85" s="325">
        <f t="shared" si="95"/>
        <v>100</v>
      </c>
      <c r="M85" s="325" t="s">
        <v>101</v>
      </c>
      <c r="N85" s="325">
        <f t="shared" si="111"/>
        <v>100</v>
      </c>
      <c r="O85" s="325">
        <f t="shared" si="96"/>
        <v>100100</v>
      </c>
      <c r="P85" s="319" t="e">
        <f>VLOOKUP(O85,'Zona de riesgo'!B91:C115,2)</f>
        <v>#N/A</v>
      </c>
      <c r="Q85" s="174"/>
      <c r="R85" s="187"/>
      <c r="S85" s="175"/>
      <c r="T85" s="195"/>
      <c r="U85" s="176"/>
      <c r="V85" s="175"/>
      <c r="W85" s="176"/>
      <c r="X85" s="177"/>
      <c r="Y85" s="175"/>
      <c r="Z85" s="176"/>
      <c r="AA85" s="177"/>
      <c r="AB85" s="177">
        <f>IF(T85="preventivo",(AB84-(AB84*X85/100)),IF(T85="detectivo",(AB84-(AB84*X85/100)),IF(T85="Correctivo",AB84,AB84)))</f>
        <v>36</v>
      </c>
      <c r="AC85" s="325"/>
      <c r="AD85" s="175">
        <f>IF(T85="Correctivo",(AD84-(AD84*X84/100)),AD84)</f>
        <v>60</v>
      </c>
      <c r="AE85" s="325"/>
      <c r="AF85" s="317"/>
      <c r="AG85" s="319"/>
      <c r="AH85" s="320"/>
      <c r="AI85" s="315"/>
      <c r="AJ85" s="325"/>
      <c r="AK85" s="315"/>
      <c r="AL85" s="334"/>
      <c r="AM85" s="337"/>
      <c r="AN85" s="188"/>
    </row>
    <row r="86" spans="2:40" ht="15">
      <c r="B86" s="401"/>
      <c r="C86" s="324"/>
      <c r="D86" s="321"/>
      <c r="E86" s="321"/>
      <c r="F86" s="321"/>
      <c r="G86" s="321"/>
      <c r="H86" s="321"/>
      <c r="I86" s="325" t="s">
        <v>56</v>
      </c>
      <c r="J86" s="339"/>
      <c r="K86" s="325" t="e">
        <f>VLOOKUP(L86,'PARÁMETROS RIESGOS GESTIÓN'!D92:F97,3,TRUE)</f>
        <v>#N/A</v>
      </c>
      <c r="L86" s="325">
        <f t="shared" si="95"/>
        <v>100</v>
      </c>
      <c r="M86" s="325" t="s">
        <v>101</v>
      </c>
      <c r="N86" s="325">
        <f t="shared" si="111"/>
        <v>100</v>
      </c>
      <c r="O86" s="325">
        <f t="shared" si="96"/>
        <v>100100</v>
      </c>
      <c r="P86" s="319" t="e">
        <f>VLOOKUP(O86,'Zona de riesgo'!B92:C116,2)</f>
        <v>#N/A</v>
      </c>
      <c r="Q86" s="174"/>
      <c r="R86" s="187"/>
      <c r="S86" s="175"/>
      <c r="T86" s="195"/>
      <c r="U86" s="176"/>
      <c r="V86" s="175"/>
      <c r="W86" s="176"/>
      <c r="X86" s="177"/>
      <c r="Y86" s="175"/>
      <c r="Z86" s="176"/>
      <c r="AA86" s="177"/>
      <c r="AB86" s="177">
        <f>IF(T86="preventivo",(AB85-(AB85*X86/100)),IF(T86="detectivo",(AB85-(AB85*X86/100)),IF(T86="Correctivo",AB85,AB85)))</f>
        <v>36</v>
      </c>
      <c r="AC86" s="325"/>
      <c r="AD86" s="175">
        <f>IF(T86="Correctivo",(AD85-(AD85*U85/100)),AD85)</f>
        <v>60</v>
      </c>
      <c r="AE86" s="325"/>
      <c r="AF86" s="318"/>
      <c r="AG86" s="319"/>
      <c r="AH86" s="320"/>
      <c r="AI86" s="315"/>
      <c r="AJ86" s="325"/>
      <c r="AK86" s="315"/>
      <c r="AL86" s="335"/>
      <c r="AM86" s="338"/>
      <c r="AN86" s="188"/>
    </row>
    <row r="87" spans="2:40" ht="30">
      <c r="B87" s="401">
        <v>54</v>
      </c>
      <c r="C87" s="322" t="s">
        <v>672</v>
      </c>
      <c r="D87" s="321" t="s">
        <v>710</v>
      </c>
      <c r="E87" s="321" t="s">
        <v>661</v>
      </c>
      <c r="F87" s="321" t="s">
        <v>662</v>
      </c>
      <c r="G87" s="321" t="s">
        <v>663</v>
      </c>
      <c r="H87" s="321" t="str">
        <f xml:space="preserve"> _xlfn.CONCAT("Posibilidad de ",E87, " debido a ",F87," por ",G87)</f>
        <v>Posibilidad de Desactualización del sistema de inventarios a nivel nacional debido a Las diferentes oficinas de las areas a nivel central y las  regionales no reportan los cambios o reasignaciones de los inventarios por Debilidad en la implementación de la política de inventarios.</v>
      </c>
      <c r="I87" s="325" t="s">
        <v>50</v>
      </c>
      <c r="J87" s="325">
        <v>10</v>
      </c>
      <c r="K87" s="325" t="str">
        <f>VLOOKUP(L87,'PARÁMETROS RIESGOS GESTIÓN'!$D$12:$F$17,3,0)</f>
        <v>Baja</v>
      </c>
      <c r="L87" s="325">
        <f t="shared" ref="L87" si="118">IF(J87&lt;=2,20,IF(J87&lt;=24,40,IF(J87&lt;=500,60,IF(J87&lt;="5000",80,100))))</f>
        <v>40</v>
      </c>
      <c r="M87" s="325" t="s">
        <v>13</v>
      </c>
      <c r="N87" s="325">
        <f t="shared" si="111"/>
        <v>60</v>
      </c>
      <c r="O87" s="325">
        <f t="shared" si="96"/>
        <v>4060</v>
      </c>
      <c r="P87" s="319" t="str">
        <f>VLOOKUP(O87,'Zona de riesgo'!$B$9:$C$33,2)</f>
        <v>Moderado</v>
      </c>
      <c r="Q87" s="174" t="s">
        <v>664</v>
      </c>
      <c r="R87" s="187" t="s">
        <v>20</v>
      </c>
      <c r="S87" s="175"/>
      <c r="T87" s="175" t="s">
        <v>109</v>
      </c>
      <c r="U87" s="176">
        <f t="shared" si="98"/>
        <v>25</v>
      </c>
      <c r="V87" s="175" t="s">
        <v>115</v>
      </c>
      <c r="W87" s="176">
        <f t="shared" si="99"/>
        <v>25</v>
      </c>
      <c r="X87" s="177">
        <f t="shared" si="100"/>
        <v>50</v>
      </c>
      <c r="Y87" s="175" t="s">
        <v>120</v>
      </c>
      <c r="Z87" s="175" t="s">
        <v>125</v>
      </c>
      <c r="AA87" s="175" t="s">
        <v>129</v>
      </c>
      <c r="AB87" s="177">
        <f>IF(T87="Correctivo",L87,(L87-(L87*X87/100)))</f>
        <v>20</v>
      </c>
      <c r="AC87" s="325" t="str">
        <f t="shared" ref="AC87:AC90" si="119">IF(AB89&gt;80,"Muy Alta",IF(AB89&gt;60,"Alta",IF(AB89&gt;40,"Media",IF(AB89&gt;20,"Baja","Muy Baja"))))</f>
        <v>Muy Baja</v>
      </c>
      <c r="AD87" s="175">
        <f>IF(T87="Correctivo",(N87-(N87*X87)/100),N87)</f>
        <v>60</v>
      </c>
      <c r="AE87" s="325" t="str">
        <f>IF(AD87&gt;80,"Catastrófico",IF(AD87&gt;60,"Mayor",IF(AD87&gt;40,"Moderado",IF(AD87&gt;20,"Menor","Leve"))))</f>
        <v>Moderado</v>
      </c>
      <c r="AF87" s="316" t="str">
        <f t="shared" ref="AF87" si="120">CONCATENATE(AC87,AE87)</f>
        <v>Muy BajaModerado</v>
      </c>
      <c r="AG87" s="319" t="str">
        <f>VLOOKUP(AF87,'RIESGO RESIDUAL'!$A$1:$B$25,2,0)</f>
        <v>Moderado</v>
      </c>
      <c r="AH87" s="320" t="str">
        <f t="shared" si="110"/>
        <v>Reducir-Mitigar</v>
      </c>
      <c r="AI87" s="315" t="s">
        <v>665</v>
      </c>
      <c r="AJ87" s="325" t="e">
        <f>CONCATENATE(AG87,#REF!)</f>
        <v>#REF!</v>
      </c>
      <c r="AK87" s="315" t="s">
        <v>666</v>
      </c>
      <c r="AL87" s="189"/>
      <c r="AM87" s="189"/>
      <c r="AN87" s="189"/>
    </row>
    <row r="88" spans="2:40" ht="30">
      <c r="B88" s="401"/>
      <c r="C88" s="323"/>
      <c r="D88" s="321"/>
      <c r="E88" s="321"/>
      <c r="F88" s="321"/>
      <c r="G88" s="321"/>
      <c r="H88" s="321"/>
      <c r="I88" s="325" t="s">
        <v>56</v>
      </c>
      <c r="J88" s="325"/>
      <c r="K88" s="325" t="e">
        <f>VLOOKUP(L88,'PARÁMETROS RIESGOS GESTIÓN'!D94:F99,3,TRUE)</f>
        <v>#N/A</v>
      </c>
      <c r="L88" s="325">
        <f t="shared" si="95"/>
        <v>100</v>
      </c>
      <c r="M88" s="325" t="s">
        <v>101</v>
      </c>
      <c r="N88" s="325">
        <f t="shared" si="111"/>
        <v>100</v>
      </c>
      <c r="O88" s="325">
        <f t="shared" si="96"/>
        <v>100100</v>
      </c>
      <c r="P88" s="319" t="e">
        <f>VLOOKUP(O88,'Zona de riesgo'!B94:C118,2)</f>
        <v>#N/A</v>
      </c>
      <c r="Q88" s="174" t="s">
        <v>667</v>
      </c>
      <c r="R88" s="187"/>
      <c r="S88" s="175"/>
      <c r="T88" s="175"/>
      <c r="U88" s="176"/>
      <c r="V88" s="175"/>
      <c r="W88" s="176"/>
      <c r="X88" s="177"/>
      <c r="Y88" s="175"/>
      <c r="Z88" s="176"/>
      <c r="AA88" s="177"/>
      <c r="AB88" s="177">
        <f>IF(T88="preventivo",(AB87-(AB87*X88/100)),IF(T88="detectivo",(AB87-(AB87*X88/100)),IF(T88="Correctivo",AB87,AB87)))</f>
        <v>20</v>
      </c>
      <c r="AC88" s="325"/>
      <c r="AD88" s="175">
        <f>IF(T88="Correctivo",(AD87-(AD87*X87/100)),AD87)</f>
        <v>60</v>
      </c>
      <c r="AE88" s="325"/>
      <c r="AF88" s="317"/>
      <c r="AG88" s="319"/>
      <c r="AH88" s="320"/>
      <c r="AI88" s="315"/>
      <c r="AJ88" s="325"/>
      <c r="AK88" s="315"/>
      <c r="AL88" s="190"/>
      <c r="AM88" s="190"/>
      <c r="AN88" s="190"/>
    </row>
    <row r="89" spans="2:40" ht="15">
      <c r="B89" s="401"/>
      <c r="C89" s="324"/>
      <c r="D89" s="321"/>
      <c r="E89" s="321"/>
      <c r="F89" s="321"/>
      <c r="G89" s="321"/>
      <c r="H89" s="321"/>
      <c r="I89" s="325" t="s">
        <v>56</v>
      </c>
      <c r="J89" s="325"/>
      <c r="K89" s="325" t="e">
        <f>VLOOKUP(L89,'PARÁMETROS RIESGOS GESTIÓN'!D95:F100,3,TRUE)</f>
        <v>#N/A</v>
      </c>
      <c r="L89" s="325">
        <f t="shared" si="95"/>
        <v>100</v>
      </c>
      <c r="M89" s="325" t="s">
        <v>101</v>
      </c>
      <c r="N89" s="325">
        <f t="shared" si="111"/>
        <v>100</v>
      </c>
      <c r="O89" s="325">
        <f t="shared" si="96"/>
        <v>100100</v>
      </c>
      <c r="P89" s="319" t="e">
        <f>VLOOKUP(O89,'Zona de riesgo'!B95:C119,2)</f>
        <v>#N/A</v>
      </c>
      <c r="Q89" s="174" t="s">
        <v>135</v>
      </c>
      <c r="R89" s="187"/>
      <c r="S89" s="175"/>
      <c r="T89" s="175"/>
      <c r="U89" s="176"/>
      <c r="V89" s="175"/>
      <c r="W89" s="176"/>
      <c r="X89" s="177"/>
      <c r="Y89" s="175"/>
      <c r="Z89" s="176"/>
      <c r="AA89" s="177"/>
      <c r="AB89" s="177">
        <f>IF(T89="preventivo",(AB88-(AB88*X89/100)),IF(T89="detectivo",(AB88-(AB88*X89/100)),IF(T89="Correctivo",AB88,AB88)))</f>
        <v>20</v>
      </c>
      <c r="AC89" s="325"/>
      <c r="AD89" s="175">
        <f>IF(T89="Correctivo",(AD88-(AD88*U88/100)),AD88)</f>
        <v>60</v>
      </c>
      <c r="AE89" s="325"/>
      <c r="AF89" s="318"/>
      <c r="AG89" s="319"/>
      <c r="AH89" s="320"/>
      <c r="AI89" s="315"/>
      <c r="AJ89" s="325"/>
      <c r="AK89" s="315"/>
      <c r="AL89" s="191"/>
      <c r="AM89" s="191"/>
      <c r="AN89" s="191"/>
    </row>
    <row r="90" spans="2:40" ht="45">
      <c r="B90" s="401">
        <v>55</v>
      </c>
      <c r="C90" s="322" t="s">
        <v>672</v>
      </c>
      <c r="D90" s="321" t="s">
        <v>710</v>
      </c>
      <c r="E90" s="321" t="s">
        <v>668</v>
      </c>
      <c r="F90" s="321" t="s">
        <v>669</v>
      </c>
      <c r="G90" s="321" t="s">
        <v>670</v>
      </c>
      <c r="H90" s="321" t="str">
        <f xml:space="preserve"> _xlfn.CONCAT("Posibilidad de ",E90, " debido a ",F90," por ",G90)</f>
        <v>Posibilidad de Detrimento Patrimonial debido a Perdida de equipos electrónicos por Ausencia de control de los activos asignados por parte de los funcionarios o siniestros por tercero o caso fortuito</v>
      </c>
      <c r="I90" s="325" t="s">
        <v>61</v>
      </c>
      <c r="J90" s="325">
        <v>10</v>
      </c>
      <c r="K90" s="325" t="str">
        <f>VLOOKUP(L90,'PARÁMETROS RIESGOS GESTIÓN'!$D$12:$F$17,3,0)</f>
        <v>Baja</v>
      </c>
      <c r="L90" s="325">
        <f t="shared" ref="L90" si="121">IF(J90&lt;=2,20,IF(J90&lt;=24,40,IF(J90&lt;=500,60,IF(J90&lt;="5000",80,100))))</f>
        <v>40</v>
      </c>
      <c r="M90" s="325" t="s">
        <v>13</v>
      </c>
      <c r="N90" s="325">
        <f t="shared" si="111"/>
        <v>60</v>
      </c>
      <c r="O90" s="325">
        <f t="shared" si="96"/>
        <v>4060</v>
      </c>
      <c r="P90" s="319" t="str">
        <f>VLOOKUP(O90,'Zona de riesgo'!$B$9:$C$33,2)</f>
        <v>Moderado</v>
      </c>
      <c r="Q90" s="192" t="s">
        <v>671</v>
      </c>
      <c r="R90" s="187" t="s">
        <v>20</v>
      </c>
      <c r="S90" s="175"/>
      <c r="T90" s="175" t="s">
        <v>109</v>
      </c>
      <c r="U90" s="176">
        <f t="shared" si="98"/>
        <v>25</v>
      </c>
      <c r="V90" s="175" t="s">
        <v>115</v>
      </c>
      <c r="W90" s="176">
        <f t="shared" si="99"/>
        <v>25</v>
      </c>
      <c r="X90" s="177">
        <f t="shared" si="100"/>
        <v>50</v>
      </c>
      <c r="Y90" s="175" t="s">
        <v>120</v>
      </c>
      <c r="Z90" s="175" t="s">
        <v>125</v>
      </c>
      <c r="AA90" s="175" t="s">
        <v>131</v>
      </c>
      <c r="AB90" s="177">
        <f>IF(T90="Correctivo",L90,(L90-(L90*X90/100)))</f>
        <v>20</v>
      </c>
      <c r="AC90" s="325" t="str">
        <f t="shared" si="119"/>
        <v>Muy Baja</v>
      </c>
      <c r="AD90" s="175">
        <f>IF(T90="Correctivo",(N90-(N90*X90)/100),N90)</f>
        <v>60</v>
      </c>
      <c r="AE90" s="325" t="str">
        <f>IF(AD90&gt;80,"Catastrófico",IF(AD90&gt;60,"Mayor",IF(AD90&gt;40,"Moderado",IF(AD90&gt;20,"Menor","Leve"))))</f>
        <v>Moderado</v>
      </c>
      <c r="AF90" s="316" t="str">
        <f t="shared" ref="AF90" si="122">CONCATENATE(AC90,AE90)</f>
        <v>Muy BajaModerado</v>
      </c>
      <c r="AG90" s="319" t="str">
        <f>VLOOKUP(AF90,'RIESGO RESIDUAL'!$A$1:$B$25,2,0)</f>
        <v>Moderado</v>
      </c>
      <c r="AH90" s="320" t="str">
        <f t="shared" si="110"/>
        <v>Reducir-Mitigar</v>
      </c>
      <c r="AI90" s="315" t="s">
        <v>665</v>
      </c>
      <c r="AJ90" s="325" t="e">
        <f>CONCATENATE(AG90,#REF!)</f>
        <v>#REF!</v>
      </c>
      <c r="AK90" s="315" t="s">
        <v>666</v>
      </c>
      <c r="AL90" s="189"/>
      <c r="AM90" s="189"/>
      <c r="AN90" s="189"/>
    </row>
    <row r="91" spans="2:40" ht="15">
      <c r="B91" s="401"/>
      <c r="C91" s="323"/>
      <c r="D91" s="321"/>
      <c r="E91" s="321"/>
      <c r="F91" s="321"/>
      <c r="G91" s="321"/>
      <c r="H91" s="321"/>
      <c r="I91" s="325" t="s">
        <v>56</v>
      </c>
      <c r="J91" s="325"/>
      <c r="K91" s="325" t="e">
        <f>VLOOKUP(L91,'PARÁMETROS RIESGOS GESTIÓN'!D97:F102,3,TRUE)</f>
        <v>#N/A</v>
      </c>
      <c r="L91" s="325">
        <f t="shared" si="95"/>
        <v>100</v>
      </c>
      <c r="M91" s="325" t="s">
        <v>101</v>
      </c>
      <c r="N91" s="325">
        <f t="shared" si="111"/>
        <v>100</v>
      </c>
      <c r="O91" s="325">
        <f t="shared" si="96"/>
        <v>100100</v>
      </c>
      <c r="P91" s="319" t="e">
        <f>VLOOKUP(O91,'Zona de riesgo'!B97:C121,2)</f>
        <v>#N/A</v>
      </c>
      <c r="Q91" s="174"/>
      <c r="R91" s="187"/>
      <c r="S91" s="175"/>
      <c r="T91" s="175"/>
      <c r="U91" s="176"/>
      <c r="V91" s="175"/>
      <c r="W91" s="176"/>
      <c r="X91" s="177"/>
      <c r="Y91" s="175"/>
      <c r="Z91" s="176"/>
      <c r="AA91" s="177"/>
      <c r="AB91" s="177">
        <f>IF(T91="preventivo",(AB90-(AB90*X91/100)),IF(T91="detectivo",(AB90-(AB90*X91/100)),IF(T91="Correctivo",AB90,AB90)))</f>
        <v>20</v>
      </c>
      <c r="AC91" s="325"/>
      <c r="AD91" s="175">
        <f>IF(T91="Correctivo",(AD90-(AD90*X90/100)),AD90)</f>
        <v>60</v>
      </c>
      <c r="AE91" s="325"/>
      <c r="AF91" s="317"/>
      <c r="AG91" s="319"/>
      <c r="AH91" s="320"/>
      <c r="AI91" s="315"/>
      <c r="AJ91" s="325"/>
      <c r="AK91" s="315"/>
      <c r="AL91" s="190"/>
      <c r="AM91" s="190"/>
      <c r="AN91" s="190"/>
    </row>
    <row r="92" spans="2:40" ht="15">
      <c r="B92" s="401"/>
      <c r="C92" s="324"/>
      <c r="D92" s="321"/>
      <c r="E92" s="321"/>
      <c r="F92" s="321"/>
      <c r="G92" s="321"/>
      <c r="H92" s="321"/>
      <c r="I92" s="325" t="s">
        <v>56</v>
      </c>
      <c r="J92" s="325"/>
      <c r="K92" s="325" t="e">
        <f>VLOOKUP(L92,'PARÁMETROS RIESGOS GESTIÓN'!D98:F103,3,TRUE)</f>
        <v>#N/A</v>
      </c>
      <c r="L92" s="325">
        <f t="shared" si="95"/>
        <v>100</v>
      </c>
      <c r="M92" s="325" t="s">
        <v>101</v>
      </c>
      <c r="N92" s="325">
        <f t="shared" si="111"/>
        <v>100</v>
      </c>
      <c r="O92" s="325">
        <f t="shared" si="96"/>
        <v>100100</v>
      </c>
      <c r="P92" s="319" t="e">
        <f>VLOOKUP(O92,'Zona de riesgo'!B98:C122,2)</f>
        <v>#N/A</v>
      </c>
      <c r="Q92" s="174"/>
      <c r="R92" s="187"/>
      <c r="S92" s="175"/>
      <c r="T92" s="175"/>
      <c r="U92" s="176"/>
      <c r="V92" s="175"/>
      <c r="W92" s="176"/>
      <c r="X92" s="177"/>
      <c r="Y92" s="175"/>
      <c r="Z92" s="176"/>
      <c r="AA92" s="177"/>
      <c r="AB92" s="177">
        <f>IF(T92="preventivo",(AB91-(AB91*X92/100)),IF(T92="detectivo",(AB91-(AB91*X92/100)),IF(T92="Correctivo",AB91,AB91)))</f>
        <v>20</v>
      </c>
      <c r="AC92" s="325"/>
      <c r="AD92" s="175">
        <f>IF(T92="Correctivo",(AD91-(AD91*U91/100)),AD91)</f>
        <v>60</v>
      </c>
      <c r="AE92" s="325"/>
      <c r="AF92" s="318"/>
      <c r="AG92" s="319"/>
      <c r="AH92" s="320"/>
      <c r="AI92" s="315"/>
      <c r="AJ92" s="325"/>
      <c r="AK92" s="315"/>
      <c r="AL92" s="191"/>
      <c r="AM92" s="191"/>
      <c r="AN92" s="191"/>
    </row>
    <row r="93" spans="2:40" ht="60">
      <c r="B93" s="401">
        <v>56</v>
      </c>
      <c r="C93" s="322" t="s">
        <v>701</v>
      </c>
      <c r="D93" s="321" t="s">
        <v>435</v>
      </c>
      <c r="E93" s="321" t="s">
        <v>673</v>
      </c>
      <c r="F93" s="321" t="s">
        <v>674</v>
      </c>
      <c r="G93" s="321" t="s">
        <v>675</v>
      </c>
      <c r="H93" s="321" t="str">
        <f xml:space="preserve"> _xlfn.CONCAT("Posibilidad de ",E93, " debido a ",F93," por ",G93)</f>
        <v>Posibilidad de Cese de operaciones totales o parciales de la entidad debido a Uso de  software no licenciados por debilidad en los controles para el vencimiento de las licencias</v>
      </c>
      <c r="I93" s="332" t="s">
        <v>50</v>
      </c>
      <c r="J93" s="332">
        <v>360</v>
      </c>
      <c r="K93" s="325" t="str">
        <f>VLOOKUP(L93,'PARÁMETROS RIESGOS GESTIÓN'!$D$12:$F$17,3,0)</f>
        <v>Media</v>
      </c>
      <c r="L93" s="325">
        <f t="shared" ref="L93" si="123">IF(J93&lt;=2,20,IF(J93&lt;=24,40,IF(J93&lt;=500,60,IF(J93&lt;="5000",80,100))))</f>
        <v>60</v>
      </c>
      <c r="M93" s="332" t="s">
        <v>99</v>
      </c>
      <c r="N93" s="325">
        <f t="shared" si="111"/>
        <v>40</v>
      </c>
      <c r="O93" s="325">
        <f t="shared" si="96"/>
        <v>6040</v>
      </c>
      <c r="P93" s="319" t="str">
        <f>VLOOKUP(O93,'Zona de riesgo'!$B$9:$C$33,2)</f>
        <v>Moderado</v>
      </c>
      <c r="Q93" s="193" t="s">
        <v>676</v>
      </c>
      <c r="R93" s="194" t="s">
        <v>20</v>
      </c>
      <c r="S93" s="194"/>
      <c r="T93" s="175" t="s">
        <v>109</v>
      </c>
      <c r="U93" s="176">
        <f t="shared" si="98"/>
        <v>25</v>
      </c>
      <c r="V93" s="175" t="s">
        <v>117</v>
      </c>
      <c r="W93" s="176">
        <f t="shared" si="99"/>
        <v>15</v>
      </c>
      <c r="X93" s="177">
        <f>U93+W93</f>
        <v>40</v>
      </c>
      <c r="Y93" s="175" t="s">
        <v>120</v>
      </c>
      <c r="Z93" s="175" t="s">
        <v>125</v>
      </c>
      <c r="AA93" s="175" t="s">
        <v>129</v>
      </c>
      <c r="AB93" s="177">
        <f>IF(T93="Correctivo",L93,(L93-(L93*X93/100)))</f>
        <v>36</v>
      </c>
      <c r="AC93" s="325" t="str">
        <f t="shared" ref="AC93" si="124">IF(AB95&gt;80,"Muy Alta",IF(AB95&gt;60,"Alta",IF(AB95&gt;40,"Media",IF(AB95&gt;20,"Baja","Muy Baja"))))</f>
        <v>Baja</v>
      </c>
      <c r="AD93" s="175">
        <f>IF(T93="Correctivo",(N93-(N93*X93)/100),N93)</f>
        <v>40</v>
      </c>
      <c r="AE93" s="325" t="str">
        <f>IF(AD93&gt;80,"Catastrófico",IF(AD93&gt;60,"Mayor",IF(AD93&gt;40,"Moderado",IF(AD93&gt;20,"Menor","Leve"))))</f>
        <v>Menor</v>
      </c>
      <c r="AF93" s="316" t="str">
        <f t="shared" ref="AF93" si="125">CONCATENATE(AC93,AE93)</f>
        <v>BajaMenor</v>
      </c>
      <c r="AG93" s="319" t="str">
        <f>VLOOKUP(AF93,'RIESGO RESIDUAL'!$A$1:$B$25,2,0)</f>
        <v>Moderado</v>
      </c>
      <c r="AH93" s="320" t="str">
        <f t="shared" si="110"/>
        <v>Reducir-Mitigar</v>
      </c>
      <c r="AI93" s="315" t="s">
        <v>677</v>
      </c>
      <c r="AJ93" s="325" t="e">
        <f>CONCATENATE(AG93,#REF!)</f>
        <v>#REF!</v>
      </c>
      <c r="AK93" s="315" t="s">
        <v>678</v>
      </c>
      <c r="AL93" s="189">
        <v>44593</v>
      </c>
      <c r="AM93" s="189" t="s">
        <v>679</v>
      </c>
      <c r="AN93" s="189"/>
    </row>
    <row r="94" spans="2:40" ht="15">
      <c r="B94" s="401"/>
      <c r="C94" s="323"/>
      <c r="D94" s="321"/>
      <c r="E94" s="321"/>
      <c r="F94" s="321"/>
      <c r="G94" s="321"/>
      <c r="H94" s="321"/>
      <c r="I94" s="332" t="s">
        <v>56</v>
      </c>
      <c r="J94" s="332"/>
      <c r="K94" s="325" t="e">
        <f>VLOOKUP(L94,'PARÁMETROS RIESGOS GESTIÓN'!D100:F105,3,TRUE)</f>
        <v>#N/A</v>
      </c>
      <c r="L94" s="325">
        <f t="shared" si="95"/>
        <v>100</v>
      </c>
      <c r="M94" s="332" t="s">
        <v>101</v>
      </c>
      <c r="N94" s="325">
        <f t="shared" si="111"/>
        <v>100</v>
      </c>
      <c r="O94" s="325">
        <f t="shared" si="96"/>
        <v>100100</v>
      </c>
      <c r="P94" s="319" t="e">
        <f>VLOOKUP(O94,'Zona de riesgo'!B100:C124,2)</f>
        <v>#N/A</v>
      </c>
      <c r="Q94" s="193"/>
      <c r="R94" s="194"/>
      <c r="S94" s="194"/>
      <c r="T94" s="195"/>
      <c r="U94" s="176"/>
      <c r="V94" s="175"/>
      <c r="W94" s="176"/>
      <c r="X94" s="177"/>
      <c r="Y94" s="175"/>
      <c r="Z94" s="176"/>
      <c r="AA94" s="177"/>
      <c r="AB94" s="177">
        <f>IF(T94="preventivo",(AB93-(AB93*X94/100)),IF(T94="detectivo",(AB93-(AB93*X94/100)),IF(T94="Correctivo",AB93,AB93)))</f>
        <v>36</v>
      </c>
      <c r="AC94" s="325"/>
      <c r="AD94" s="175">
        <f>IF(T94="Correctivo",(AD93-(AD93*X93/100)),AD93)</f>
        <v>40</v>
      </c>
      <c r="AE94" s="325"/>
      <c r="AF94" s="317"/>
      <c r="AG94" s="319"/>
      <c r="AH94" s="320"/>
      <c r="AI94" s="315"/>
      <c r="AJ94" s="325"/>
      <c r="AK94" s="315"/>
      <c r="AL94" s="190"/>
      <c r="AM94" s="190"/>
      <c r="AN94" s="190"/>
    </row>
    <row r="95" spans="2:40" ht="15">
      <c r="B95" s="401"/>
      <c r="C95" s="324"/>
      <c r="D95" s="321"/>
      <c r="E95" s="321"/>
      <c r="F95" s="321"/>
      <c r="G95" s="321"/>
      <c r="H95" s="321"/>
      <c r="I95" s="332" t="s">
        <v>56</v>
      </c>
      <c r="J95" s="332"/>
      <c r="K95" s="325" t="e">
        <f>VLOOKUP(L95,'PARÁMETROS RIESGOS GESTIÓN'!D101:F106,3,TRUE)</f>
        <v>#N/A</v>
      </c>
      <c r="L95" s="325">
        <f t="shared" si="95"/>
        <v>100</v>
      </c>
      <c r="M95" s="332" t="s">
        <v>101</v>
      </c>
      <c r="N95" s="325">
        <f t="shared" si="111"/>
        <v>100</v>
      </c>
      <c r="O95" s="325">
        <f t="shared" si="96"/>
        <v>100100</v>
      </c>
      <c r="P95" s="319" t="e">
        <f>VLOOKUP(O95,'Zona de riesgo'!B101:C125,2)</f>
        <v>#N/A</v>
      </c>
      <c r="Q95" s="193"/>
      <c r="R95" s="194"/>
      <c r="S95" s="194"/>
      <c r="T95" s="195"/>
      <c r="U95" s="176"/>
      <c r="V95" s="175"/>
      <c r="W95" s="176"/>
      <c r="X95" s="177"/>
      <c r="Y95" s="175"/>
      <c r="Z95" s="176"/>
      <c r="AA95" s="177"/>
      <c r="AB95" s="177">
        <f>IF(T95="preventivo",(AB94-(AB94*X95/100)),IF(T95="detectivo",(AB94-(AB94*X95/100)),IF(T95="Correctivo",AB94,AB94)))</f>
        <v>36</v>
      </c>
      <c r="AC95" s="325"/>
      <c r="AD95" s="175">
        <f>IF(T95="Correctivo",(AD94-(AD94*U94/100)),AD94)</f>
        <v>40</v>
      </c>
      <c r="AE95" s="325"/>
      <c r="AF95" s="318"/>
      <c r="AG95" s="319"/>
      <c r="AH95" s="320"/>
      <c r="AI95" s="315"/>
      <c r="AJ95" s="325"/>
      <c r="AK95" s="315"/>
      <c r="AL95" s="191"/>
      <c r="AM95" s="191"/>
      <c r="AN95" s="191"/>
    </row>
    <row r="96" spans="2:40" ht="105">
      <c r="B96" s="401">
        <v>57</v>
      </c>
      <c r="C96" s="321" t="s">
        <v>712</v>
      </c>
      <c r="D96" s="321" t="s">
        <v>713</v>
      </c>
      <c r="E96" s="329" t="s">
        <v>680</v>
      </c>
      <c r="F96" s="329" t="s">
        <v>681</v>
      </c>
      <c r="G96" s="329" t="s">
        <v>682</v>
      </c>
      <c r="H96" s="329" t="s">
        <v>683</v>
      </c>
      <c r="I96" s="331" t="s">
        <v>50</v>
      </c>
      <c r="J96" s="331">
        <v>24</v>
      </c>
      <c r="K96" s="325" t="str">
        <f>VLOOKUP(L96,'PARÁMETROS RIESGOS GESTIÓN'!$D$12:$F$17,3,0)</f>
        <v>Baja</v>
      </c>
      <c r="L96" s="325">
        <f t="shared" ref="L96" si="126">IF(J96&lt;=2,20,IF(J96&lt;=24,40,IF(J96&lt;=500,60,IF(J96&lt;="5000",80,100))))</f>
        <v>40</v>
      </c>
      <c r="M96" s="331" t="s">
        <v>98</v>
      </c>
      <c r="N96" s="325">
        <f t="shared" si="111"/>
        <v>20</v>
      </c>
      <c r="O96" s="325">
        <f t="shared" si="96"/>
        <v>4020</v>
      </c>
      <c r="P96" s="319" t="str">
        <f>VLOOKUP(O96,'Zona de riesgo'!$B$9:$C$33,2)</f>
        <v>Baja</v>
      </c>
      <c r="Q96" s="182" t="s">
        <v>684</v>
      </c>
      <c r="R96" s="197" t="s">
        <v>20</v>
      </c>
      <c r="S96" s="180"/>
      <c r="T96" s="180" t="s">
        <v>109</v>
      </c>
      <c r="U96" s="176">
        <f t="shared" si="98"/>
        <v>25</v>
      </c>
      <c r="V96" s="180" t="s">
        <v>117</v>
      </c>
      <c r="W96" s="176">
        <f t="shared" si="99"/>
        <v>15</v>
      </c>
      <c r="X96" s="177">
        <f t="shared" ref="X96:X99" si="127">U96+W96</f>
        <v>40</v>
      </c>
      <c r="Y96" s="180" t="s">
        <v>120</v>
      </c>
      <c r="Z96" s="180" t="s">
        <v>125</v>
      </c>
      <c r="AA96" s="180" t="s">
        <v>129</v>
      </c>
      <c r="AB96" s="177">
        <f>IF(T96="Correctivo",L96,(L96-(L96*X96/100)))</f>
        <v>24</v>
      </c>
      <c r="AC96" s="325" t="str">
        <f t="shared" ref="AC96" si="128">IF(AB98&gt;80,"Muy Alta",IF(AB98&gt;60,"Alta",IF(AB98&gt;40,"Media",IF(AB98&gt;20,"Baja","Muy Baja"))))</f>
        <v>Baja</v>
      </c>
      <c r="AD96" s="175">
        <f>IF(T96="Correctivo",(N96-(N96*X96)/100),N96)</f>
        <v>20</v>
      </c>
      <c r="AE96" s="325" t="str">
        <f>IF(AD96&gt;80,"Catastrófico",IF(AD96&gt;60,"Mayor",IF(AD96&gt;40,"Moderado",IF(AD96&gt;20,"Menor","Leve"))))</f>
        <v>Leve</v>
      </c>
      <c r="AF96" s="316" t="str">
        <f t="shared" ref="AF96" si="129">CONCATENATE(AC96,AE96)</f>
        <v>BajaLeve</v>
      </c>
      <c r="AG96" s="319" t="str">
        <f>VLOOKUP(AF96,'RIESGO RESIDUAL'!$A$1:$B$25,2,0)</f>
        <v>Baja</v>
      </c>
      <c r="AH96" s="320" t="str">
        <f t="shared" si="110"/>
        <v>Aceptar-Asumir</v>
      </c>
      <c r="AI96" s="327" t="s">
        <v>685</v>
      </c>
      <c r="AJ96" s="331" t="e">
        <f>CONCATENATE(AG96,#REF!)</f>
        <v>#REF!</v>
      </c>
      <c r="AK96" s="319"/>
      <c r="AL96" s="189"/>
      <c r="AM96" s="189"/>
      <c r="AN96" s="189"/>
    </row>
    <row r="97" spans="2:40" ht="15">
      <c r="B97" s="401"/>
      <c r="C97" s="321"/>
      <c r="D97" s="321"/>
      <c r="E97" s="330"/>
      <c r="F97" s="330"/>
      <c r="G97" s="330"/>
      <c r="H97" s="330"/>
      <c r="I97" s="328"/>
      <c r="J97" s="328"/>
      <c r="K97" s="325" t="e">
        <f>VLOOKUP(L97,'PARÁMETROS RIESGOS GESTIÓN'!D103:F108,3,TRUE)</f>
        <v>#N/A</v>
      </c>
      <c r="L97" s="325">
        <f t="shared" si="95"/>
        <v>100</v>
      </c>
      <c r="M97" s="328"/>
      <c r="N97" s="325">
        <f t="shared" si="111"/>
        <v>0</v>
      </c>
      <c r="O97" s="325">
        <f t="shared" si="96"/>
        <v>1000</v>
      </c>
      <c r="P97" s="319" t="e">
        <f>VLOOKUP(O97,'Zona de riesgo'!B103:C127,2)</f>
        <v>#N/A</v>
      </c>
      <c r="Q97" s="182" t="s">
        <v>522</v>
      </c>
      <c r="R97" s="197"/>
      <c r="S97" s="180"/>
      <c r="T97" s="180"/>
      <c r="U97" s="176"/>
      <c r="V97" s="180"/>
      <c r="W97" s="176"/>
      <c r="X97" s="177"/>
      <c r="Y97" s="180"/>
      <c r="Z97" s="180"/>
      <c r="AA97" s="180"/>
      <c r="AB97" s="177">
        <f>IF(T97="preventivo",(AB96-(AB96*X97/100)),IF(T97="detectivo",(AB96-(AB96*X97/100)),IF(T97="Correctivo",AB96,AB96)))</f>
        <v>24</v>
      </c>
      <c r="AC97" s="325"/>
      <c r="AD97" s="175">
        <f>IF(T97="Correctivo",(AD96-(AD96*X96/100)),AD96)</f>
        <v>20</v>
      </c>
      <c r="AE97" s="325"/>
      <c r="AF97" s="317"/>
      <c r="AG97" s="319"/>
      <c r="AH97" s="320"/>
      <c r="AI97" s="328"/>
      <c r="AJ97" s="328"/>
      <c r="AK97" s="328"/>
      <c r="AL97" s="190"/>
      <c r="AM97" s="190"/>
      <c r="AN97" s="190"/>
    </row>
    <row r="98" spans="2:40" ht="15">
      <c r="B98" s="401"/>
      <c r="C98" s="321"/>
      <c r="D98" s="321"/>
      <c r="E98" s="330"/>
      <c r="F98" s="330"/>
      <c r="G98" s="330"/>
      <c r="H98" s="330"/>
      <c r="I98" s="328"/>
      <c r="J98" s="328"/>
      <c r="K98" s="325" t="e">
        <f>VLOOKUP(L98,'PARÁMETROS RIESGOS GESTIÓN'!D104:F109,3,TRUE)</f>
        <v>#N/A</v>
      </c>
      <c r="L98" s="325">
        <f t="shared" si="95"/>
        <v>100</v>
      </c>
      <c r="M98" s="328"/>
      <c r="N98" s="325">
        <f t="shared" si="111"/>
        <v>0</v>
      </c>
      <c r="O98" s="325">
        <f t="shared" si="96"/>
        <v>1000</v>
      </c>
      <c r="P98" s="319" t="e">
        <f>VLOOKUP(O98,'Zona de riesgo'!B104:C128,2)</f>
        <v>#N/A</v>
      </c>
      <c r="Q98" s="182" t="s">
        <v>135</v>
      </c>
      <c r="R98" s="197"/>
      <c r="S98" s="180"/>
      <c r="T98" s="180"/>
      <c r="U98" s="176"/>
      <c r="V98" s="180"/>
      <c r="W98" s="176"/>
      <c r="X98" s="177"/>
      <c r="Y98" s="180"/>
      <c r="Z98" s="180"/>
      <c r="AA98" s="180"/>
      <c r="AB98" s="177">
        <f>IF(T98="preventivo",(AB97-(AB97*X98/100)),IF(T98="detectivo",(AB97-(AB97*X98/100)),IF(T98="Correctivo",AB97,AB97)))</f>
        <v>24</v>
      </c>
      <c r="AC98" s="325"/>
      <c r="AD98" s="175">
        <f>IF(T98="Correctivo",(AD97-(AD97*U97/100)),AD97)</f>
        <v>20</v>
      </c>
      <c r="AE98" s="325"/>
      <c r="AF98" s="318"/>
      <c r="AG98" s="319"/>
      <c r="AH98" s="320"/>
      <c r="AI98" s="328"/>
      <c r="AJ98" s="328"/>
      <c r="AK98" s="328"/>
      <c r="AL98" s="191"/>
      <c r="AM98" s="191"/>
      <c r="AN98" s="191"/>
    </row>
    <row r="99" spans="2:40" ht="71.25" customHeight="1">
      <c r="B99" s="401">
        <v>58</v>
      </c>
      <c r="C99" s="321" t="s">
        <v>712</v>
      </c>
      <c r="D99" s="321" t="s">
        <v>713</v>
      </c>
      <c r="E99" s="329" t="s">
        <v>680</v>
      </c>
      <c r="F99" s="329" t="s">
        <v>686</v>
      </c>
      <c r="G99" s="329" t="s">
        <v>687</v>
      </c>
      <c r="H99" s="329" t="s">
        <v>688</v>
      </c>
      <c r="I99" s="331" t="s">
        <v>50</v>
      </c>
      <c r="J99" s="331">
        <v>31</v>
      </c>
      <c r="K99" s="325" t="str">
        <f>VLOOKUP(L99,'PARÁMETROS RIESGOS GESTIÓN'!$D$12:$F$17,3,0)</f>
        <v>Media</v>
      </c>
      <c r="L99" s="325">
        <f t="shared" ref="L99" si="130">IF(J99&lt;=2,20,IF(J99&lt;=24,40,IF(J99&lt;=500,60,IF(J99&lt;="5000",80,100))))</f>
        <v>60</v>
      </c>
      <c r="M99" s="331" t="s">
        <v>98</v>
      </c>
      <c r="N99" s="325">
        <f t="shared" si="111"/>
        <v>20</v>
      </c>
      <c r="O99" s="325">
        <f t="shared" si="96"/>
        <v>6020</v>
      </c>
      <c r="P99" s="319" t="str">
        <f>VLOOKUP(O99,'Zona de riesgo'!$B$9:$C$33,2)</f>
        <v>Moderado</v>
      </c>
      <c r="Q99" s="182" t="s">
        <v>689</v>
      </c>
      <c r="R99" s="197" t="s">
        <v>20</v>
      </c>
      <c r="S99" s="180"/>
      <c r="T99" s="180" t="s">
        <v>109</v>
      </c>
      <c r="U99" s="176">
        <f t="shared" si="98"/>
        <v>25</v>
      </c>
      <c r="V99" s="180" t="s">
        <v>117</v>
      </c>
      <c r="W99" s="176">
        <f t="shared" si="99"/>
        <v>15</v>
      </c>
      <c r="X99" s="177">
        <f t="shared" si="127"/>
        <v>40</v>
      </c>
      <c r="Y99" s="180" t="s">
        <v>120</v>
      </c>
      <c r="Z99" s="180" t="s">
        <v>125</v>
      </c>
      <c r="AA99" s="180" t="s">
        <v>129</v>
      </c>
      <c r="AB99" s="177">
        <f>IF(T99="Correctivo",L99,(L99-(L99*X99/100)))</f>
        <v>36</v>
      </c>
      <c r="AC99" s="325" t="str">
        <f t="shared" ref="AC99" si="131">IF(AB101&gt;80,"Muy Alta",IF(AB101&gt;60,"Alta",IF(AB101&gt;40,"Media",IF(AB101&gt;20,"Baja","Muy Baja"))))</f>
        <v>Baja</v>
      </c>
      <c r="AD99" s="175">
        <f>IF(T99="Correctivo",(N99-(N99*X99)/100),N99)</f>
        <v>20</v>
      </c>
      <c r="AE99" s="325" t="str">
        <f>IF(AD99&gt;80,"Catastrófico",IF(AD99&gt;60,"Mayor",IF(AD99&gt;40,"Moderado",IF(AD99&gt;20,"Menor","Leve"))))</f>
        <v>Leve</v>
      </c>
      <c r="AF99" s="316" t="str">
        <f t="shared" ref="AF99" si="132">CONCATENATE(AC99,AE99)</f>
        <v>BajaLeve</v>
      </c>
      <c r="AG99" s="319" t="str">
        <f>VLOOKUP(AF99,'RIESGO RESIDUAL'!$A$1:$B$25,2,0)</f>
        <v>Baja</v>
      </c>
      <c r="AH99" s="320" t="str">
        <f t="shared" si="110"/>
        <v>Aceptar-Asumir</v>
      </c>
      <c r="AI99" s="327" t="s">
        <v>685</v>
      </c>
      <c r="AJ99" s="331" t="e">
        <f>CONCATENATE(AG99,#REF!)</f>
        <v>#REF!</v>
      </c>
      <c r="AK99" s="319"/>
      <c r="AL99" s="189"/>
      <c r="AM99" s="189"/>
      <c r="AN99" s="189"/>
    </row>
    <row r="100" spans="2:40" ht="15">
      <c r="B100" s="401"/>
      <c r="C100" s="321"/>
      <c r="D100" s="321"/>
      <c r="E100" s="330"/>
      <c r="F100" s="330"/>
      <c r="G100" s="330"/>
      <c r="H100" s="330"/>
      <c r="I100" s="328"/>
      <c r="J100" s="328"/>
      <c r="K100" s="325" t="e">
        <f>VLOOKUP(L100,'PARÁMETROS RIESGOS GESTIÓN'!D106:F111,3,TRUE)</f>
        <v>#N/A</v>
      </c>
      <c r="L100" s="325">
        <f t="shared" si="95"/>
        <v>100</v>
      </c>
      <c r="M100" s="328"/>
      <c r="N100" s="325">
        <f t="shared" si="111"/>
        <v>0</v>
      </c>
      <c r="O100" s="325">
        <f t="shared" si="96"/>
        <v>1000</v>
      </c>
      <c r="P100" s="319" t="e">
        <f>VLOOKUP(O100,'Zona de riesgo'!B106:C130,2)</f>
        <v>#N/A</v>
      </c>
      <c r="Q100" s="182" t="s">
        <v>522</v>
      </c>
      <c r="R100" s="197"/>
      <c r="S100" s="180"/>
      <c r="T100" s="180"/>
      <c r="U100" s="176"/>
      <c r="V100" s="180"/>
      <c r="W100" s="176"/>
      <c r="X100" s="177"/>
      <c r="Y100" s="180"/>
      <c r="Z100" s="180"/>
      <c r="AA100" s="180"/>
      <c r="AB100" s="177">
        <f>IF(T100="preventivo",(AB99-(AB99*X100/100)),IF(T100="detectivo",(AB99-(AB99*X100/100)),IF(T100="Correctivo",AB99,AB99)))</f>
        <v>36</v>
      </c>
      <c r="AC100" s="325"/>
      <c r="AD100" s="175">
        <f>IF(T100="Correctivo",(AD99-(AD99*X99/100)),AD99)</f>
        <v>20</v>
      </c>
      <c r="AE100" s="325"/>
      <c r="AF100" s="317"/>
      <c r="AG100" s="319"/>
      <c r="AH100" s="320"/>
      <c r="AI100" s="328"/>
      <c r="AJ100" s="328"/>
      <c r="AK100" s="328"/>
      <c r="AL100" s="190"/>
      <c r="AM100" s="190"/>
      <c r="AN100" s="190"/>
    </row>
    <row r="101" spans="2:40" ht="15">
      <c r="B101" s="401"/>
      <c r="C101" s="321"/>
      <c r="D101" s="321"/>
      <c r="E101" s="330"/>
      <c r="F101" s="330"/>
      <c r="G101" s="330"/>
      <c r="H101" s="330"/>
      <c r="I101" s="328"/>
      <c r="J101" s="328"/>
      <c r="K101" s="325" t="e">
        <f>VLOOKUP(L101,'PARÁMETROS RIESGOS GESTIÓN'!D107:F112,3,TRUE)</f>
        <v>#N/A</v>
      </c>
      <c r="L101" s="325">
        <f t="shared" si="95"/>
        <v>100</v>
      </c>
      <c r="M101" s="328"/>
      <c r="N101" s="325">
        <f t="shared" si="111"/>
        <v>0</v>
      </c>
      <c r="O101" s="325">
        <f t="shared" si="96"/>
        <v>1000</v>
      </c>
      <c r="P101" s="319" t="e">
        <f>VLOOKUP(O101,'Zona de riesgo'!B107:C131,2)</f>
        <v>#N/A</v>
      </c>
      <c r="Q101" s="182" t="s">
        <v>135</v>
      </c>
      <c r="R101" s="197"/>
      <c r="S101" s="180"/>
      <c r="T101" s="180"/>
      <c r="U101" s="176"/>
      <c r="V101" s="180"/>
      <c r="W101" s="176"/>
      <c r="X101" s="177"/>
      <c r="Y101" s="180"/>
      <c r="Z101" s="180"/>
      <c r="AA101" s="180"/>
      <c r="AB101" s="177">
        <f>IF(T101="preventivo",(AB100-(AB100*X101/100)),IF(T101="detectivo",(AB100-(AB100*X101/100)),IF(T101="Correctivo",AB100,AB100)))</f>
        <v>36</v>
      </c>
      <c r="AC101" s="325"/>
      <c r="AD101" s="175">
        <f>IF(T101="Correctivo",(AD100-(AD100*U100/100)),AD100)</f>
        <v>20</v>
      </c>
      <c r="AE101" s="325"/>
      <c r="AF101" s="318"/>
      <c r="AG101" s="319"/>
      <c r="AH101" s="320"/>
      <c r="AI101" s="328"/>
      <c r="AJ101" s="328"/>
      <c r="AK101" s="328"/>
      <c r="AL101" s="191"/>
      <c r="AM101" s="191"/>
      <c r="AN101" s="191"/>
    </row>
    <row r="106" spans="2:40">
      <c r="B106" s="326"/>
    </row>
    <row r="107" spans="2:40">
      <c r="B107" s="326"/>
    </row>
    <row r="108" spans="2:40">
      <c r="B108" s="326"/>
    </row>
  </sheetData>
  <sheetProtection formatCells="0" formatColumns="0" formatRows="0" insertColumns="0" insertHyperlinks="0" deleteColumns="0" deleteRows="0" sort="0" autoFilter="0" pivotTables="0"/>
  <mergeCells count="801">
    <mergeCell ref="E1:AI1"/>
    <mergeCell ref="B2:J2"/>
    <mergeCell ref="K2:P2"/>
    <mergeCell ref="Q2:AH2"/>
    <mergeCell ref="Q3:Q4"/>
    <mergeCell ref="R3:T3"/>
    <mergeCell ref="O3:P4"/>
    <mergeCell ref="M3:N4"/>
    <mergeCell ref="W3:AD3"/>
    <mergeCell ref="AF3:AF4"/>
    <mergeCell ref="AE3:AE4"/>
    <mergeCell ref="AG3:AG4"/>
    <mergeCell ref="H3:H4"/>
    <mergeCell ref="J3:J4"/>
    <mergeCell ref="I3:I4"/>
    <mergeCell ref="K3:L4"/>
    <mergeCell ref="AH3:AH4"/>
    <mergeCell ref="AI2:AN2"/>
    <mergeCell ref="AJ3:AJ4"/>
    <mergeCell ref="AK3:AK4"/>
    <mergeCell ref="AL3:AL4"/>
    <mergeCell ref="AM3:AM4"/>
    <mergeCell ref="AN3:AN4"/>
    <mergeCell ref="AI3:AI4"/>
    <mergeCell ref="AH6:AH8"/>
    <mergeCell ref="B6:B8"/>
    <mergeCell ref="E6:E8"/>
    <mergeCell ref="F6:F8"/>
    <mergeCell ref="G6:G8"/>
    <mergeCell ref="H6:H8"/>
    <mergeCell ref="E3:E4"/>
    <mergeCell ref="F3:F4"/>
    <mergeCell ref="G3:G4"/>
    <mergeCell ref="B3:B4"/>
    <mergeCell ref="AG6:AG8"/>
    <mergeCell ref="I6:I8"/>
    <mergeCell ref="J6:J8"/>
    <mergeCell ref="K6:K8"/>
    <mergeCell ref="L6:L8"/>
    <mergeCell ref="M6:M8"/>
    <mergeCell ref="AC6:AC8"/>
    <mergeCell ref="AE6:AE8"/>
    <mergeCell ref="AF6:AF8"/>
    <mergeCell ref="AM9:AM11"/>
    <mergeCell ref="AG9:AG11"/>
    <mergeCell ref="AM6:AM8"/>
    <mergeCell ref="AN6:AN8"/>
    <mergeCell ref="B9:B11"/>
    <mergeCell ref="E9:E11"/>
    <mergeCell ref="F9:F11"/>
    <mergeCell ref="G9:G11"/>
    <mergeCell ref="H9:H11"/>
    <mergeCell ref="I9:I11"/>
    <mergeCell ref="J9:J11"/>
    <mergeCell ref="K9:K11"/>
    <mergeCell ref="L9:L11"/>
    <mergeCell ref="M9:M11"/>
    <mergeCell ref="N9:N11"/>
    <mergeCell ref="O9:O11"/>
    <mergeCell ref="P9:P11"/>
    <mergeCell ref="AI6:AI8"/>
    <mergeCell ref="AJ6:AJ8"/>
    <mergeCell ref="AK6:AK8"/>
    <mergeCell ref="AL6:AL8"/>
    <mergeCell ref="N6:N8"/>
    <mergeCell ref="O6:O8"/>
    <mergeCell ref="P6:P8"/>
    <mergeCell ref="AL12:AL14"/>
    <mergeCell ref="AM12:AM14"/>
    <mergeCell ref="AN12:AN14"/>
    <mergeCell ref="AI12:AI14"/>
    <mergeCell ref="AJ12:AJ14"/>
    <mergeCell ref="AN9:AN11"/>
    <mergeCell ref="B12:B14"/>
    <mergeCell ref="E12:E14"/>
    <mergeCell ref="F12:F14"/>
    <mergeCell ref="G12:G14"/>
    <mergeCell ref="H12:H14"/>
    <mergeCell ref="I12:I14"/>
    <mergeCell ref="J12:J14"/>
    <mergeCell ref="K12:K14"/>
    <mergeCell ref="L12:L14"/>
    <mergeCell ref="M12:M14"/>
    <mergeCell ref="N12:N14"/>
    <mergeCell ref="O12:O14"/>
    <mergeCell ref="P12:P14"/>
    <mergeCell ref="AG12:AG14"/>
    <mergeCell ref="AI9:AI11"/>
    <mergeCell ref="AJ9:AJ11"/>
    <mergeCell ref="AK9:AK11"/>
    <mergeCell ref="AL9:AL11"/>
    <mergeCell ref="AF9:AF11"/>
    <mergeCell ref="AE9:AE11"/>
    <mergeCell ref="AC9:AC11"/>
    <mergeCell ref="AH9:AH11"/>
    <mergeCell ref="AC12:AC14"/>
    <mergeCell ref="AE12:AE14"/>
    <mergeCell ref="AF12:AF14"/>
    <mergeCell ref="AH12:AH14"/>
    <mergeCell ref="AK12:AK14"/>
    <mergeCell ref="B15:B17"/>
    <mergeCell ref="E15:E17"/>
    <mergeCell ref="F15:F17"/>
    <mergeCell ref="G15:G17"/>
    <mergeCell ref="H15:H17"/>
    <mergeCell ref="I15:I17"/>
    <mergeCell ref="J15:J17"/>
    <mergeCell ref="K15:K17"/>
    <mergeCell ref="L15:L17"/>
    <mergeCell ref="M15:M17"/>
    <mergeCell ref="N15:N17"/>
    <mergeCell ref="O15:O17"/>
    <mergeCell ref="P15:P17"/>
    <mergeCell ref="AC15:AC17"/>
    <mergeCell ref="AE15:AE17"/>
    <mergeCell ref="AF15:AF17"/>
    <mergeCell ref="AG15:AG17"/>
    <mergeCell ref="AH15:AH17"/>
    <mergeCell ref="AI15:AI17"/>
    <mergeCell ref="AJ15:AJ17"/>
    <mergeCell ref="AK15:AK17"/>
    <mergeCell ref="AL15:AL17"/>
    <mergeCell ref="AM15:AM17"/>
    <mergeCell ref="AN15:AN17"/>
    <mergeCell ref="B18:B20"/>
    <mergeCell ref="E18:E20"/>
    <mergeCell ref="F18:F20"/>
    <mergeCell ref="G18:G20"/>
    <mergeCell ref="H18:H20"/>
    <mergeCell ref="I18:I20"/>
    <mergeCell ref="J18:J20"/>
    <mergeCell ref="K18:K20"/>
    <mergeCell ref="L18:L20"/>
    <mergeCell ref="M18:M20"/>
    <mergeCell ref="N18:N20"/>
    <mergeCell ref="O18:O20"/>
    <mergeCell ref="P18:P20"/>
    <mergeCell ref="AC18:AC20"/>
    <mergeCell ref="AE18:AE20"/>
    <mergeCell ref="AF18:AF20"/>
    <mergeCell ref="AG18:AG20"/>
    <mergeCell ref="AH18:AH20"/>
    <mergeCell ref="AL18:AL20"/>
    <mergeCell ref="E21:E23"/>
    <mergeCell ref="F21:F23"/>
    <mergeCell ref="G21:G23"/>
    <mergeCell ref="H21:H23"/>
    <mergeCell ref="I21:I23"/>
    <mergeCell ref="J21:J23"/>
    <mergeCell ref="K21:K23"/>
    <mergeCell ref="L21:L23"/>
    <mergeCell ref="M21:M23"/>
    <mergeCell ref="N21:N23"/>
    <mergeCell ref="O21:O23"/>
    <mergeCell ref="P21:P23"/>
    <mergeCell ref="AG21:AG23"/>
    <mergeCell ref="AK21:AK23"/>
    <mergeCell ref="AL21:AL23"/>
    <mergeCell ref="AN27:AN29"/>
    <mergeCell ref="AN21:AN23"/>
    <mergeCell ref="E24:E26"/>
    <mergeCell ref="F24:F26"/>
    <mergeCell ref="G24:G26"/>
    <mergeCell ref="H24:H26"/>
    <mergeCell ref="I24:I26"/>
    <mergeCell ref="J24:J26"/>
    <mergeCell ref="K24:K26"/>
    <mergeCell ref="L24:L26"/>
    <mergeCell ref="M24:M26"/>
    <mergeCell ref="N24:N26"/>
    <mergeCell ref="O24:O26"/>
    <mergeCell ref="P24:P26"/>
    <mergeCell ref="AG24:AG26"/>
    <mergeCell ref="AK24:AK26"/>
    <mergeCell ref="AL24:AL26"/>
    <mergeCell ref="AM24:AM26"/>
    <mergeCell ref="AN24:AN26"/>
    <mergeCell ref="AM21:AM23"/>
    <mergeCell ref="N30:N32"/>
    <mergeCell ref="O30:O32"/>
    <mergeCell ref="P30:P32"/>
    <mergeCell ref="AG30:AG32"/>
    <mergeCell ref="AK30:AK32"/>
    <mergeCell ref="AL30:AL32"/>
    <mergeCell ref="AM30:AM32"/>
    <mergeCell ref="AN30:AN32"/>
    <mergeCell ref="E27:E29"/>
    <mergeCell ref="F27:F29"/>
    <mergeCell ref="G27:G29"/>
    <mergeCell ref="H27:H29"/>
    <mergeCell ref="I27:I29"/>
    <mergeCell ref="J27:J29"/>
    <mergeCell ref="K27:K29"/>
    <mergeCell ref="L27:L29"/>
    <mergeCell ref="M27:M29"/>
    <mergeCell ref="N27:N29"/>
    <mergeCell ref="O27:O29"/>
    <mergeCell ref="P27:P29"/>
    <mergeCell ref="AG27:AG29"/>
    <mergeCell ref="AK27:AK29"/>
    <mergeCell ref="AL27:AL29"/>
    <mergeCell ref="AM27:AM29"/>
    <mergeCell ref="C6:C8"/>
    <mergeCell ref="D6:D8"/>
    <mergeCell ref="C9:C11"/>
    <mergeCell ref="D9:D11"/>
    <mergeCell ref="C12:C14"/>
    <mergeCell ref="D12:D14"/>
    <mergeCell ref="C15:C17"/>
    <mergeCell ref="D15:D17"/>
    <mergeCell ref="C18:C20"/>
    <mergeCell ref="D18:D20"/>
    <mergeCell ref="B21:B23"/>
    <mergeCell ref="D30:D32"/>
    <mergeCell ref="C30:C32"/>
    <mergeCell ref="D24:D26"/>
    <mergeCell ref="C24:C26"/>
    <mergeCell ref="B24:B26"/>
    <mergeCell ref="D27:D29"/>
    <mergeCell ref="C27:C29"/>
    <mergeCell ref="B27:B29"/>
    <mergeCell ref="D21:D23"/>
    <mergeCell ref="C21:C23"/>
    <mergeCell ref="AN33:AN35"/>
    <mergeCell ref="E36:E38"/>
    <mergeCell ref="F36:F38"/>
    <mergeCell ref="G36:G38"/>
    <mergeCell ref="H36:H38"/>
    <mergeCell ref="I36:I38"/>
    <mergeCell ref="J36:J38"/>
    <mergeCell ref="K36:K38"/>
    <mergeCell ref="L36:L38"/>
    <mergeCell ref="M36:M38"/>
    <mergeCell ref="N36:N38"/>
    <mergeCell ref="O36:O38"/>
    <mergeCell ref="P36:P38"/>
    <mergeCell ref="AK36:AK38"/>
    <mergeCell ref="AL36:AL38"/>
    <mergeCell ref="AM36:AM38"/>
    <mergeCell ref="N33:N35"/>
    <mergeCell ref="O33:O35"/>
    <mergeCell ref="P33:P35"/>
    <mergeCell ref="AK33:AK35"/>
    <mergeCell ref="AL33:AL35"/>
    <mergeCell ref="AM33:AM35"/>
    <mergeCell ref="E33:E35"/>
    <mergeCell ref="F33:F35"/>
    <mergeCell ref="AN36:AN38"/>
    <mergeCell ref="E39:E41"/>
    <mergeCell ref="F39:F41"/>
    <mergeCell ref="G39:G41"/>
    <mergeCell ref="H39:H41"/>
    <mergeCell ref="I39:I41"/>
    <mergeCell ref="J39:J41"/>
    <mergeCell ref="K39:K41"/>
    <mergeCell ref="L39:L41"/>
    <mergeCell ref="M39:M41"/>
    <mergeCell ref="N39:N41"/>
    <mergeCell ref="O39:O41"/>
    <mergeCell ref="P39:P41"/>
    <mergeCell ref="AK39:AK41"/>
    <mergeCell ref="AL39:AL41"/>
    <mergeCell ref="AM39:AM41"/>
    <mergeCell ref="AN39:AN41"/>
    <mergeCell ref="E42:E44"/>
    <mergeCell ref="F42:F44"/>
    <mergeCell ref="G42:G44"/>
    <mergeCell ref="H42:H44"/>
    <mergeCell ref="I42:I44"/>
    <mergeCell ref="J42:J44"/>
    <mergeCell ref="K42:K44"/>
    <mergeCell ref="L42:L44"/>
    <mergeCell ref="M42:M44"/>
    <mergeCell ref="N42:N44"/>
    <mergeCell ref="O42:O44"/>
    <mergeCell ref="P42:P44"/>
    <mergeCell ref="AK42:AK44"/>
    <mergeCell ref="AL42:AL44"/>
    <mergeCell ref="AM42:AM44"/>
    <mergeCell ref="AN42:AN44"/>
    <mergeCell ref="E45:E47"/>
    <mergeCell ref="F45:F47"/>
    <mergeCell ref="G45:G47"/>
    <mergeCell ref="H45:H47"/>
    <mergeCell ref="I45:I47"/>
    <mergeCell ref="J45:J47"/>
    <mergeCell ref="K45:K47"/>
    <mergeCell ref="L45:L47"/>
    <mergeCell ref="M45:M47"/>
    <mergeCell ref="N45:N47"/>
    <mergeCell ref="O45:O47"/>
    <mergeCell ref="P45:P47"/>
    <mergeCell ref="AK45:AK47"/>
    <mergeCell ref="AL45:AL47"/>
    <mergeCell ref="AM45:AM47"/>
    <mergeCell ref="AK51:AK53"/>
    <mergeCell ref="AL51:AL53"/>
    <mergeCell ref="AM51:AM53"/>
    <mergeCell ref="AN51:AN53"/>
    <mergeCell ref="AN45:AN47"/>
    <mergeCell ref="F48:F50"/>
    <mergeCell ref="G48:G50"/>
    <mergeCell ref="H48:H50"/>
    <mergeCell ref="K48:K50"/>
    <mergeCell ref="L48:L50"/>
    <mergeCell ref="M48:M50"/>
    <mergeCell ref="N48:N50"/>
    <mergeCell ref="O48:O50"/>
    <mergeCell ref="P48:P50"/>
    <mergeCell ref="AK48:AK50"/>
    <mergeCell ref="AL48:AL50"/>
    <mergeCell ref="AM48:AM50"/>
    <mergeCell ref="AN48:AN50"/>
    <mergeCell ref="E48:E50"/>
    <mergeCell ref="J48:J50"/>
    <mergeCell ref="AG48:AG50"/>
    <mergeCell ref="E54:E56"/>
    <mergeCell ref="F54:F56"/>
    <mergeCell ref="G54:G56"/>
    <mergeCell ref="H54:H56"/>
    <mergeCell ref="I54:I56"/>
    <mergeCell ref="J54:J56"/>
    <mergeCell ref="K54:K56"/>
    <mergeCell ref="L54:L56"/>
    <mergeCell ref="M54:M56"/>
    <mergeCell ref="N54:N56"/>
    <mergeCell ref="O54:O56"/>
    <mergeCell ref="P54:P56"/>
    <mergeCell ref="E51:E53"/>
    <mergeCell ref="F51:F53"/>
    <mergeCell ref="G51:G53"/>
    <mergeCell ref="H51:H53"/>
    <mergeCell ref="I51:I53"/>
    <mergeCell ref="J51:J53"/>
    <mergeCell ref="K51:K53"/>
    <mergeCell ref="L51:L53"/>
    <mergeCell ref="M51:M53"/>
    <mergeCell ref="AE30:AE32"/>
    <mergeCell ref="AE33:AE35"/>
    <mergeCell ref="I33:I35"/>
    <mergeCell ref="D33:D35"/>
    <mergeCell ref="J33:J35"/>
    <mergeCell ref="AG33:AG35"/>
    <mergeCell ref="D36:D38"/>
    <mergeCell ref="AG36:AG38"/>
    <mergeCell ref="D39:D41"/>
    <mergeCell ref="AG39:AG41"/>
    <mergeCell ref="G33:G35"/>
    <mergeCell ref="H33:H35"/>
    <mergeCell ref="K33:K35"/>
    <mergeCell ref="L33:L35"/>
    <mergeCell ref="M33:M35"/>
    <mergeCell ref="E30:E32"/>
    <mergeCell ref="F30:F32"/>
    <mergeCell ref="G30:G32"/>
    <mergeCell ref="H30:H32"/>
    <mergeCell ref="I30:I32"/>
    <mergeCell ref="J30:J32"/>
    <mergeCell ref="K30:K32"/>
    <mergeCell ref="L30:L32"/>
    <mergeCell ref="M30:M32"/>
    <mergeCell ref="AF21:AF23"/>
    <mergeCell ref="AF24:AF26"/>
    <mergeCell ref="AF27:AF29"/>
    <mergeCell ref="AF30:AF32"/>
    <mergeCell ref="AF33:AF35"/>
    <mergeCell ref="D51:D53"/>
    <mergeCell ref="AG51:AG53"/>
    <mergeCell ref="D54:D56"/>
    <mergeCell ref="AG54:AG56"/>
    <mergeCell ref="AC21:AC23"/>
    <mergeCell ref="AC24:AC26"/>
    <mergeCell ref="AC27:AC29"/>
    <mergeCell ref="AC30:AC32"/>
    <mergeCell ref="AC33:AC35"/>
    <mergeCell ref="AC36:AC38"/>
    <mergeCell ref="AC39:AC41"/>
    <mergeCell ref="AC42:AC44"/>
    <mergeCell ref="AC45:AC47"/>
    <mergeCell ref="AC48:AC50"/>
    <mergeCell ref="AC51:AC53"/>
    <mergeCell ref="AC54:AC56"/>
    <mergeCell ref="AE21:AE23"/>
    <mergeCell ref="AE24:AE26"/>
    <mergeCell ref="AE27:AE29"/>
    <mergeCell ref="AH21:AH23"/>
    <mergeCell ref="AH24:AH26"/>
    <mergeCell ref="AH27:AH29"/>
    <mergeCell ref="AH30:AH32"/>
    <mergeCell ref="AH33:AH35"/>
    <mergeCell ref="AH36:AH38"/>
    <mergeCell ref="AH39:AH41"/>
    <mergeCell ref="AH42:AH44"/>
    <mergeCell ref="AH45:AH47"/>
    <mergeCell ref="N57:N59"/>
    <mergeCell ref="O57:O59"/>
    <mergeCell ref="P57:P59"/>
    <mergeCell ref="AE36:AE38"/>
    <mergeCell ref="AE39:AE41"/>
    <mergeCell ref="AE42:AE44"/>
    <mergeCell ref="AE45:AE47"/>
    <mergeCell ref="AE48:AE50"/>
    <mergeCell ref="AE51:AE53"/>
    <mergeCell ref="AE54:AE56"/>
    <mergeCell ref="N51:N53"/>
    <mergeCell ref="O51:O53"/>
    <mergeCell ref="P51:P53"/>
    <mergeCell ref="E57:E59"/>
    <mergeCell ref="F57:F59"/>
    <mergeCell ref="G57:G59"/>
    <mergeCell ref="H57:H59"/>
    <mergeCell ref="I57:I59"/>
    <mergeCell ref="J57:J59"/>
    <mergeCell ref="K57:K59"/>
    <mergeCell ref="L57:L59"/>
    <mergeCell ref="M57:M59"/>
    <mergeCell ref="AN60:AN62"/>
    <mergeCell ref="AG57:AG59"/>
    <mergeCell ref="AI57:AI59"/>
    <mergeCell ref="AJ57:AJ59"/>
    <mergeCell ref="AK57:AK59"/>
    <mergeCell ref="AL57:AL59"/>
    <mergeCell ref="AM57:AM59"/>
    <mergeCell ref="AN57:AN59"/>
    <mergeCell ref="AF36:AF38"/>
    <mergeCell ref="AF39:AF41"/>
    <mergeCell ref="AF42:AF44"/>
    <mergeCell ref="AF45:AF47"/>
    <mergeCell ref="AF48:AF50"/>
    <mergeCell ref="AF51:AF53"/>
    <mergeCell ref="AF54:AF56"/>
    <mergeCell ref="AH48:AH50"/>
    <mergeCell ref="AH51:AH53"/>
    <mergeCell ref="AH54:AH56"/>
    <mergeCell ref="AG42:AG44"/>
    <mergeCell ref="AG45:AG47"/>
    <mergeCell ref="AK54:AK56"/>
    <mergeCell ref="AL54:AL56"/>
    <mergeCell ref="AM54:AM56"/>
    <mergeCell ref="AN54:AN56"/>
    <mergeCell ref="N63:N65"/>
    <mergeCell ref="O63:O65"/>
    <mergeCell ref="P63:P65"/>
    <mergeCell ref="AG63:AG65"/>
    <mergeCell ref="AK63:AK65"/>
    <mergeCell ref="AL63:AL65"/>
    <mergeCell ref="AM63:AM65"/>
    <mergeCell ref="AN63:AN65"/>
    <mergeCell ref="E60:E62"/>
    <mergeCell ref="F60:F62"/>
    <mergeCell ref="G60:G62"/>
    <mergeCell ref="H60:H62"/>
    <mergeCell ref="I60:I62"/>
    <mergeCell ref="J60:J62"/>
    <mergeCell ref="K60:K62"/>
    <mergeCell ref="L60:L62"/>
    <mergeCell ref="M60:M62"/>
    <mergeCell ref="N60:N62"/>
    <mergeCell ref="O60:O62"/>
    <mergeCell ref="P60:P62"/>
    <mergeCell ref="AG60:AG62"/>
    <mergeCell ref="AK60:AK62"/>
    <mergeCell ref="AL60:AL62"/>
    <mergeCell ref="AM60:AM62"/>
    <mergeCell ref="E63:E65"/>
    <mergeCell ref="F63:F65"/>
    <mergeCell ref="G63:G65"/>
    <mergeCell ref="H63:H65"/>
    <mergeCell ref="I63:I65"/>
    <mergeCell ref="J63:J65"/>
    <mergeCell ref="K63:K65"/>
    <mergeCell ref="L63:L65"/>
    <mergeCell ref="M63:M65"/>
    <mergeCell ref="AJ66:AJ68"/>
    <mergeCell ref="AK66:AK68"/>
    <mergeCell ref="AL66:AL68"/>
    <mergeCell ref="AM66:AM68"/>
    <mergeCell ref="E66:E68"/>
    <mergeCell ref="F66:F68"/>
    <mergeCell ref="G66:G68"/>
    <mergeCell ref="H66:H68"/>
    <mergeCell ref="I66:I68"/>
    <mergeCell ref="J66:J68"/>
    <mergeCell ref="K66:K68"/>
    <mergeCell ref="L66:L68"/>
    <mergeCell ref="M66:M68"/>
    <mergeCell ref="AF57:AF59"/>
    <mergeCell ref="AN66:AN68"/>
    <mergeCell ref="E69:E71"/>
    <mergeCell ref="F69:F71"/>
    <mergeCell ref="G69:G71"/>
    <mergeCell ref="H69:H71"/>
    <mergeCell ref="I69:I71"/>
    <mergeCell ref="J69:J71"/>
    <mergeCell ref="K69:K71"/>
    <mergeCell ref="L69:L71"/>
    <mergeCell ref="M69:M71"/>
    <mergeCell ref="N69:N71"/>
    <mergeCell ref="O69:O71"/>
    <mergeCell ref="P69:P71"/>
    <mergeCell ref="AG69:AG71"/>
    <mergeCell ref="AK69:AK71"/>
    <mergeCell ref="AL69:AL71"/>
    <mergeCell ref="AM69:AM71"/>
    <mergeCell ref="AN69:AN71"/>
    <mergeCell ref="N66:N68"/>
    <mergeCell ref="O66:O68"/>
    <mergeCell ref="P66:P68"/>
    <mergeCell ref="AG66:AG68"/>
    <mergeCell ref="AI66:AI68"/>
    <mergeCell ref="AC57:AC59"/>
    <mergeCell ref="AE57:AE59"/>
    <mergeCell ref="AC60:AC62"/>
    <mergeCell ref="AC63:AC65"/>
    <mergeCell ref="AE60:AE62"/>
    <mergeCell ref="AE63:AE65"/>
    <mergeCell ref="AE66:AE68"/>
    <mergeCell ref="AE69:AE71"/>
    <mergeCell ref="AE72:AE74"/>
    <mergeCell ref="AC66:AC68"/>
    <mergeCell ref="AC69:AC71"/>
    <mergeCell ref="AC72:AC74"/>
    <mergeCell ref="E72:E74"/>
    <mergeCell ref="F72:F74"/>
    <mergeCell ref="G72:G74"/>
    <mergeCell ref="H72:H74"/>
    <mergeCell ref="I72:I74"/>
    <mergeCell ref="J72:J74"/>
    <mergeCell ref="K72:K74"/>
    <mergeCell ref="L72:L74"/>
    <mergeCell ref="M72:M74"/>
    <mergeCell ref="N72:N74"/>
    <mergeCell ref="O72:O74"/>
    <mergeCell ref="P72:P74"/>
    <mergeCell ref="AJ75:AJ77"/>
    <mergeCell ref="AL75:AL77"/>
    <mergeCell ref="AI75:AI77"/>
    <mergeCell ref="E75:E77"/>
    <mergeCell ref="F75:F77"/>
    <mergeCell ref="G75:G77"/>
    <mergeCell ref="H75:H77"/>
    <mergeCell ref="I75:I77"/>
    <mergeCell ref="J75:J77"/>
    <mergeCell ref="K75:K77"/>
    <mergeCell ref="L75:L77"/>
    <mergeCell ref="M75:M77"/>
    <mergeCell ref="AG81:AG83"/>
    <mergeCell ref="AJ81:AJ83"/>
    <mergeCell ref="AK75:AK77"/>
    <mergeCell ref="C75:C77"/>
    <mergeCell ref="D75:D77"/>
    <mergeCell ref="AC75:AC77"/>
    <mergeCell ref="E78:E80"/>
    <mergeCell ref="F78:F80"/>
    <mergeCell ref="G78:G80"/>
    <mergeCell ref="H78:H80"/>
    <mergeCell ref="I78:I80"/>
    <mergeCell ref="J78:J80"/>
    <mergeCell ref="K78:K80"/>
    <mergeCell ref="L78:L80"/>
    <mergeCell ref="M78:M80"/>
    <mergeCell ref="N78:N80"/>
    <mergeCell ref="O78:O80"/>
    <mergeCell ref="P78:P80"/>
    <mergeCell ref="AG78:AG80"/>
    <mergeCell ref="AJ78:AJ80"/>
    <mergeCell ref="N75:N77"/>
    <mergeCell ref="O75:O77"/>
    <mergeCell ref="P75:P77"/>
    <mergeCell ref="AG75:AG77"/>
    <mergeCell ref="AL81:AL83"/>
    <mergeCell ref="AI81:AI83"/>
    <mergeCell ref="AK81:AK83"/>
    <mergeCell ref="AM81:AM83"/>
    <mergeCell ref="D78:D80"/>
    <mergeCell ref="D81:D83"/>
    <mergeCell ref="AC81:AC83"/>
    <mergeCell ref="AL78:AL80"/>
    <mergeCell ref="AI78:AI80"/>
    <mergeCell ref="AK78:AK80"/>
    <mergeCell ref="AM78:AM80"/>
    <mergeCell ref="AC78:AC80"/>
    <mergeCell ref="E81:E83"/>
    <mergeCell ref="F81:F83"/>
    <mergeCell ref="G81:G83"/>
    <mergeCell ref="H81:H83"/>
    <mergeCell ref="I81:I83"/>
    <mergeCell ref="J81:J83"/>
    <mergeCell ref="K81:K83"/>
    <mergeCell ref="L81:L83"/>
    <mergeCell ref="M81:M83"/>
    <mergeCell ref="N81:N83"/>
    <mergeCell ref="O81:O83"/>
    <mergeCell ref="P81:P83"/>
    <mergeCell ref="AL84:AL86"/>
    <mergeCell ref="AM84:AM86"/>
    <mergeCell ref="D84:D86"/>
    <mergeCell ref="AG84:AG86"/>
    <mergeCell ref="AC84:AC86"/>
    <mergeCell ref="N84:N86"/>
    <mergeCell ref="O84:O86"/>
    <mergeCell ref="P84:P86"/>
    <mergeCell ref="AJ84:AJ86"/>
    <mergeCell ref="AI84:AI86"/>
    <mergeCell ref="E84:E86"/>
    <mergeCell ref="F84:F86"/>
    <mergeCell ref="G84:G86"/>
    <mergeCell ref="H84:H86"/>
    <mergeCell ref="I84:I86"/>
    <mergeCell ref="J84:J86"/>
    <mergeCell ref="K84:K86"/>
    <mergeCell ref="L84:L86"/>
    <mergeCell ref="M84:M86"/>
    <mergeCell ref="E87:E89"/>
    <mergeCell ref="F87:F89"/>
    <mergeCell ref="G87:G89"/>
    <mergeCell ref="H87:H89"/>
    <mergeCell ref="I87:I89"/>
    <mergeCell ref="J87:J89"/>
    <mergeCell ref="K87:K89"/>
    <mergeCell ref="L87:L89"/>
    <mergeCell ref="AK84:AK86"/>
    <mergeCell ref="M90:M92"/>
    <mergeCell ref="N90:N92"/>
    <mergeCell ref="O90:O92"/>
    <mergeCell ref="AJ90:AJ92"/>
    <mergeCell ref="AI90:AI92"/>
    <mergeCell ref="M87:M89"/>
    <mergeCell ref="N87:N89"/>
    <mergeCell ref="O87:O89"/>
    <mergeCell ref="AJ87:AJ89"/>
    <mergeCell ref="AK90:AK92"/>
    <mergeCell ref="P87:P89"/>
    <mergeCell ref="AG87:AG89"/>
    <mergeCell ref="P90:P92"/>
    <mergeCell ref="AG90:AG92"/>
    <mergeCell ref="AC87:AC89"/>
    <mergeCell ref="AC90:AC92"/>
    <mergeCell ref="AF87:AF89"/>
    <mergeCell ref="AF90:AF92"/>
    <mergeCell ref="AI87:AI89"/>
    <mergeCell ref="AK87:AK89"/>
    <mergeCell ref="AJ93:AJ95"/>
    <mergeCell ref="AI93:AI95"/>
    <mergeCell ref="AF93:AF95"/>
    <mergeCell ref="E93:E95"/>
    <mergeCell ref="F93:F95"/>
    <mergeCell ref="G93:G95"/>
    <mergeCell ref="H93:H95"/>
    <mergeCell ref="I93:I95"/>
    <mergeCell ref="J93:J95"/>
    <mergeCell ref="K93:K95"/>
    <mergeCell ref="L93:L95"/>
    <mergeCell ref="M93:M95"/>
    <mergeCell ref="AJ99:AJ101"/>
    <mergeCell ref="AK99:AK101"/>
    <mergeCell ref="AK93:AK95"/>
    <mergeCell ref="D93:D95"/>
    <mergeCell ref="AC93:AC95"/>
    <mergeCell ref="E96:E98"/>
    <mergeCell ref="F96:F98"/>
    <mergeCell ref="G96:G98"/>
    <mergeCell ref="H96:H98"/>
    <mergeCell ref="I96:I98"/>
    <mergeCell ref="J96:J98"/>
    <mergeCell ref="K96:K98"/>
    <mergeCell ref="L96:L98"/>
    <mergeCell ref="M96:M98"/>
    <mergeCell ref="N96:N98"/>
    <mergeCell ref="O96:O98"/>
    <mergeCell ref="P96:P98"/>
    <mergeCell ref="AG96:AG98"/>
    <mergeCell ref="AI96:AI98"/>
    <mergeCell ref="AJ96:AJ98"/>
    <mergeCell ref="AK96:AK98"/>
    <mergeCell ref="N93:N95"/>
    <mergeCell ref="O93:O95"/>
    <mergeCell ref="P93:P95"/>
    <mergeCell ref="B57:B59"/>
    <mergeCell ref="AI99:AI101"/>
    <mergeCell ref="E99:E101"/>
    <mergeCell ref="F99:F101"/>
    <mergeCell ref="G99:G101"/>
    <mergeCell ref="H99:H101"/>
    <mergeCell ref="I99:I101"/>
    <mergeCell ref="J99:J101"/>
    <mergeCell ref="K99:K101"/>
    <mergeCell ref="L99:L101"/>
    <mergeCell ref="M99:M101"/>
    <mergeCell ref="N99:N101"/>
    <mergeCell ref="O99:O101"/>
    <mergeCell ref="P99:P101"/>
    <mergeCell ref="AG99:AG101"/>
    <mergeCell ref="AG93:AG95"/>
    <mergeCell ref="D90:D92"/>
    <mergeCell ref="E90:E92"/>
    <mergeCell ref="F90:F92"/>
    <mergeCell ref="G90:G92"/>
    <mergeCell ref="H90:H92"/>
    <mergeCell ref="I90:I92"/>
    <mergeCell ref="J90:J92"/>
    <mergeCell ref="K90:K92"/>
    <mergeCell ref="B30:B32"/>
    <mergeCell ref="B33:B35"/>
    <mergeCell ref="B36:B38"/>
    <mergeCell ref="B39:B41"/>
    <mergeCell ref="B42:B44"/>
    <mergeCell ref="B45:B47"/>
    <mergeCell ref="B48:B50"/>
    <mergeCell ref="B51:B53"/>
    <mergeCell ref="B54:B56"/>
    <mergeCell ref="B106:B108"/>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C33:C35"/>
    <mergeCell ref="C36:C38"/>
    <mergeCell ref="C39:C41"/>
    <mergeCell ref="C42:C44"/>
    <mergeCell ref="C45:C47"/>
    <mergeCell ref="C54:C56"/>
    <mergeCell ref="C51:C53"/>
    <mergeCell ref="C48:C50"/>
    <mergeCell ref="D48:D50"/>
    <mergeCell ref="D42:D44"/>
    <mergeCell ref="D45:D47"/>
    <mergeCell ref="C60:C62"/>
    <mergeCell ref="D60:D62"/>
    <mergeCell ref="C78:C80"/>
    <mergeCell ref="C81:C83"/>
    <mergeCell ref="C84:C86"/>
    <mergeCell ref="C87:C89"/>
    <mergeCell ref="C90:C92"/>
    <mergeCell ref="D57:D59"/>
    <mergeCell ref="C57:C59"/>
    <mergeCell ref="C63:C65"/>
    <mergeCell ref="D63:D65"/>
    <mergeCell ref="C66:C68"/>
    <mergeCell ref="D66:D68"/>
    <mergeCell ref="C69:C71"/>
    <mergeCell ref="D69:D71"/>
    <mergeCell ref="D87:D89"/>
    <mergeCell ref="AF72:AF74"/>
    <mergeCell ref="AF75:AF77"/>
    <mergeCell ref="AF78:AF80"/>
    <mergeCell ref="AF81:AF83"/>
    <mergeCell ref="AF84:AF86"/>
    <mergeCell ref="C96:C98"/>
    <mergeCell ref="C99:C101"/>
    <mergeCell ref="C93:C95"/>
    <mergeCell ref="AE75:AE77"/>
    <mergeCell ref="AE78:AE80"/>
    <mergeCell ref="AE81:AE83"/>
    <mergeCell ref="AE84:AE86"/>
    <mergeCell ref="AE87:AE89"/>
    <mergeCell ref="AE90:AE92"/>
    <mergeCell ref="AE93:AE95"/>
    <mergeCell ref="AE96:AE98"/>
    <mergeCell ref="AE99:AE101"/>
    <mergeCell ref="C72:C74"/>
    <mergeCell ref="D72:D74"/>
    <mergeCell ref="D96:D98"/>
    <mergeCell ref="D99:D101"/>
    <mergeCell ref="AC96:AC98"/>
    <mergeCell ref="AC99:AC101"/>
    <mergeCell ref="L90:L92"/>
    <mergeCell ref="AM75:AM77"/>
    <mergeCell ref="AN75:AN77"/>
    <mergeCell ref="AF96:AF98"/>
    <mergeCell ref="AF99:AF101"/>
    <mergeCell ref="AG72:AG74"/>
    <mergeCell ref="AH57:AH59"/>
    <mergeCell ref="AH60:AH62"/>
    <mergeCell ref="AH63:AH65"/>
    <mergeCell ref="AH66:AH68"/>
    <mergeCell ref="AH69:AH71"/>
    <mergeCell ref="AH72:AH74"/>
    <mergeCell ref="AH75:AH77"/>
    <mergeCell ref="AH78:AH80"/>
    <mergeCell ref="AH81:AH83"/>
    <mergeCell ref="AH84:AH86"/>
    <mergeCell ref="AH87:AH89"/>
    <mergeCell ref="AH90:AH92"/>
    <mergeCell ref="AH93:AH95"/>
    <mergeCell ref="AH96:AH98"/>
    <mergeCell ref="AH99:AH101"/>
    <mergeCell ref="AF60:AF62"/>
    <mergeCell ref="AF63:AF65"/>
    <mergeCell ref="AF66:AF68"/>
    <mergeCell ref="AF69:AF71"/>
  </mergeCells>
  <phoneticPr fontId="1" type="noConversion"/>
  <conditionalFormatting sqref="M6:M17">
    <cfRule type="containsText" dxfId="451" priority="1185" operator="containsText" text="Catastrófico">
      <formula>NOT(ISERROR(SEARCH("Catastrófico",M6)))</formula>
    </cfRule>
    <cfRule type="containsText" dxfId="450" priority="1186" operator="containsText" text="Mayor">
      <formula>NOT(ISERROR(SEARCH("Mayor",M6)))</formula>
    </cfRule>
    <cfRule type="containsText" dxfId="449" priority="1187" operator="containsText" text="Moderado">
      <formula>NOT(ISERROR(SEARCH("Moderado",M6)))</formula>
    </cfRule>
    <cfRule type="containsText" dxfId="448" priority="1188" operator="containsText" text="Menor">
      <formula>NOT(ISERROR(SEARCH("Menor",M6)))</formula>
    </cfRule>
    <cfRule type="containsText" dxfId="447" priority="1189" operator="containsText" text="Leve">
      <formula>NOT(ISERROR(SEARCH("Leve",M6)))</formula>
    </cfRule>
  </conditionalFormatting>
  <conditionalFormatting sqref="P6 P9 P12 P15 P18 P21 P24 P27 P30 P33 P36 P39 P42 P45 P48 P51 P54 P57 P60 P63 P66 P69 P72 P75 P78 P81 P84 P87 P90 P93 P96 P99">
    <cfRule type="containsText" dxfId="446" priority="959" operator="containsText" text="Extremo">
      <formula>NOT(ISERROR(SEARCH("Extremo",P6)))</formula>
    </cfRule>
    <cfRule type="containsText" dxfId="445" priority="960" operator="containsText" text="Alto">
      <formula>NOT(ISERROR(SEARCH("Alto",P6)))</formula>
    </cfRule>
    <cfRule type="containsText" dxfId="444" priority="961" operator="containsText" text="Moderado">
      <formula>NOT(ISERROR(SEARCH("Moderado",P6)))</formula>
    </cfRule>
    <cfRule type="containsText" dxfId="443" priority="962" operator="containsText" text="Baja">
      <formula>NOT(ISERROR(SEARCH("Baja",P6)))</formula>
    </cfRule>
    <cfRule type="cellIs" dxfId="442" priority="963" operator="equal">
      <formula>"Bajo"</formula>
    </cfRule>
  </conditionalFormatting>
  <conditionalFormatting sqref="AH6 AH9 AH12">
    <cfRule type="cellIs" dxfId="441" priority="956" stopIfTrue="1" operator="equal">
      <formula>"INACEPTABLE"</formula>
    </cfRule>
    <cfRule type="cellIs" dxfId="440" priority="957" stopIfTrue="1" operator="equal">
      <formula>"IMPORTANTE"</formula>
    </cfRule>
    <cfRule type="cellIs" dxfId="439" priority="958" stopIfTrue="1" operator="equal">
      <formula>"MODERADA"</formula>
    </cfRule>
  </conditionalFormatting>
  <conditionalFormatting sqref="AG6 AG9 AG12 AG15 AG18 AG21 AG24 AG27 AG30 AG33 AG39 AG36 AG42 AG45 AG48 AG51 AG54 AG57 AG60 AG63 AG66 AG69 AG72 AG75 AG78 AG81 AG84 AG87 AG90 AG93 AG96 AG99">
    <cfRule type="containsText" dxfId="438" priority="951" operator="containsText" text="Extremo">
      <formula>NOT(ISERROR(SEARCH("Extremo",AG6)))</formula>
    </cfRule>
    <cfRule type="containsText" dxfId="437" priority="952" operator="containsText" text="Alto">
      <formula>NOT(ISERROR(SEARCH("Alto",AG6)))</formula>
    </cfRule>
    <cfRule type="containsText" dxfId="436" priority="953" operator="containsText" text="Moderado">
      <formula>NOT(ISERROR(SEARCH("Moderado",AG6)))</formula>
    </cfRule>
    <cfRule type="containsText" dxfId="435" priority="954" operator="containsText" text="Baja">
      <formula>NOT(ISERROR(SEARCH("Baja",AG6)))</formula>
    </cfRule>
    <cfRule type="cellIs" dxfId="434" priority="955" operator="equal">
      <formula>"Bajo"</formula>
    </cfRule>
  </conditionalFormatting>
  <conditionalFormatting sqref="AC6:AC56">
    <cfRule type="containsText" dxfId="433" priority="945" operator="containsText" text="Muy Alta">
      <formula>NOT(ISERROR(SEARCH("Muy Alta",AC6)))</formula>
    </cfRule>
    <cfRule type="containsText" dxfId="432" priority="946" operator="containsText" text="Alta">
      <formula>NOT(ISERROR(SEARCH("Alta",AC6)))</formula>
    </cfRule>
    <cfRule type="containsText" dxfId="431" priority="947" operator="containsText" text="Media">
      <formula>NOT(ISERROR(SEARCH("Media",AC6)))</formula>
    </cfRule>
    <cfRule type="containsText" dxfId="430" priority="948" operator="containsText" text="Baja">
      <formula>NOT(ISERROR(SEARCH("Baja",AC6)))</formula>
    </cfRule>
    <cfRule type="containsText" dxfId="429" priority="949" operator="containsText" text="Muy Baja">
      <formula>NOT(ISERROR(SEARCH("Muy Baja",AC6)))</formula>
    </cfRule>
    <cfRule type="colorScale" priority="950">
      <colorScale>
        <cfvo type="min"/>
        <cfvo type="percentile" val="50"/>
        <cfvo type="max"/>
        <color rgb="FFF8696B"/>
        <color rgb="FFFFEB84"/>
        <color rgb="FF63BE7B"/>
      </colorScale>
    </cfRule>
  </conditionalFormatting>
  <conditionalFormatting sqref="AE6:AE14">
    <cfRule type="containsText" dxfId="428" priority="940" operator="containsText" text="Catastrófico">
      <formula>NOT(ISERROR(SEARCH("Catastrófico",AE6)))</formula>
    </cfRule>
    <cfRule type="containsText" dxfId="427" priority="941" operator="containsText" text="Mayor">
      <formula>NOT(ISERROR(SEARCH("Mayor",AE6)))</formula>
    </cfRule>
    <cfRule type="containsText" dxfId="426" priority="942" operator="containsText" text="Moderado">
      <formula>NOT(ISERROR(SEARCH("Moderado",AE6)))</formula>
    </cfRule>
    <cfRule type="containsText" dxfId="425" priority="943" operator="containsText" text="Menor">
      <formula>NOT(ISERROR(SEARCH("Menor",AE6)))</formula>
    </cfRule>
    <cfRule type="containsText" dxfId="424" priority="944" operator="containsText" text="Leve">
      <formula>NOT(ISERROR(SEARCH("Leve",AE6)))</formula>
    </cfRule>
  </conditionalFormatting>
  <conditionalFormatting sqref="K6:K101">
    <cfRule type="containsText" dxfId="423" priority="1324" operator="containsText" text="Muy Alta">
      <formula>NOT(ISERROR(SEARCH("Muy Alta",K6)))</formula>
    </cfRule>
    <cfRule type="containsText" dxfId="422" priority="1325" operator="containsText" text="Alta">
      <formula>NOT(ISERROR(SEARCH("Alta",K6)))</formula>
    </cfRule>
    <cfRule type="containsText" dxfId="421" priority="1326" operator="containsText" text="Media">
      <formula>NOT(ISERROR(SEARCH("Media",K6)))</formula>
    </cfRule>
    <cfRule type="containsText" dxfId="420" priority="1327" operator="containsText" text="Baja">
      <formula>NOT(ISERROR(SEARCH("Baja",K6)))</formula>
    </cfRule>
    <cfRule type="containsText" dxfId="419" priority="1328" operator="containsText" text="Muy Baja">
      <formula>NOT(ISERROR(SEARCH("Muy Baja",K6)))</formula>
    </cfRule>
    <cfRule type="colorScale" priority="1329">
      <colorScale>
        <cfvo type="min"/>
        <cfvo type="percentile" val="50"/>
        <cfvo type="max"/>
        <color rgb="FFF8696B"/>
        <color rgb="FFFFEB84"/>
        <color rgb="FF63BE7B"/>
      </colorScale>
    </cfRule>
  </conditionalFormatting>
  <conditionalFormatting sqref="M18:M20">
    <cfRule type="containsText" dxfId="418" priority="918" operator="containsText" text="Catastrófico">
      <formula>NOT(ISERROR(SEARCH("Catastrófico",M18)))</formula>
    </cfRule>
    <cfRule type="containsText" dxfId="417" priority="919" operator="containsText" text="Mayor">
      <formula>NOT(ISERROR(SEARCH("Mayor",M18)))</formula>
    </cfRule>
    <cfRule type="containsText" dxfId="416" priority="920" operator="containsText" text="Moderado">
      <formula>NOT(ISERROR(SEARCH("Moderado",M18)))</formula>
    </cfRule>
    <cfRule type="containsText" dxfId="415" priority="921" operator="containsText" text="Menor">
      <formula>NOT(ISERROR(SEARCH("Menor",M18)))</formula>
    </cfRule>
    <cfRule type="containsText" dxfId="414" priority="922" operator="containsText" text="Leve">
      <formula>NOT(ISERROR(SEARCH("Leve",M18)))</formula>
    </cfRule>
  </conditionalFormatting>
  <conditionalFormatting sqref="AH15 AH18 AH21 AH24 AH27 AH30 AH33 AH36 AH39 AH42 AH45 AH48 AH51 AH54 AH57 AH60 AH63 AH66 AH69 AH72 AH75 AH78 AH81 AH84 AH87 AH90 AH93 AH96 AH99">
    <cfRule type="cellIs" dxfId="413" priority="910" stopIfTrue="1" operator="equal">
      <formula>"INACEPTABLE"</formula>
    </cfRule>
    <cfRule type="cellIs" dxfId="412" priority="911" stopIfTrue="1" operator="equal">
      <formula>"IMPORTANTE"</formula>
    </cfRule>
    <cfRule type="cellIs" dxfId="411" priority="912" stopIfTrue="1" operator="equal">
      <formula>"MODERADA"</formula>
    </cfRule>
  </conditionalFormatting>
  <conditionalFormatting sqref="AE15:AE59">
    <cfRule type="containsText" dxfId="410" priority="894" operator="containsText" text="Catastrófico">
      <formula>NOT(ISERROR(SEARCH("Catastrófico",AE15)))</formula>
    </cfRule>
    <cfRule type="containsText" dxfId="409" priority="895" operator="containsText" text="Mayor">
      <formula>NOT(ISERROR(SEARCH("Mayor",AE15)))</formula>
    </cfRule>
    <cfRule type="containsText" dxfId="408" priority="896" operator="containsText" text="Moderado">
      <formula>NOT(ISERROR(SEARCH("Moderado",AE15)))</formula>
    </cfRule>
    <cfRule type="containsText" dxfId="407" priority="897" operator="containsText" text="Menor">
      <formula>NOT(ISERROR(SEARCH("Menor",AE15)))</formula>
    </cfRule>
    <cfRule type="containsText" dxfId="406" priority="898" operator="containsText" text="Leve">
      <formula>NOT(ISERROR(SEARCH("Leve",AE15)))</formula>
    </cfRule>
  </conditionalFormatting>
  <conditionalFormatting sqref="AL21">
    <cfRule type="cellIs" dxfId="405" priority="787" stopIfTrue="1" operator="equal">
      <formula>"INACEPTABLE"</formula>
    </cfRule>
  </conditionalFormatting>
  <conditionalFormatting sqref="AL21">
    <cfRule type="cellIs" dxfId="404" priority="788" stopIfTrue="1" operator="equal">
      <formula>"IMPORTANTE"</formula>
    </cfRule>
  </conditionalFormatting>
  <conditionalFormatting sqref="AL21">
    <cfRule type="cellIs" dxfId="403" priority="789" stopIfTrue="1" operator="equal">
      <formula>"MODERADA"</formula>
    </cfRule>
  </conditionalFormatting>
  <conditionalFormatting sqref="AK21 AK24 AK27 AK30">
    <cfRule type="containsText" dxfId="402" priority="796" operator="containsText" text="Extremo">
      <formula>NOT(ISERROR(SEARCH(("Extremo"),(AK21))))</formula>
    </cfRule>
  </conditionalFormatting>
  <conditionalFormatting sqref="AK21 AK24 AK27 AK30">
    <cfRule type="containsText" dxfId="401" priority="797" operator="containsText" text="Alto">
      <formula>NOT(ISERROR(SEARCH(("Alto"),(AK21))))</formula>
    </cfRule>
  </conditionalFormatting>
  <conditionalFormatting sqref="AK21 AK24 AK27 AK30">
    <cfRule type="containsText" dxfId="400" priority="798" operator="containsText" text="Moderado">
      <formula>NOT(ISERROR(SEARCH(("Moderado"),(AK21))))</formula>
    </cfRule>
  </conditionalFormatting>
  <conditionalFormatting sqref="AK21 AK24 AK27 AK30">
    <cfRule type="containsText" dxfId="399" priority="799" operator="containsText" text="Baja">
      <formula>NOT(ISERROR(SEARCH(("Baja"),(AK21))))</formula>
    </cfRule>
  </conditionalFormatting>
  <conditionalFormatting sqref="AK21 AK24 AK27 AK30">
    <cfRule type="cellIs" dxfId="398" priority="800" operator="equal">
      <formula>"Bajo"</formula>
    </cfRule>
  </conditionalFormatting>
  <conditionalFormatting sqref="M21:M23">
    <cfRule type="containsText" dxfId="397" priority="806" operator="containsText" text="Catastrófico">
      <formula>NOT(ISERROR(SEARCH(("Catastrófico"),(M21))))</formula>
    </cfRule>
  </conditionalFormatting>
  <conditionalFormatting sqref="M21:M23">
    <cfRule type="containsText" dxfId="396" priority="807" operator="containsText" text="Mayor">
      <formula>NOT(ISERROR(SEARCH(("Mayor"),(M21))))</formula>
    </cfRule>
  </conditionalFormatting>
  <conditionalFormatting sqref="M21:M23">
    <cfRule type="containsText" dxfId="395" priority="808" operator="containsText" text="Moderado">
      <formula>NOT(ISERROR(SEARCH(("Moderado"),(M21))))</formula>
    </cfRule>
  </conditionalFormatting>
  <conditionalFormatting sqref="M21:M23">
    <cfRule type="containsText" dxfId="394" priority="809" operator="containsText" text="Menor">
      <formula>NOT(ISERROR(SEARCH(("Menor"),(M21))))</formula>
    </cfRule>
  </conditionalFormatting>
  <conditionalFormatting sqref="M21:M23">
    <cfRule type="containsText" dxfId="393" priority="810" operator="containsText" text="Leve">
      <formula>NOT(ISERROR(SEARCH(("Leve"),(M21))))</formula>
    </cfRule>
  </conditionalFormatting>
  <conditionalFormatting sqref="AI21:AI23">
    <cfRule type="containsText" dxfId="392" priority="817" operator="containsText" text="Catastrófico">
      <formula>NOT(ISERROR(SEARCH(("Catastrófico"),(AI21))))</formula>
    </cfRule>
  </conditionalFormatting>
  <conditionalFormatting sqref="AI21:AI23">
    <cfRule type="containsText" dxfId="391" priority="818" operator="containsText" text="Mayor">
      <formula>NOT(ISERROR(SEARCH(("Mayor"),(AI21))))</formula>
    </cfRule>
  </conditionalFormatting>
  <conditionalFormatting sqref="AI21:AI23">
    <cfRule type="containsText" dxfId="390" priority="819" operator="containsText" text="Moderado">
      <formula>NOT(ISERROR(SEARCH(("Moderado"),(AI21))))</formula>
    </cfRule>
  </conditionalFormatting>
  <conditionalFormatting sqref="AI21:AI23">
    <cfRule type="containsText" dxfId="389" priority="820" operator="containsText" text="Menor">
      <formula>NOT(ISERROR(SEARCH(("Menor"),(AI21))))</formula>
    </cfRule>
  </conditionalFormatting>
  <conditionalFormatting sqref="AI21:AI23">
    <cfRule type="containsText" dxfId="388" priority="821" operator="containsText" text="Leve">
      <formula>NOT(ISERROR(SEARCH(("Leve"),(AI21))))</formula>
    </cfRule>
  </conditionalFormatting>
  <conditionalFormatting sqref="AL24">
    <cfRule type="cellIs" dxfId="387" priority="822" stopIfTrue="1" operator="equal">
      <formula>"INACEPTABLE"</formula>
    </cfRule>
  </conditionalFormatting>
  <conditionalFormatting sqref="AL24">
    <cfRule type="cellIs" dxfId="386" priority="823" stopIfTrue="1" operator="equal">
      <formula>"IMPORTANTE"</formula>
    </cfRule>
  </conditionalFormatting>
  <conditionalFormatting sqref="AL24">
    <cfRule type="cellIs" dxfId="385" priority="824" stopIfTrue="1" operator="equal">
      <formula>"MODERADA"</formula>
    </cfRule>
  </conditionalFormatting>
  <conditionalFormatting sqref="M24:M26">
    <cfRule type="containsText" dxfId="384" priority="830" operator="containsText" text="Catastrófico">
      <formula>NOT(ISERROR(SEARCH(("Catastrófico"),(M24))))</formula>
    </cfRule>
  </conditionalFormatting>
  <conditionalFormatting sqref="M24:M26">
    <cfRule type="containsText" dxfId="383" priority="831" operator="containsText" text="Mayor">
      <formula>NOT(ISERROR(SEARCH(("Mayor"),(M24))))</formula>
    </cfRule>
  </conditionalFormatting>
  <conditionalFormatting sqref="M24:M26">
    <cfRule type="containsText" dxfId="382" priority="832" operator="containsText" text="Moderado">
      <formula>NOT(ISERROR(SEARCH(("Moderado"),(M24))))</formula>
    </cfRule>
  </conditionalFormatting>
  <conditionalFormatting sqref="M24:M26">
    <cfRule type="containsText" dxfId="381" priority="833" operator="containsText" text="Menor">
      <formula>NOT(ISERROR(SEARCH(("Menor"),(M24))))</formula>
    </cfRule>
  </conditionalFormatting>
  <conditionalFormatting sqref="M24:M26">
    <cfRule type="containsText" dxfId="380" priority="834" operator="containsText" text="Leve">
      <formula>NOT(ISERROR(SEARCH(("Leve"),(M24))))</formula>
    </cfRule>
  </conditionalFormatting>
  <conditionalFormatting sqref="AI24:AI26">
    <cfRule type="containsText" dxfId="379" priority="841" operator="containsText" text="Catastrófico">
      <formula>NOT(ISERROR(SEARCH(("Catastrófico"),(AI24))))</formula>
    </cfRule>
  </conditionalFormatting>
  <conditionalFormatting sqref="AI24:AI26">
    <cfRule type="containsText" dxfId="378" priority="842" operator="containsText" text="Mayor">
      <formula>NOT(ISERROR(SEARCH(("Mayor"),(AI24))))</formula>
    </cfRule>
  </conditionalFormatting>
  <conditionalFormatting sqref="AI24:AI26">
    <cfRule type="containsText" dxfId="377" priority="843" operator="containsText" text="Moderado">
      <formula>NOT(ISERROR(SEARCH(("Moderado"),(AI24))))</formula>
    </cfRule>
  </conditionalFormatting>
  <conditionalFormatting sqref="AI24:AI26">
    <cfRule type="containsText" dxfId="376" priority="844" operator="containsText" text="Menor">
      <formula>NOT(ISERROR(SEARCH(("Menor"),(AI24))))</formula>
    </cfRule>
  </conditionalFormatting>
  <conditionalFormatting sqref="AI24:AI26">
    <cfRule type="containsText" dxfId="375" priority="845" operator="containsText" text="Leve">
      <formula>NOT(ISERROR(SEARCH(("Leve"),(AI24))))</formula>
    </cfRule>
  </conditionalFormatting>
  <conditionalFormatting sqref="AL27">
    <cfRule type="cellIs" dxfId="374" priority="846" stopIfTrue="1" operator="equal">
      <formula>"INACEPTABLE"</formula>
    </cfRule>
  </conditionalFormatting>
  <conditionalFormatting sqref="AL27">
    <cfRule type="cellIs" dxfId="373" priority="847" stopIfTrue="1" operator="equal">
      <formula>"IMPORTANTE"</formula>
    </cfRule>
  </conditionalFormatting>
  <conditionalFormatting sqref="AL27">
    <cfRule type="cellIs" dxfId="372" priority="848" stopIfTrue="1" operator="equal">
      <formula>"MODERADA"</formula>
    </cfRule>
  </conditionalFormatting>
  <conditionalFormatting sqref="M27:M29">
    <cfRule type="containsText" dxfId="371" priority="854" operator="containsText" text="Catastrófico">
      <formula>NOT(ISERROR(SEARCH(("Catastrófico"),(M27))))</formula>
    </cfRule>
  </conditionalFormatting>
  <conditionalFormatting sqref="M27:M29">
    <cfRule type="containsText" dxfId="370" priority="855" operator="containsText" text="Mayor">
      <formula>NOT(ISERROR(SEARCH(("Mayor"),(M27))))</formula>
    </cfRule>
  </conditionalFormatting>
  <conditionalFormatting sqref="M27:M29">
    <cfRule type="containsText" dxfId="369" priority="856" operator="containsText" text="Moderado">
      <formula>NOT(ISERROR(SEARCH(("Moderado"),(M27))))</formula>
    </cfRule>
  </conditionalFormatting>
  <conditionalFormatting sqref="M27:M29">
    <cfRule type="containsText" dxfId="368" priority="857" operator="containsText" text="Menor">
      <formula>NOT(ISERROR(SEARCH(("Menor"),(M27))))</formula>
    </cfRule>
  </conditionalFormatting>
  <conditionalFormatting sqref="M27:M29">
    <cfRule type="containsText" dxfId="367" priority="858" operator="containsText" text="Leve">
      <formula>NOT(ISERROR(SEARCH(("Leve"),(M27))))</formula>
    </cfRule>
  </conditionalFormatting>
  <conditionalFormatting sqref="AI27:AI31">
    <cfRule type="containsText" dxfId="366" priority="865" operator="containsText" text="Catastrófico">
      <formula>NOT(ISERROR(SEARCH(("Catastrófico"),(AI27))))</formula>
    </cfRule>
  </conditionalFormatting>
  <conditionalFormatting sqref="AI27:AI31">
    <cfRule type="containsText" dxfId="365" priority="866" operator="containsText" text="Mayor">
      <formula>NOT(ISERROR(SEARCH(("Mayor"),(AI27))))</formula>
    </cfRule>
  </conditionalFormatting>
  <conditionalFormatting sqref="AI27:AI31">
    <cfRule type="containsText" dxfId="364" priority="867" operator="containsText" text="Moderado">
      <formula>NOT(ISERROR(SEARCH(("Moderado"),(AI27))))</formula>
    </cfRule>
  </conditionalFormatting>
  <conditionalFormatting sqref="AI27:AI31">
    <cfRule type="containsText" dxfId="363" priority="868" operator="containsText" text="Menor">
      <formula>NOT(ISERROR(SEARCH(("Menor"),(AI27))))</formula>
    </cfRule>
  </conditionalFormatting>
  <conditionalFormatting sqref="AI27:AI31">
    <cfRule type="containsText" dxfId="362" priority="869" operator="containsText" text="Leve">
      <formula>NOT(ISERROR(SEARCH(("Leve"),(AI27))))</formula>
    </cfRule>
  </conditionalFormatting>
  <conditionalFormatting sqref="AL30">
    <cfRule type="cellIs" dxfId="361" priority="870" stopIfTrue="1" operator="equal">
      <formula>"INACEPTABLE"</formula>
    </cfRule>
  </conditionalFormatting>
  <conditionalFormatting sqref="AL30">
    <cfRule type="cellIs" dxfId="360" priority="871" stopIfTrue="1" operator="equal">
      <formula>"IMPORTANTE"</formula>
    </cfRule>
  </conditionalFormatting>
  <conditionalFormatting sqref="AL30">
    <cfRule type="cellIs" dxfId="359" priority="872" stopIfTrue="1" operator="equal">
      <formula>"MODERADA"</formula>
    </cfRule>
  </conditionalFormatting>
  <conditionalFormatting sqref="M30:M32">
    <cfRule type="containsText" dxfId="358" priority="878" operator="containsText" text="Catastrófico">
      <formula>NOT(ISERROR(SEARCH(("Catastrófico"),(M30))))</formula>
    </cfRule>
  </conditionalFormatting>
  <conditionalFormatting sqref="M30:M32">
    <cfRule type="containsText" dxfId="357" priority="879" operator="containsText" text="Mayor">
      <formula>NOT(ISERROR(SEARCH(("Mayor"),(M30))))</formula>
    </cfRule>
  </conditionalFormatting>
  <conditionalFormatting sqref="M30:M32">
    <cfRule type="containsText" dxfId="356" priority="880" operator="containsText" text="Moderado">
      <formula>NOT(ISERROR(SEARCH(("Moderado"),(M30))))</formula>
    </cfRule>
  </conditionalFormatting>
  <conditionalFormatting sqref="M30:M32">
    <cfRule type="containsText" dxfId="355" priority="881" operator="containsText" text="Menor">
      <formula>NOT(ISERROR(SEARCH(("Menor"),(M30))))</formula>
    </cfRule>
  </conditionalFormatting>
  <conditionalFormatting sqref="M30:M32">
    <cfRule type="containsText" dxfId="354" priority="882" operator="containsText" text="Leve">
      <formula>NOT(ISERROR(SEARCH(("Leve"),(M30))))</formula>
    </cfRule>
  </conditionalFormatting>
  <conditionalFormatting sqref="AI30:AI32">
    <cfRule type="containsText" dxfId="353" priority="889" operator="containsText" text="Catastrófico">
      <formula>NOT(ISERROR(SEARCH(("Catastrófico"),(AI30))))</formula>
    </cfRule>
  </conditionalFormatting>
  <conditionalFormatting sqref="AI30:AI32">
    <cfRule type="containsText" dxfId="352" priority="890" operator="containsText" text="Mayor">
      <formula>NOT(ISERROR(SEARCH(("Mayor"),(AI30))))</formula>
    </cfRule>
  </conditionalFormatting>
  <conditionalFormatting sqref="AI30:AI32">
    <cfRule type="containsText" dxfId="351" priority="891" operator="containsText" text="Moderado">
      <formula>NOT(ISERROR(SEARCH(("Moderado"),(AI30))))</formula>
    </cfRule>
  </conditionalFormatting>
  <conditionalFormatting sqref="AI30:AI32">
    <cfRule type="containsText" dxfId="350" priority="892" operator="containsText" text="Menor">
      <formula>NOT(ISERROR(SEARCH(("Menor"),(AI30))))</formula>
    </cfRule>
  </conditionalFormatting>
  <conditionalFormatting sqref="AI30:AI32">
    <cfRule type="containsText" dxfId="349" priority="893" operator="containsText" text="Leve">
      <formula>NOT(ISERROR(SEARCH(("Leve"),(AI30))))</formula>
    </cfRule>
  </conditionalFormatting>
  <conditionalFormatting sqref="AL33">
    <cfRule type="cellIs" dxfId="348" priority="778" stopIfTrue="1" operator="equal">
      <formula>"INACEPTABLE"</formula>
    </cfRule>
    <cfRule type="cellIs" dxfId="347" priority="779" stopIfTrue="1" operator="equal">
      <formula>"IMPORTANTE"</formula>
    </cfRule>
    <cfRule type="cellIs" dxfId="346" priority="780" stopIfTrue="1" operator="equal">
      <formula>"MODERADA"</formula>
    </cfRule>
  </conditionalFormatting>
  <conditionalFormatting sqref="AK33 AK36 AK39 AK42 AK45 AK51">
    <cfRule type="containsText" dxfId="345" priority="773" operator="containsText" text="Extremo">
      <formula>NOT(ISERROR(SEARCH("Extremo",AK33)))</formula>
    </cfRule>
    <cfRule type="containsText" dxfId="344" priority="774" operator="containsText" text="Alto">
      <formula>NOT(ISERROR(SEARCH("Alto",AK33)))</formula>
    </cfRule>
    <cfRule type="containsText" dxfId="343" priority="775" operator="containsText" text="Moderado">
      <formula>NOT(ISERROR(SEARCH("Moderado",AK33)))</formula>
    </cfRule>
    <cfRule type="containsText" dxfId="342" priority="776" operator="containsText" text="Baja">
      <formula>NOT(ISERROR(SEARCH("Baja",AK33)))</formula>
    </cfRule>
    <cfRule type="cellIs" dxfId="341" priority="777" operator="equal">
      <formula>"Bajo"</formula>
    </cfRule>
  </conditionalFormatting>
  <conditionalFormatting sqref="M33:M35">
    <cfRule type="containsText" dxfId="340" priority="763" operator="containsText" text="Catastrófico">
      <formula>NOT(ISERROR(SEARCH("Catastrófico",M33)))</formula>
    </cfRule>
    <cfRule type="containsText" dxfId="339" priority="764" operator="containsText" text="Mayor">
      <formula>NOT(ISERROR(SEARCH("Mayor",M33)))</formula>
    </cfRule>
    <cfRule type="containsText" dxfId="338" priority="765" operator="containsText" text="Moderado">
      <formula>NOT(ISERROR(SEARCH("Moderado",M33)))</formula>
    </cfRule>
    <cfRule type="containsText" dxfId="337" priority="766" operator="containsText" text="Menor">
      <formula>NOT(ISERROR(SEARCH("Menor",M33)))</formula>
    </cfRule>
    <cfRule type="containsText" dxfId="336" priority="767" operator="containsText" text="Leve">
      <formula>NOT(ISERROR(SEARCH("Leve",M33)))</formula>
    </cfRule>
  </conditionalFormatting>
  <conditionalFormatting sqref="AI33:AI35">
    <cfRule type="containsText" dxfId="335" priority="752" operator="containsText" text="Catastrófico">
      <formula>NOT(ISERROR(SEARCH("Catastrófico",AI33)))</formula>
    </cfRule>
    <cfRule type="containsText" dxfId="334" priority="753" operator="containsText" text="Mayor">
      <formula>NOT(ISERROR(SEARCH("Mayor",AI33)))</formula>
    </cfRule>
    <cfRule type="containsText" dxfId="333" priority="754" operator="containsText" text="Moderado">
      <formula>NOT(ISERROR(SEARCH("Moderado",AI33)))</formula>
    </cfRule>
    <cfRule type="containsText" dxfId="332" priority="755" operator="containsText" text="Menor">
      <formula>NOT(ISERROR(SEARCH("Menor",AI33)))</formula>
    </cfRule>
    <cfRule type="containsText" dxfId="331" priority="756" operator="containsText" text="Leve">
      <formula>NOT(ISERROR(SEARCH("Leve",AI33)))</formula>
    </cfRule>
  </conditionalFormatting>
  <conditionalFormatting sqref="AL36">
    <cfRule type="cellIs" dxfId="330" priority="749" stopIfTrue="1" operator="equal">
      <formula>"INACEPTABLE"</formula>
    </cfRule>
    <cfRule type="cellIs" dxfId="329" priority="750" stopIfTrue="1" operator="equal">
      <formula>"IMPORTANTE"</formula>
    </cfRule>
    <cfRule type="cellIs" dxfId="328" priority="751" stopIfTrue="1" operator="equal">
      <formula>"MODERADA"</formula>
    </cfRule>
  </conditionalFormatting>
  <conditionalFormatting sqref="M36:M38">
    <cfRule type="containsText" dxfId="327" priority="739" operator="containsText" text="Catastrófico">
      <formula>NOT(ISERROR(SEARCH("Catastrófico",M36)))</formula>
    </cfRule>
    <cfRule type="containsText" dxfId="326" priority="740" operator="containsText" text="Mayor">
      <formula>NOT(ISERROR(SEARCH("Mayor",M36)))</formula>
    </cfRule>
    <cfRule type="containsText" dxfId="325" priority="741" operator="containsText" text="Moderado">
      <formula>NOT(ISERROR(SEARCH("Moderado",M36)))</formula>
    </cfRule>
    <cfRule type="containsText" dxfId="324" priority="742" operator="containsText" text="Menor">
      <formula>NOT(ISERROR(SEARCH("Menor",M36)))</formula>
    </cfRule>
    <cfRule type="containsText" dxfId="323" priority="743" operator="containsText" text="Leve">
      <formula>NOT(ISERROR(SEARCH("Leve",M36)))</formula>
    </cfRule>
  </conditionalFormatting>
  <conditionalFormatting sqref="AI36:AI38">
    <cfRule type="containsText" dxfId="322" priority="728" operator="containsText" text="Catastrófico">
      <formula>NOT(ISERROR(SEARCH("Catastrófico",AI36)))</formula>
    </cfRule>
    <cfRule type="containsText" dxfId="321" priority="729" operator="containsText" text="Mayor">
      <formula>NOT(ISERROR(SEARCH("Mayor",AI36)))</formula>
    </cfRule>
    <cfRule type="containsText" dxfId="320" priority="730" operator="containsText" text="Moderado">
      <formula>NOT(ISERROR(SEARCH("Moderado",AI36)))</formula>
    </cfRule>
    <cfRule type="containsText" dxfId="319" priority="731" operator="containsText" text="Menor">
      <formula>NOT(ISERROR(SEARCH("Menor",AI36)))</formula>
    </cfRule>
    <cfRule type="containsText" dxfId="318" priority="732" operator="containsText" text="Leve">
      <formula>NOT(ISERROR(SEARCH("Leve",AI36)))</formula>
    </cfRule>
  </conditionalFormatting>
  <conditionalFormatting sqref="AL39">
    <cfRule type="cellIs" dxfId="317" priority="725" stopIfTrue="1" operator="equal">
      <formula>"INACEPTABLE"</formula>
    </cfRule>
    <cfRule type="cellIs" dxfId="316" priority="726" stopIfTrue="1" operator="equal">
      <formula>"IMPORTANTE"</formula>
    </cfRule>
    <cfRule type="cellIs" dxfId="315" priority="727" stopIfTrue="1" operator="equal">
      <formula>"MODERADA"</formula>
    </cfRule>
  </conditionalFormatting>
  <conditionalFormatting sqref="M39:M41">
    <cfRule type="containsText" dxfId="314" priority="715" operator="containsText" text="Catastrófico">
      <formula>NOT(ISERROR(SEARCH("Catastrófico",M39)))</formula>
    </cfRule>
    <cfRule type="containsText" dxfId="313" priority="716" operator="containsText" text="Mayor">
      <formula>NOT(ISERROR(SEARCH("Mayor",M39)))</formula>
    </cfRule>
    <cfRule type="containsText" dxfId="312" priority="717" operator="containsText" text="Moderado">
      <formula>NOT(ISERROR(SEARCH("Moderado",M39)))</formula>
    </cfRule>
    <cfRule type="containsText" dxfId="311" priority="718" operator="containsText" text="Menor">
      <formula>NOT(ISERROR(SEARCH("Menor",M39)))</formula>
    </cfRule>
    <cfRule type="containsText" dxfId="310" priority="719" operator="containsText" text="Leve">
      <formula>NOT(ISERROR(SEARCH("Leve",M39)))</formula>
    </cfRule>
  </conditionalFormatting>
  <conditionalFormatting sqref="AI39:AI41">
    <cfRule type="containsText" dxfId="309" priority="704" operator="containsText" text="Catastrófico">
      <formula>NOT(ISERROR(SEARCH("Catastrófico",AI39)))</formula>
    </cfRule>
    <cfRule type="containsText" dxfId="308" priority="705" operator="containsText" text="Mayor">
      <formula>NOT(ISERROR(SEARCH("Mayor",AI39)))</formula>
    </cfRule>
    <cfRule type="containsText" dxfId="307" priority="706" operator="containsText" text="Moderado">
      <formula>NOT(ISERROR(SEARCH("Moderado",AI39)))</formula>
    </cfRule>
    <cfRule type="containsText" dxfId="306" priority="707" operator="containsText" text="Menor">
      <formula>NOT(ISERROR(SEARCH("Menor",AI39)))</formula>
    </cfRule>
    <cfRule type="containsText" dxfId="305" priority="708" operator="containsText" text="Leve">
      <formula>NOT(ISERROR(SEARCH("Leve",AI39)))</formula>
    </cfRule>
  </conditionalFormatting>
  <conditionalFormatting sqref="AL42">
    <cfRule type="cellIs" dxfId="304" priority="701" stopIfTrue="1" operator="equal">
      <formula>"INACEPTABLE"</formula>
    </cfRule>
    <cfRule type="cellIs" dxfId="303" priority="702" stopIfTrue="1" operator="equal">
      <formula>"IMPORTANTE"</formula>
    </cfRule>
    <cfRule type="cellIs" dxfId="302" priority="703" stopIfTrue="1" operator="equal">
      <formula>"MODERADA"</formula>
    </cfRule>
  </conditionalFormatting>
  <conditionalFormatting sqref="M42:M44">
    <cfRule type="containsText" dxfId="301" priority="691" operator="containsText" text="Catastrófico">
      <formula>NOT(ISERROR(SEARCH("Catastrófico",M42)))</formula>
    </cfRule>
    <cfRule type="containsText" dxfId="300" priority="692" operator="containsText" text="Mayor">
      <formula>NOT(ISERROR(SEARCH("Mayor",M42)))</formula>
    </cfRule>
    <cfRule type="containsText" dxfId="299" priority="693" operator="containsText" text="Moderado">
      <formula>NOT(ISERROR(SEARCH("Moderado",M42)))</formula>
    </cfRule>
    <cfRule type="containsText" dxfId="298" priority="694" operator="containsText" text="Menor">
      <formula>NOT(ISERROR(SEARCH("Menor",M42)))</formula>
    </cfRule>
    <cfRule type="containsText" dxfId="297" priority="695" operator="containsText" text="Leve">
      <formula>NOT(ISERROR(SEARCH("Leve",M42)))</formula>
    </cfRule>
  </conditionalFormatting>
  <conditionalFormatting sqref="AI42:AI44">
    <cfRule type="containsText" dxfId="296" priority="680" operator="containsText" text="Catastrófico">
      <formula>NOT(ISERROR(SEARCH("Catastrófico",AI42)))</formula>
    </cfRule>
    <cfRule type="containsText" dxfId="295" priority="681" operator="containsText" text="Mayor">
      <formula>NOT(ISERROR(SEARCH("Mayor",AI42)))</formula>
    </cfRule>
    <cfRule type="containsText" dxfId="294" priority="682" operator="containsText" text="Moderado">
      <formula>NOT(ISERROR(SEARCH("Moderado",AI42)))</formula>
    </cfRule>
    <cfRule type="containsText" dxfId="293" priority="683" operator="containsText" text="Menor">
      <formula>NOT(ISERROR(SEARCH("Menor",AI42)))</formula>
    </cfRule>
    <cfRule type="containsText" dxfId="292" priority="684" operator="containsText" text="Leve">
      <formula>NOT(ISERROR(SEARCH("Leve",AI42)))</formula>
    </cfRule>
  </conditionalFormatting>
  <conditionalFormatting sqref="AL45">
    <cfRule type="cellIs" dxfId="291" priority="677" stopIfTrue="1" operator="equal">
      <formula>"INACEPTABLE"</formula>
    </cfRule>
    <cfRule type="cellIs" dxfId="290" priority="678" stopIfTrue="1" operator="equal">
      <formula>"IMPORTANTE"</formula>
    </cfRule>
    <cfRule type="cellIs" dxfId="289" priority="679" stopIfTrue="1" operator="equal">
      <formula>"MODERADA"</formula>
    </cfRule>
  </conditionalFormatting>
  <conditionalFormatting sqref="M45:M47">
    <cfRule type="containsText" dxfId="288" priority="667" operator="containsText" text="Catastrófico">
      <formula>NOT(ISERROR(SEARCH("Catastrófico",M45)))</formula>
    </cfRule>
    <cfRule type="containsText" dxfId="287" priority="668" operator="containsText" text="Mayor">
      <formula>NOT(ISERROR(SEARCH("Mayor",M45)))</formula>
    </cfRule>
    <cfRule type="containsText" dxfId="286" priority="669" operator="containsText" text="Moderado">
      <formula>NOT(ISERROR(SEARCH("Moderado",M45)))</formula>
    </cfRule>
    <cfRule type="containsText" dxfId="285" priority="670" operator="containsText" text="Menor">
      <formula>NOT(ISERROR(SEARCH("Menor",M45)))</formula>
    </cfRule>
    <cfRule type="containsText" dxfId="284" priority="671" operator="containsText" text="Leve">
      <formula>NOT(ISERROR(SEARCH("Leve",M45)))</formula>
    </cfRule>
  </conditionalFormatting>
  <conditionalFormatting sqref="AI45:AI47">
    <cfRule type="containsText" dxfId="283" priority="656" operator="containsText" text="Catastrófico">
      <formula>NOT(ISERROR(SEARCH("Catastrófico",AI45)))</formula>
    </cfRule>
    <cfRule type="containsText" dxfId="282" priority="657" operator="containsText" text="Mayor">
      <formula>NOT(ISERROR(SEARCH("Mayor",AI45)))</formula>
    </cfRule>
    <cfRule type="containsText" dxfId="281" priority="658" operator="containsText" text="Moderado">
      <formula>NOT(ISERROR(SEARCH("Moderado",AI45)))</formula>
    </cfRule>
    <cfRule type="containsText" dxfId="280" priority="659" operator="containsText" text="Menor">
      <formula>NOT(ISERROR(SEARCH("Menor",AI45)))</formula>
    </cfRule>
    <cfRule type="containsText" dxfId="279" priority="660" operator="containsText" text="Leve">
      <formula>NOT(ISERROR(SEARCH("Leve",AI45)))</formula>
    </cfRule>
  </conditionalFormatting>
  <conditionalFormatting sqref="AL51">
    <cfRule type="cellIs" dxfId="278" priority="653" stopIfTrue="1" operator="equal">
      <formula>"INACEPTABLE"</formula>
    </cfRule>
    <cfRule type="cellIs" dxfId="277" priority="654" stopIfTrue="1" operator="equal">
      <formula>"IMPORTANTE"</formula>
    </cfRule>
    <cfRule type="cellIs" dxfId="276" priority="655" stopIfTrue="1" operator="equal">
      <formula>"MODERADA"</formula>
    </cfRule>
  </conditionalFormatting>
  <conditionalFormatting sqref="M51:M53">
    <cfRule type="containsText" dxfId="275" priority="643" operator="containsText" text="Catastrófico">
      <formula>NOT(ISERROR(SEARCH("Catastrófico",M51)))</formula>
    </cfRule>
    <cfRule type="containsText" dxfId="274" priority="644" operator="containsText" text="Mayor">
      <formula>NOT(ISERROR(SEARCH("Mayor",M51)))</formula>
    </cfRule>
    <cfRule type="containsText" dxfId="273" priority="645" operator="containsText" text="Moderado">
      <formula>NOT(ISERROR(SEARCH("Moderado",M51)))</formula>
    </cfRule>
    <cfRule type="containsText" dxfId="272" priority="646" operator="containsText" text="Menor">
      <formula>NOT(ISERROR(SEARCH("Menor",M51)))</formula>
    </cfRule>
    <cfRule type="containsText" dxfId="271" priority="647" operator="containsText" text="Leve">
      <formula>NOT(ISERROR(SEARCH("Leve",M51)))</formula>
    </cfRule>
  </conditionalFormatting>
  <conditionalFormatting sqref="AI51:AI53">
    <cfRule type="containsText" dxfId="270" priority="632" operator="containsText" text="Catastrófico">
      <formula>NOT(ISERROR(SEARCH("Catastrófico",AI51)))</formula>
    </cfRule>
    <cfRule type="containsText" dxfId="269" priority="633" operator="containsText" text="Mayor">
      <formula>NOT(ISERROR(SEARCH("Mayor",AI51)))</formula>
    </cfRule>
    <cfRule type="containsText" dxfId="268" priority="634" operator="containsText" text="Moderado">
      <formula>NOT(ISERROR(SEARCH("Moderado",AI51)))</formula>
    </cfRule>
    <cfRule type="containsText" dxfId="267" priority="635" operator="containsText" text="Menor">
      <formula>NOT(ISERROR(SEARCH("Menor",AI51)))</formula>
    </cfRule>
    <cfRule type="containsText" dxfId="266" priority="636" operator="containsText" text="Leve">
      <formula>NOT(ISERROR(SEARCH("Leve",AI51)))</formula>
    </cfRule>
  </conditionalFormatting>
  <conditionalFormatting sqref="AK48">
    <cfRule type="containsText" dxfId="265" priority="621" operator="containsText" text="Extremo">
      <formula>NOT(ISERROR(SEARCH("Extremo",AK48)))</formula>
    </cfRule>
    <cfRule type="containsText" dxfId="264" priority="622" operator="containsText" text="Alto">
      <formula>NOT(ISERROR(SEARCH("Alto",AK48)))</formula>
    </cfRule>
    <cfRule type="containsText" dxfId="263" priority="623" operator="containsText" text="Moderado">
      <formula>NOT(ISERROR(SEARCH("Moderado",AK48)))</formula>
    </cfRule>
    <cfRule type="containsText" dxfId="262" priority="624" operator="containsText" text="Baja">
      <formula>NOT(ISERROR(SEARCH("Baja",AK48)))</formula>
    </cfRule>
    <cfRule type="cellIs" dxfId="261" priority="625" operator="equal">
      <formula>"Bajo"</formula>
    </cfRule>
  </conditionalFormatting>
  <conditionalFormatting sqref="AL48">
    <cfRule type="cellIs" dxfId="260" priority="618" stopIfTrue="1" operator="equal">
      <formula>"INACEPTABLE"</formula>
    </cfRule>
    <cfRule type="cellIs" dxfId="259" priority="619" stopIfTrue="1" operator="equal">
      <formula>"IMPORTANTE"</formula>
    </cfRule>
    <cfRule type="cellIs" dxfId="258" priority="620" stopIfTrue="1" operator="equal">
      <formula>"MODERADA"</formula>
    </cfRule>
  </conditionalFormatting>
  <conditionalFormatting sqref="M48:M50">
    <cfRule type="containsText" dxfId="257" priority="608" operator="containsText" text="Catastrófico">
      <formula>NOT(ISERROR(SEARCH("Catastrófico",M48)))</formula>
    </cfRule>
    <cfRule type="containsText" dxfId="256" priority="609" operator="containsText" text="Mayor">
      <formula>NOT(ISERROR(SEARCH("Mayor",M48)))</formula>
    </cfRule>
    <cfRule type="containsText" dxfId="255" priority="610" operator="containsText" text="Moderado">
      <formula>NOT(ISERROR(SEARCH("Moderado",M48)))</formula>
    </cfRule>
    <cfRule type="containsText" dxfId="254" priority="611" operator="containsText" text="Menor">
      <formula>NOT(ISERROR(SEARCH("Menor",M48)))</formula>
    </cfRule>
    <cfRule type="containsText" dxfId="253" priority="612" operator="containsText" text="Leve">
      <formula>NOT(ISERROR(SEARCH("Leve",M48)))</formula>
    </cfRule>
  </conditionalFormatting>
  <conditionalFormatting sqref="AI48:AI50">
    <cfRule type="containsText" dxfId="252" priority="597" operator="containsText" text="Catastrófico">
      <formula>NOT(ISERROR(SEARCH("Catastrófico",AI48)))</formula>
    </cfRule>
    <cfRule type="containsText" dxfId="251" priority="598" operator="containsText" text="Mayor">
      <formula>NOT(ISERROR(SEARCH("Mayor",AI48)))</formula>
    </cfRule>
    <cfRule type="containsText" dxfId="250" priority="599" operator="containsText" text="Moderado">
      <formula>NOT(ISERROR(SEARCH("Moderado",AI48)))</formula>
    </cfRule>
    <cfRule type="containsText" dxfId="249" priority="600" operator="containsText" text="Menor">
      <formula>NOT(ISERROR(SEARCH("Menor",AI48)))</formula>
    </cfRule>
    <cfRule type="containsText" dxfId="248" priority="601" operator="containsText" text="Leve">
      <formula>NOT(ISERROR(SEARCH("Leve",AI48)))</formula>
    </cfRule>
  </conditionalFormatting>
  <conditionalFormatting sqref="AK54">
    <cfRule type="containsText" dxfId="247" priority="586" operator="containsText" text="Extremo">
      <formula>NOT(ISERROR(SEARCH("Extremo",AK54)))</formula>
    </cfRule>
    <cfRule type="containsText" dxfId="246" priority="587" operator="containsText" text="Alto">
      <formula>NOT(ISERROR(SEARCH("Alto",AK54)))</formula>
    </cfRule>
    <cfRule type="containsText" dxfId="245" priority="588" operator="containsText" text="Moderado">
      <formula>NOT(ISERROR(SEARCH("Moderado",AK54)))</formula>
    </cfRule>
    <cfRule type="containsText" dxfId="244" priority="589" operator="containsText" text="Baja">
      <formula>NOT(ISERROR(SEARCH("Baja",AK54)))</formula>
    </cfRule>
    <cfRule type="cellIs" dxfId="243" priority="590" operator="equal">
      <formula>"Bajo"</formula>
    </cfRule>
  </conditionalFormatting>
  <conditionalFormatting sqref="AL54">
    <cfRule type="cellIs" dxfId="242" priority="583" stopIfTrue="1" operator="equal">
      <formula>"INACEPTABLE"</formula>
    </cfRule>
    <cfRule type="cellIs" dxfId="241" priority="584" stopIfTrue="1" operator="equal">
      <formula>"IMPORTANTE"</formula>
    </cfRule>
    <cfRule type="cellIs" dxfId="240" priority="585" stopIfTrue="1" operator="equal">
      <formula>"MODERADA"</formula>
    </cfRule>
  </conditionalFormatting>
  <conditionalFormatting sqref="M54:M56">
    <cfRule type="containsText" dxfId="239" priority="573" operator="containsText" text="Catastrófico">
      <formula>NOT(ISERROR(SEARCH("Catastrófico",M54)))</formula>
    </cfRule>
    <cfRule type="containsText" dxfId="238" priority="574" operator="containsText" text="Mayor">
      <formula>NOT(ISERROR(SEARCH("Mayor",M54)))</formula>
    </cfRule>
    <cfRule type="containsText" dxfId="237" priority="575" operator="containsText" text="Moderado">
      <formula>NOT(ISERROR(SEARCH("Moderado",M54)))</formula>
    </cfRule>
    <cfRule type="containsText" dxfId="236" priority="576" operator="containsText" text="Menor">
      <formula>NOT(ISERROR(SEARCH("Menor",M54)))</formula>
    </cfRule>
    <cfRule type="containsText" dxfId="235" priority="577" operator="containsText" text="Leve">
      <formula>NOT(ISERROR(SEARCH("Leve",M54)))</formula>
    </cfRule>
  </conditionalFormatting>
  <conditionalFormatting sqref="AI54:AI56">
    <cfRule type="containsText" dxfId="234" priority="562" operator="containsText" text="Catastrófico">
      <formula>NOT(ISERROR(SEARCH("Catastrófico",AI54)))</formula>
    </cfRule>
    <cfRule type="containsText" dxfId="233" priority="563" operator="containsText" text="Mayor">
      <formula>NOT(ISERROR(SEARCH("Mayor",AI54)))</formula>
    </cfRule>
    <cfRule type="containsText" dxfId="232" priority="564" operator="containsText" text="Moderado">
      <formula>NOT(ISERROR(SEARCH("Moderado",AI54)))</formula>
    </cfRule>
    <cfRule type="containsText" dxfId="231" priority="565" operator="containsText" text="Menor">
      <formula>NOT(ISERROR(SEARCH("Menor",AI54)))</formula>
    </cfRule>
    <cfRule type="containsText" dxfId="230" priority="566" operator="containsText" text="Leve">
      <formula>NOT(ISERROR(SEARCH("Leve",AI54)))</formula>
    </cfRule>
  </conditionalFormatting>
  <conditionalFormatting sqref="AL57">
    <cfRule type="cellIs" dxfId="229" priority="406" stopIfTrue="1" operator="equal">
      <formula>"INACEPTABLE"</formula>
    </cfRule>
  </conditionalFormatting>
  <conditionalFormatting sqref="AL57">
    <cfRule type="cellIs" dxfId="228" priority="407" stopIfTrue="1" operator="equal">
      <formula>"IMPORTANTE"</formula>
    </cfRule>
  </conditionalFormatting>
  <conditionalFormatting sqref="AL57">
    <cfRule type="cellIs" dxfId="227" priority="408" stopIfTrue="1" operator="equal">
      <formula>"MODERADA"</formula>
    </cfRule>
  </conditionalFormatting>
  <conditionalFormatting sqref="AK57 AK60:AK61 AK63 AK69 AK72">
    <cfRule type="containsText" dxfId="226" priority="415" operator="containsText" text="Extremo">
      <formula>NOT(ISERROR(SEARCH(("Extremo"),(AK57))))</formula>
    </cfRule>
  </conditionalFormatting>
  <conditionalFormatting sqref="AK57 AK60:AK61 AK63 AK69 AK72">
    <cfRule type="containsText" dxfId="225" priority="416" operator="containsText" text="Alto">
      <formula>NOT(ISERROR(SEARCH(("Alto"),(AK57))))</formula>
    </cfRule>
  </conditionalFormatting>
  <conditionalFormatting sqref="AK57 AK60:AK61 AK63 AK69 AK72">
    <cfRule type="containsText" dxfId="224" priority="417" operator="containsText" text="Moderado">
      <formula>NOT(ISERROR(SEARCH(("Moderado"),(AK57))))</formula>
    </cfRule>
  </conditionalFormatting>
  <conditionalFormatting sqref="AK57 AK60:AK61 AK63 AK69 AK72">
    <cfRule type="containsText" dxfId="223" priority="418" operator="containsText" text="Baja">
      <formula>NOT(ISERROR(SEARCH(("Baja"),(AK57))))</formula>
    </cfRule>
  </conditionalFormatting>
  <conditionalFormatting sqref="AK57 AK60:AK61 AK63 AK69 AK72">
    <cfRule type="cellIs" dxfId="222" priority="419" operator="equal">
      <formula>"Bajo"</formula>
    </cfRule>
  </conditionalFormatting>
  <conditionalFormatting sqref="M57:M59">
    <cfRule type="containsText" dxfId="221" priority="425" operator="containsText" text="Catastrófico">
      <formula>NOT(ISERROR(SEARCH(("Catastrófico"),(M57))))</formula>
    </cfRule>
  </conditionalFormatting>
  <conditionalFormatting sqref="M57:M59">
    <cfRule type="containsText" dxfId="220" priority="426" operator="containsText" text="Mayor">
      <formula>NOT(ISERROR(SEARCH(("Mayor"),(M57))))</formula>
    </cfRule>
  </conditionalFormatting>
  <conditionalFormatting sqref="M57:M59">
    <cfRule type="containsText" dxfId="219" priority="427" operator="containsText" text="Moderado">
      <formula>NOT(ISERROR(SEARCH(("Moderado"),(M57))))</formula>
    </cfRule>
  </conditionalFormatting>
  <conditionalFormatting sqref="M57:M59">
    <cfRule type="containsText" dxfId="218" priority="428" operator="containsText" text="Menor">
      <formula>NOT(ISERROR(SEARCH(("Menor"),(M57))))</formula>
    </cfRule>
  </conditionalFormatting>
  <conditionalFormatting sqref="M57:M59">
    <cfRule type="containsText" dxfId="217" priority="429" operator="containsText" text="Leve">
      <formula>NOT(ISERROR(SEARCH(("Leve"),(M57))))</formula>
    </cfRule>
  </conditionalFormatting>
  <conditionalFormatting sqref="AL60:AL61">
    <cfRule type="cellIs" dxfId="216" priority="441" stopIfTrue="1" operator="equal">
      <formula>"INACEPTABLE"</formula>
    </cfRule>
  </conditionalFormatting>
  <conditionalFormatting sqref="AL60:AL61">
    <cfRule type="cellIs" dxfId="215" priority="442" stopIfTrue="1" operator="equal">
      <formula>"IMPORTANTE"</formula>
    </cfRule>
  </conditionalFormatting>
  <conditionalFormatting sqref="AL60:AL61">
    <cfRule type="cellIs" dxfId="214" priority="443" stopIfTrue="1" operator="equal">
      <formula>"MODERADA"</formula>
    </cfRule>
  </conditionalFormatting>
  <conditionalFormatting sqref="M60:M62">
    <cfRule type="containsText" dxfId="213" priority="449" operator="containsText" text="Catastrófico">
      <formula>NOT(ISERROR(SEARCH(("Catastrófico"),(M60))))</formula>
    </cfRule>
  </conditionalFormatting>
  <conditionalFormatting sqref="M60:M62">
    <cfRule type="containsText" dxfId="212" priority="450" operator="containsText" text="Mayor">
      <formula>NOT(ISERROR(SEARCH(("Mayor"),(M60))))</formula>
    </cfRule>
  </conditionalFormatting>
  <conditionalFormatting sqref="M60:M62">
    <cfRule type="containsText" dxfId="211" priority="451" operator="containsText" text="Moderado">
      <formula>NOT(ISERROR(SEARCH(("Moderado"),(M60))))</formula>
    </cfRule>
  </conditionalFormatting>
  <conditionalFormatting sqref="M60:M62">
    <cfRule type="containsText" dxfId="210" priority="452" operator="containsText" text="Menor">
      <formula>NOT(ISERROR(SEARCH(("Menor"),(M60))))</formula>
    </cfRule>
  </conditionalFormatting>
  <conditionalFormatting sqref="M60:M62">
    <cfRule type="containsText" dxfId="209" priority="453" operator="containsText" text="Leve">
      <formula>NOT(ISERROR(SEARCH(("Leve"),(M60))))</formula>
    </cfRule>
  </conditionalFormatting>
  <conditionalFormatting sqref="AI60:AI62">
    <cfRule type="containsText" dxfId="208" priority="460" operator="containsText" text="Catastrófico">
      <formula>NOT(ISERROR(SEARCH(("Catastrófico"),(AI60))))</formula>
    </cfRule>
  </conditionalFormatting>
  <conditionalFormatting sqref="AI60:AI62">
    <cfRule type="containsText" dxfId="207" priority="461" operator="containsText" text="Mayor">
      <formula>NOT(ISERROR(SEARCH(("Mayor"),(AI60))))</formula>
    </cfRule>
  </conditionalFormatting>
  <conditionalFormatting sqref="AI60:AI62">
    <cfRule type="containsText" dxfId="206" priority="462" operator="containsText" text="Moderado">
      <formula>NOT(ISERROR(SEARCH(("Moderado"),(AI60))))</formula>
    </cfRule>
  </conditionalFormatting>
  <conditionalFormatting sqref="AI60:AI62">
    <cfRule type="containsText" dxfId="205" priority="463" operator="containsText" text="Menor">
      <formula>NOT(ISERROR(SEARCH(("Menor"),(AI60))))</formula>
    </cfRule>
  </conditionalFormatting>
  <conditionalFormatting sqref="AI60:AI62">
    <cfRule type="containsText" dxfId="204" priority="464" operator="containsText" text="Leve">
      <formula>NOT(ISERROR(SEARCH(("Leve"),(AI60))))</formula>
    </cfRule>
  </conditionalFormatting>
  <conditionalFormatting sqref="AL63">
    <cfRule type="cellIs" dxfId="203" priority="465" stopIfTrue="1" operator="equal">
      <formula>"INACEPTABLE"</formula>
    </cfRule>
  </conditionalFormatting>
  <conditionalFormatting sqref="AL63">
    <cfRule type="cellIs" dxfId="202" priority="466" stopIfTrue="1" operator="equal">
      <formula>"IMPORTANTE"</formula>
    </cfRule>
  </conditionalFormatting>
  <conditionalFormatting sqref="AL63">
    <cfRule type="cellIs" dxfId="201" priority="467" stopIfTrue="1" operator="equal">
      <formula>"MODERADA"</formula>
    </cfRule>
  </conditionalFormatting>
  <conditionalFormatting sqref="M63:M65">
    <cfRule type="containsText" dxfId="200" priority="473" operator="containsText" text="Catastrófico">
      <formula>NOT(ISERROR(SEARCH(("Catastrófico"),(M63))))</formula>
    </cfRule>
  </conditionalFormatting>
  <conditionalFormatting sqref="M63:M65">
    <cfRule type="containsText" dxfId="199" priority="474" operator="containsText" text="Mayor">
      <formula>NOT(ISERROR(SEARCH(("Mayor"),(M63))))</formula>
    </cfRule>
  </conditionalFormatting>
  <conditionalFormatting sqref="M63:M65">
    <cfRule type="containsText" dxfId="198" priority="475" operator="containsText" text="Moderado">
      <formula>NOT(ISERROR(SEARCH(("Moderado"),(M63))))</formula>
    </cfRule>
  </conditionalFormatting>
  <conditionalFormatting sqref="M63:M65">
    <cfRule type="containsText" dxfId="197" priority="476" operator="containsText" text="Menor">
      <formula>NOT(ISERROR(SEARCH(("Menor"),(M63))))</formula>
    </cfRule>
  </conditionalFormatting>
  <conditionalFormatting sqref="M63:M65">
    <cfRule type="containsText" dxfId="196" priority="477" operator="containsText" text="Leve">
      <formula>NOT(ISERROR(SEARCH(("Leve"),(M63))))</formula>
    </cfRule>
  </conditionalFormatting>
  <conditionalFormatting sqref="AI63:AI65">
    <cfRule type="containsText" dxfId="195" priority="484" operator="containsText" text="Catastrófico">
      <formula>NOT(ISERROR(SEARCH(("Catastrófico"),(AI63))))</formula>
    </cfRule>
  </conditionalFormatting>
  <conditionalFormatting sqref="AI63:AI65">
    <cfRule type="containsText" dxfId="194" priority="485" operator="containsText" text="Mayor">
      <formula>NOT(ISERROR(SEARCH(("Mayor"),(AI63))))</formula>
    </cfRule>
  </conditionalFormatting>
  <conditionalFormatting sqref="AI63:AI65">
    <cfRule type="containsText" dxfId="193" priority="486" operator="containsText" text="Moderado">
      <formula>NOT(ISERROR(SEARCH(("Moderado"),(AI63))))</formula>
    </cfRule>
  </conditionalFormatting>
  <conditionalFormatting sqref="AI63:AI65">
    <cfRule type="containsText" dxfId="192" priority="487" operator="containsText" text="Menor">
      <formula>NOT(ISERROR(SEARCH(("Menor"),(AI63))))</formula>
    </cfRule>
  </conditionalFormatting>
  <conditionalFormatting sqref="AI63:AI65">
    <cfRule type="containsText" dxfId="191" priority="488" operator="containsText" text="Leve">
      <formula>NOT(ISERROR(SEARCH(("Leve"),(AI63))))</formula>
    </cfRule>
  </conditionalFormatting>
  <conditionalFormatting sqref="M66:M68">
    <cfRule type="containsText" dxfId="190" priority="497" operator="containsText" text="Catastrófico">
      <formula>NOT(ISERROR(SEARCH(("Catastrófico"),(M66))))</formula>
    </cfRule>
  </conditionalFormatting>
  <conditionalFormatting sqref="M66:M68">
    <cfRule type="containsText" dxfId="189" priority="498" operator="containsText" text="Mayor">
      <formula>NOT(ISERROR(SEARCH(("Mayor"),(M66))))</formula>
    </cfRule>
  </conditionalFormatting>
  <conditionalFormatting sqref="M66:M68">
    <cfRule type="containsText" dxfId="188" priority="499" operator="containsText" text="Moderado">
      <formula>NOT(ISERROR(SEARCH(("Moderado"),(M66))))</formula>
    </cfRule>
  </conditionalFormatting>
  <conditionalFormatting sqref="M66:M68">
    <cfRule type="containsText" dxfId="187" priority="500" operator="containsText" text="Menor">
      <formula>NOT(ISERROR(SEARCH(("Menor"),(M66))))</formula>
    </cfRule>
  </conditionalFormatting>
  <conditionalFormatting sqref="M66:M68">
    <cfRule type="containsText" dxfId="186" priority="501" operator="containsText" text="Leve">
      <formula>NOT(ISERROR(SEARCH(("Leve"),(M66))))</formula>
    </cfRule>
  </conditionalFormatting>
  <conditionalFormatting sqref="AL69">
    <cfRule type="cellIs" dxfId="185" priority="513" stopIfTrue="1" operator="equal">
      <formula>"INACEPTABLE"</formula>
    </cfRule>
  </conditionalFormatting>
  <conditionalFormatting sqref="AL69">
    <cfRule type="cellIs" dxfId="184" priority="514" stopIfTrue="1" operator="equal">
      <formula>"IMPORTANTE"</formula>
    </cfRule>
  </conditionalFormatting>
  <conditionalFormatting sqref="AL69">
    <cfRule type="cellIs" dxfId="183" priority="515" stopIfTrue="1" operator="equal">
      <formula>"MODERADA"</formula>
    </cfRule>
  </conditionalFormatting>
  <conditionalFormatting sqref="M69:M71">
    <cfRule type="containsText" dxfId="182" priority="521" operator="containsText" text="Catastrófico">
      <formula>NOT(ISERROR(SEARCH(("Catastrófico"),(M69))))</formula>
    </cfRule>
  </conditionalFormatting>
  <conditionalFormatting sqref="M69:M71">
    <cfRule type="containsText" dxfId="181" priority="522" operator="containsText" text="Mayor">
      <formula>NOT(ISERROR(SEARCH(("Mayor"),(M69))))</formula>
    </cfRule>
  </conditionalFormatting>
  <conditionalFormatting sqref="M69:M71">
    <cfRule type="containsText" dxfId="180" priority="523" operator="containsText" text="Moderado">
      <formula>NOT(ISERROR(SEARCH(("Moderado"),(M69))))</formula>
    </cfRule>
  </conditionalFormatting>
  <conditionalFormatting sqref="M69:M71">
    <cfRule type="containsText" dxfId="179" priority="524" operator="containsText" text="Menor">
      <formula>NOT(ISERROR(SEARCH(("Menor"),(M69))))</formula>
    </cfRule>
  </conditionalFormatting>
  <conditionalFormatting sqref="M69:M71">
    <cfRule type="containsText" dxfId="178" priority="525" operator="containsText" text="Leve">
      <formula>NOT(ISERROR(SEARCH(("Leve"),(M69))))</formula>
    </cfRule>
  </conditionalFormatting>
  <conditionalFormatting sqref="AI69:AI71">
    <cfRule type="containsText" dxfId="177" priority="532" operator="containsText" text="Catastrófico">
      <formula>NOT(ISERROR(SEARCH(("Catastrófico"),(AI69))))</formula>
    </cfRule>
  </conditionalFormatting>
  <conditionalFormatting sqref="AI69:AI71">
    <cfRule type="containsText" dxfId="176" priority="533" operator="containsText" text="Mayor">
      <formula>NOT(ISERROR(SEARCH(("Mayor"),(AI69))))</formula>
    </cfRule>
  </conditionalFormatting>
  <conditionalFormatting sqref="AI69:AI71">
    <cfRule type="containsText" dxfId="175" priority="534" operator="containsText" text="Moderado">
      <formula>NOT(ISERROR(SEARCH(("Moderado"),(AI69))))</formula>
    </cfRule>
  </conditionalFormatting>
  <conditionalFormatting sqref="AI69:AI71">
    <cfRule type="containsText" dxfId="174" priority="535" operator="containsText" text="Menor">
      <formula>NOT(ISERROR(SEARCH(("Menor"),(AI69))))</formula>
    </cfRule>
  </conditionalFormatting>
  <conditionalFormatting sqref="AI69:AI71">
    <cfRule type="containsText" dxfId="173" priority="536" operator="containsText" text="Leve">
      <formula>NOT(ISERROR(SEARCH(("Leve"),(AI69))))</formula>
    </cfRule>
  </conditionalFormatting>
  <conditionalFormatting sqref="AL72">
    <cfRule type="cellIs" dxfId="172" priority="537" stopIfTrue="1" operator="equal">
      <formula>"INACEPTABLE"</formula>
    </cfRule>
  </conditionalFormatting>
  <conditionalFormatting sqref="AL72">
    <cfRule type="cellIs" dxfId="171" priority="538" stopIfTrue="1" operator="equal">
      <formula>"IMPORTANTE"</formula>
    </cfRule>
  </conditionalFormatting>
  <conditionalFormatting sqref="AL72">
    <cfRule type="cellIs" dxfId="170" priority="539" stopIfTrue="1" operator="equal">
      <formula>"MODERADA"</formula>
    </cfRule>
  </conditionalFormatting>
  <conditionalFormatting sqref="M72">
    <cfRule type="containsText" dxfId="169" priority="545" operator="containsText" text="Catastrófico">
      <formula>NOT(ISERROR(SEARCH(("Catastrófico"),(M72))))</formula>
    </cfRule>
  </conditionalFormatting>
  <conditionalFormatting sqref="M72">
    <cfRule type="containsText" dxfId="168" priority="546" operator="containsText" text="Mayor">
      <formula>NOT(ISERROR(SEARCH(("Mayor"),(M72))))</formula>
    </cfRule>
  </conditionalFormatting>
  <conditionalFormatting sqref="M72">
    <cfRule type="containsText" dxfId="167" priority="547" operator="containsText" text="Moderado">
      <formula>NOT(ISERROR(SEARCH(("Moderado"),(M72))))</formula>
    </cfRule>
  </conditionalFormatting>
  <conditionalFormatting sqref="M72">
    <cfRule type="containsText" dxfId="166" priority="548" operator="containsText" text="Menor">
      <formula>NOT(ISERROR(SEARCH(("Menor"),(M72))))</formula>
    </cfRule>
  </conditionalFormatting>
  <conditionalFormatting sqref="M72">
    <cfRule type="containsText" dxfId="165" priority="549" operator="containsText" text="Leve">
      <formula>NOT(ISERROR(SEARCH(("Leve"),(M72))))</formula>
    </cfRule>
  </conditionalFormatting>
  <conditionalFormatting sqref="AI72">
    <cfRule type="containsText" dxfId="164" priority="556" operator="containsText" text="Catastrófico">
      <formula>NOT(ISERROR(SEARCH(("Catastrófico"),(AI72))))</formula>
    </cfRule>
  </conditionalFormatting>
  <conditionalFormatting sqref="AI72">
    <cfRule type="containsText" dxfId="163" priority="557" operator="containsText" text="Mayor">
      <formula>NOT(ISERROR(SEARCH(("Mayor"),(AI72))))</formula>
    </cfRule>
  </conditionalFormatting>
  <conditionalFormatting sqref="AI72">
    <cfRule type="containsText" dxfId="162" priority="558" operator="containsText" text="Moderado">
      <formula>NOT(ISERROR(SEARCH(("Moderado"),(AI72))))</formula>
    </cfRule>
  </conditionalFormatting>
  <conditionalFormatting sqref="AI72">
    <cfRule type="containsText" dxfId="161" priority="559" operator="containsText" text="Menor">
      <formula>NOT(ISERROR(SEARCH(("Menor"),(AI72))))</formula>
    </cfRule>
  </conditionalFormatting>
  <conditionalFormatting sqref="AI72">
    <cfRule type="containsText" dxfId="160" priority="560" operator="containsText" text="Leve">
      <formula>NOT(ISERROR(SEARCH(("Leve"),(AI72))))</formula>
    </cfRule>
  </conditionalFormatting>
  <conditionalFormatting sqref="AC57:AC59">
    <cfRule type="containsText" dxfId="159" priority="400" operator="containsText" text="Muy Alta">
      <formula>NOT(ISERROR(SEARCH("Muy Alta",AC57)))</formula>
    </cfRule>
    <cfRule type="containsText" dxfId="158" priority="401" operator="containsText" text="Alta">
      <formula>NOT(ISERROR(SEARCH("Alta",AC57)))</formula>
    </cfRule>
    <cfRule type="containsText" dxfId="157" priority="402" operator="containsText" text="Media">
      <formula>NOT(ISERROR(SEARCH("Media",AC57)))</formula>
    </cfRule>
    <cfRule type="containsText" dxfId="156" priority="403" operator="containsText" text="Baja">
      <formula>NOT(ISERROR(SEARCH("Baja",AC57)))</formula>
    </cfRule>
    <cfRule type="containsText" dxfId="155" priority="404" operator="containsText" text="Muy Baja">
      <formula>NOT(ISERROR(SEARCH("Muy Baja",AC57)))</formula>
    </cfRule>
    <cfRule type="colorScale" priority="405">
      <colorScale>
        <cfvo type="min"/>
        <cfvo type="percentile" val="50"/>
        <cfvo type="max"/>
        <color rgb="FFF8696B"/>
        <color rgb="FFFFEB84"/>
        <color rgb="FF63BE7B"/>
      </colorScale>
    </cfRule>
  </conditionalFormatting>
  <conditionalFormatting sqref="AC63:AC65">
    <cfRule type="containsText" dxfId="154" priority="394" operator="containsText" text="Muy Alta">
      <formula>NOT(ISERROR(SEARCH("Muy Alta",AC63)))</formula>
    </cfRule>
    <cfRule type="containsText" dxfId="153" priority="395" operator="containsText" text="Alta">
      <formula>NOT(ISERROR(SEARCH("Alta",AC63)))</formula>
    </cfRule>
    <cfRule type="containsText" dxfId="152" priority="396" operator="containsText" text="Media">
      <formula>NOT(ISERROR(SEARCH("Media",AC63)))</formula>
    </cfRule>
    <cfRule type="containsText" dxfId="151" priority="397" operator="containsText" text="Baja">
      <formula>NOT(ISERROR(SEARCH("Baja",AC63)))</formula>
    </cfRule>
    <cfRule type="containsText" dxfId="150" priority="398" operator="containsText" text="Muy Baja">
      <formula>NOT(ISERROR(SEARCH("Muy Baja",AC63)))</formula>
    </cfRule>
    <cfRule type="colorScale" priority="399">
      <colorScale>
        <cfvo type="min"/>
        <cfvo type="percentile" val="50"/>
        <cfvo type="max"/>
        <color rgb="FFF8696B"/>
        <color rgb="FFFFEB84"/>
        <color rgb="FF63BE7B"/>
      </colorScale>
    </cfRule>
  </conditionalFormatting>
  <conditionalFormatting sqref="AE60:AE62">
    <cfRule type="containsText" dxfId="149" priority="389" operator="containsText" text="Catastrófico">
      <formula>NOT(ISERROR(SEARCH("Catastrófico",AE60)))</formula>
    </cfRule>
    <cfRule type="containsText" dxfId="148" priority="390" operator="containsText" text="Mayor">
      <formula>NOT(ISERROR(SEARCH("Mayor",AE60)))</formula>
    </cfRule>
    <cfRule type="containsText" dxfId="147" priority="391" operator="containsText" text="Moderado">
      <formula>NOT(ISERROR(SEARCH("Moderado",AE60)))</formula>
    </cfRule>
    <cfRule type="containsText" dxfId="146" priority="392" operator="containsText" text="Menor">
      <formula>NOT(ISERROR(SEARCH("Menor",AE60)))</formula>
    </cfRule>
    <cfRule type="containsText" dxfId="145" priority="393" operator="containsText" text="Leve">
      <formula>NOT(ISERROR(SEARCH("Leve",AE60)))</formula>
    </cfRule>
  </conditionalFormatting>
  <conditionalFormatting sqref="AC60:AC62">
    <cfRule type="containsText" dxfId="144" priority="383" operator="containsText" text="Muy Alta">
      <formula>NOT(ISERROR(SEARCH("Muy Alta",AC60)))</formula>
    </cfRule>
    <cfRule type="containsText" dxfId="143" priority="384" operator="containsText" text="Alta">
      <formula>NOT(ISERROR(SEARCH("Alta",AC60)))</formula>
    </cfRule>
    <cfRule type="containsText" dxfId="142" priority="385" operator="containsText" text="Media">
      <formula>NOT(ISERROR(SEARCH("Media",AC60)))</formula>
    </cfRule>
    <cfRule type="containsText" dxfId="141" priority="386" operator="containsText" text="Baja">
      <formula>NOT(ISERROR(SEARCH("Baja",AC60)))</formula>
    </cfRule>
    <cfRule type="containsText" dxfId="140" priority="387" operator="containsText" text="Muy Baja">
      <formula>NOT(ISERROR(SEARCH("Muy Baja",AC60)))</formula>
    </cfRule>
    <cfRule type="colorScale" priority="388">
      <colorScale>
        <cfvo type="min"/>
        <cfvo type="percentile" val="50"/>
        <cfvo type="max"/>
        <color rgb="FFF8696B"/>
        <color rgb="FFFFEB84"/>
        <color rgb="FF63BE7B"/>
      </colorScale>
    </cfRule>
  </conditionalFormatting>
  <conditionalFormatting sqref="AE63:AE65">
    <cfRule type="containsText" dxfId="139" priority="378" operator="containsText" text="Catastrófico">
      <formula>NOT(ISERROR(SEARCH("Catastrófico",AE63)))</formula>
    </cfRule>
    <cfRule type="containsText" dxfId="138" priority="379" operator="containsText" text="Mayor">
      <formula>NOT(ISERROR(SEARCH("Mayor",AE63)))</formula>
    </cfRule>
    <cfRule type="containsText" dxfId="137" priority="380" operator="containsText" text="Moderado">
      <formula>NOT(ISERROR(SEARCH("Moderado",AE63)))</formula>
    </cfRule>
    <cfRule type="containsText" dxfId="136" priority="381" operator="containsText" text="Menor">
      <formula>NOT(ISERROR(SEARCH("Menor",AE63)))</formula>
    </cfRule>
    <cfRule type="containsText" dxfId="135" priority="382" operator="containsText" text="Leve">
      <formula>NOT(ISERROR(SEARCH("Leve",AE63)))</formula>
    </cfRule>
  </conditionalFormatting>
  <conditionalFormatting sqref="AE66:AE68">
    <cfRule type="containsText" dxfId="134" priority="373" operator="containsText" text="Catastrófico">
      <formula>NOT(ISERROR(SEARCH("Catastrófico",AE66)))</formula>
    </cfRule>
    <cfRule type="containsText" dxfId="133" priority="374" operator="containsText" text="Mayor">
      <formula>NOT(ISERROR(SEARCH("Mayor",AE66)))</formula>
    </cfRule>
    <cfRule type="containsText" dxfId="132" priority="375" operator="containsText" text="Moderado">
      <formula>NOT(ISERROR(SEARCH("Moderado",AE66)))</formula>
    </cfRule>
    <cfRule type="containsText" dxfId="131" priority="376" operator="containsText" text="Menor">
      <formula>NOT(ISERROR(SEARCH("Menor",AE66)))</formula>
    </cfRule>
    <cfRule type="containsText" dxfId="130" priority="377" operator="containsText" text="Leve">
      <formula>NOT(ISERROR(SEARCH("Leve",AE66)))</formula>
    </cfRule>
  </conditionalFormatting>
  <conditionalFormatting sqref="AE69:AE71">
    <cfRule type="containsText" dxfId="129" priority="368" operator="containsText" text="Catastrófico">
      <formula>NOT(ISERROR(SEARCH("Catastrófico",AE69)))</formula>
    </cfRule>
    <cfRule type="containsText" dxfId="128" priority="369" operator="containsText" text="Mayor">
      <formula>NOT(ISERROR(SEARCH("Mayor",AE69)))</formula>
    </cfRule>
    <cfRule type="containsText" dxfId="127" priority="370" operator="containsText" text="Moderado">
      <formula>NOT(ISERROR(SEARCH("Moderado",AE69)))</formula>
    </cfRule>
    <cfRule type="containsText" dxfId="126" priority="371" operator="containsText" text="Menor">
      <formula>NOT(ISERROR(SEARCH("Menor",AE69)))</formula>
    </cfRule>
    <cfRule type="containsText" dxfId="125" priority="372" operator="containsText" text="Leve">
      <formula>NOT(ISERROR(SEARCH("Leve",AE69)))</formula>
    </cfRule>
  </conditionalFormatting>
  <conditionalFormatting sqref="AE72">
    <cfRule type="containsText" dxfId="124" priority="363" operator="containsText" text="Catastrófico">
      <formula>NOT(ISERROR(SEARCH("Catastrófico",AE72)))</formula>
    </cfRule>
    <cfRule type="containsText" dxfId="123" priority="364" operator="containsText" text="Mayor">
      <formula>NOT(ISERROR(SEARCH("Mayor",AE72)))</formula>
    </cfRule>
    <cfRule type="containsText" dxfId="122" priority="365" operator="containsText" text="Moderado">
      <formula>NOT(ISERROR(SEARCH("Moderado",AE72)))</formula>
    </cfRule>
    <cfRule type="containsText" dxfId="121" priority="366" operator="containsText" text="Menor">
      <formula>NOT(ISERROR(SEARCH("Menor",AE72)))</formula>
    </cfRule>
    <cfRule type="containsText" dxfId="120" priority="367" operator="containsText" text="Leve">
      <formula>NOT(ISERROR(SEARCH("Leve",AE72)))</formula>
    </cfRule>
  </conditionalFormatting>
  <conditionalFormatting sqref="AC66:AC68">
    <cfRule type="containsText" dxfId="119" priority="351" operator="containsText" text="Muy Alta">
      <formula>NOT(ISERROR(SEARCH("Muy Alta",AC66)))</formula>
    </cfRule>
    <cfRule type="containsText" dxfId="118" priority="352" operator="containsText" text="Alta">
      <formula>NOT(ISERROR(SEARCH("Alta",AC66)))</formula>
    </cfRule>
    <cfRule type="containsText" dxfId="117" priority="353" operator="containsText" text="Media">
      <formula>NOT(ISERROR(SEARCH("Media",AC66)))</formula>
    </cfRule>
    <cfRule type="containsText" dxfId="116" priority="354" operator="containsText" text="Baja">
      <formula>NOT(ISERROR(SEARCH("Baja",AC66)))</formula>
    </cfRule>
    <cfRule type="containsText" dxfId="115" priority="355" operator="containsText" text="Muy Baja">
      <formula>NOT(ISERROR(SEARCH("Muy Baja",AC66)))</formula>
    </cfRule>
    <cfRule type="colorScale" priority="356">
      <colorScale>
        <cfvo type="min"/>
        <cfvo type="percentile" val="50"/>
        <cfvo type="max"/>
        <color rgb="FFF8696B"/>
        <color rgb="FFFFEB84"/>
        <color rgb="FF63BE7B"/>
      </colorScale>
    </cfRule>
  </conditionalFormatting>
  <conditionalFormatting sqref="AC69:AC71">
    <cfRule type="containsText" dxfId="114" priority="345" operator="containsText" text="Muy Alta">
      <formula>NOT(ISERROR(SEARCH("Muy Alta",AC69)))</formula>
    </cfRule>
    <cfRule type="containsText" dxfId="113" priority="346" operator="containsText" text="Alta">
      <formula>NOT(ISERROR(SEARCH("Alta",AC69)))</formula>
    </cfRule>
    <cfRule type="containsText" dxfId="112" priority="347" operator="containsText" text="Media">
      <formula>NOT(ISERROR(SEARCH("Media",AC69)))</formula>
    </cfRule>
    <cfRule type="containsText" dxfId="111" priority="348" operator="containsText" text="Baja">
      <formula>NOT(ISERROR(SEARCH("Baja",AC69)))</formula>
    </cfRule>
    <cfRule type="containsText" dxfId="110" priority="349" operator="containsText" text="Muy Baja">
      <formula>NOT(ISERROR(SEARCH("Muy Baja",AC69)))</formula>
    </cfRule>
    <cfRule type="colorScale" priority="350">
      <colorScale>
        <cfvo type="min"/>
        <cfvo type="percentile" val="50"/>
        <cfvo type="max"/>
        <color rgb="FFF8696B"/>
        <color rgb="FFFFEB84"/>
        <color rgb="FF63BE7B"/>
      </colorScale>
    </cfRule>
  </conditionalFormatting>
  <conditionalFormatting sqref="AC72:AC101">
    <cfRule type="containsText" dxfId="109" priority="339" operator="containsText" text="Muy Alta">
      <formula>NOT(ISERROR(SEARCH("Muy Alta",AC72)))</formula>
    </cfRule>
    <cfRule type="containsText" dxfId="108" priority="340" operator="containsText" text="Alta">
      <formula>NOT(ISERROR(SEARCH("Alta",AC72)))</formula>
    </cfRule>
    <cfRule type="containsText" dxfId="107" priority="341" operator="containsText" text="Media">
      <formula>NOT(ISERROR(SEARCH("Media",AC72)))</formula>
    </cfRule>
    <cfRule type="containsText" dxfId="106" priority="342" operator="containsText" text="Baja">
      <formula>NOT(ISERROR(SEARCH("Baja",AC72)))</formula>
    </cfRule>
    <cfRule type="containsText" dxfId="105" priority="343" operator="containsText" text="Muy Baja">
      <formula>NOT(ISERROR(SEARCH("Muy Baja",AC72)))</formula>
    </cfRule>
    <cfRule type="colorScale" priority="344">
      <colorScale>
        <cfvo type="min"/>
        <cfvo type="percentile" val="50"/>
        <cfvo type="max"/>
        <color rgb="FFF8696B"/>
        <color rgb="FFFFEB84"/>
        <color rgb="FF63BE7B"/>
      </colorScale>
    </cfRule>
  </conditionalFormatting>
  <conditionalFormatting sqref="M75:M77">
    <cfRule type="containsText" dxfId="104" priority="315" operator="containsText" text="Catastrófico">
      <formula>NOT(ISERROR(SEARCH("Catastrófico",M75)))</formula>
    </cfRule>
    <cfRule type="containsText" dxfId="103" priority="316" operator="containsText" text="Mayor">
      <formula>NOT(ISERROR(SEARCH("Mayor",M75)))</formula>
    </cfRule>
    <cfRule type="containsText" dxfId="102" priority="317" operator="containsText" text="Moderado">
      <formula>NOT(ISERROR(SEARCH("Moderado",M75)))</formula>
    </cfRule>
    <cfRule type="containsText" dxfId="101" priority="318" operator="containsText" text="Menor">
      <formula>NOT(ISERROR(SEARCH("Menor",M75)))</formula>
    </cfRule>
    <cfRule type="containsText" dxfId="100" priority="319" operator="containsText" text="Leve">
      <formula>NOT(ISERROR(SEARCH("Leve",M75)))</formula>
    </cfRule>
  </conditionalFormatting>
  <conditionalFormatting sqref="M78:M80">
    <cfRule type="containsText" dxfId="99" priority="285" operator="containsText" text="Catastrófico">
      <formula>NOT(ISERROR(SEARCH("Catastrófico",M78)))</formula>
    </cfRule>
    <cfRule type="containsText" dxfId="98" priority="286" operator="containsText" text="Mayor">
      <formula>NOT(ISERROR(SEARCH("Mayor",M78)))</formula>
    </cfRule>
    <cfRule type="containsText" dxfId="97" priority="287" operator="containsText" text="Moderado">
      <formula>NOT(ISERROR(SEARCH("Moderado",M78)))</formula>
    </cfRule>
    <cfRule type="containsText" dxfId="96" priority="288" operator="containsText" text="Menor">
      <formula>NOT(ISERROR(SEARCH("Menor",M78)))</formula>
    </cfRule>
    <cfRule type="containsText" dxfId="95" priority="289" operator="containsText" text="Leve">
      <formula>NOT(ISERROR(SEARCH("Leve",M78)))</formula>
    </cfRule>
  </conditionalFormatting>
  <conditionalFormatting sqref="M81:M83">
    <cfRule type="containsText" dxfId="94" priority="245" operator="containsText" text="Catastrófico">
      <formula>NOT(ISERROR(SEARCH("Catastrófico",M81)))</formula>
    </cfRule>
    <cfRule type="containsText" dxfId="93" priority="246" operator="containsText" text="Mayor">
      <formula>NOT(ISERROR(SEARCH("Mayor",M81)))</formula>
    </cfRule>
    <cfRule type="containsText" dxfId="92" priority="247" operator="containsText" text="Moderado">
      <formula>NOT(ISERROR(SEARCH("Moderado",M81)))</formula>
    </cfRule>
    <cfRule type="containsText" dxfId="91" priority="248" operator="containsText" text="Menor">
      <formula>NOT(ISERROR(SEARCH("Menor",M81)))</formula>
    </cfRule>
    <cfRule type="containsText" dxfId="90" priority="249" operator="containsText" text="Leve">
      <formula>NOT(ISERROR(SEARCH("Leve",M81)))</formula>
    </cfRule>
  </conditionalFormatting>
  <conditionalFormatting sqref="M84:M86">
    <cfRule type="containsText" dxfId="89" priority="210" operator="containsText" text="Catastrófico">
      <formula>NOT(ISERROR(SEARCH("Catastrófico",M84)))</formula>
    </cfRule>
    <cfRule type="containsText" dxfId="88" priority="211" operator="containsText" text="Mayor">
      <formula>NOT(ISERROR(SEARCH("Mayor",M84)))</formula>
    </cfRule>
    <cfRule type="containsText" dxfId="87" priority="212" operator="containsText" text="Moderado">
      <formula>NOT(ISERROR(SEARCH("Moderado",M84)))</formula>
    </cfRule>
    <cfRule type="containsText" dxfId="86" priority="213" operator="containsText" text="Menor">
      <formula>NOT(ISERROR(SEARCH("Menor",M84)))</formula>
    </cfRule>
    <cfRule type="containsText" dxfId="85" priority="214" operator="containsText" text="Leve">
      <formula>NOT(ISERROR(SEARCH("Leve",M84)))</formula>
    </cfRule>
  </conditionalFormatting>
  <conditionalFormatting sqref="M87:M89">
    <cfRule type="containsText" dxfId="84" priority="175" operator="containsText" text="Catastrófico">
      <formula>NOT(ISERROR(SEARCH("Catastrófico",M87)))</formula>
    </cfRule>
    <cfRule type="containsText" dxfId="83" priority="176" operator="containsText" text="Mayor">
      <formula>NOT(ISERROR(SEARCH("Mayor",M87)))</formula>
    </cfRule>
    <cfRule type="containsText" dxfId="82" priority="177" operator="containsText" text="Moderado">
      <formula>NOT(ISERROR(SEARCH("Moderado",M87)))</formula>
    </cfRule>
    <cfRule type="containsText" dxfId="81" priority="178" operator="containsText" text="Menor">
      <formula>NOT(ISERROR(SEARCH("Menor",M87)))</formula>
    </cfRule>
    <cfRule type="containsText" dxfId="80" priority="179" operator="containsText" text="Leve">
      <formula>NOT(ISERROR(SEARCH("Leve",M87)))</formula>
    </cfRule>
  </conditionalFormatting>
  <conditionalFormatting sqref="M90:M92">
    <cfRule type="containsText" dxfId="79" priority="156" operator="containsText" text="Catastrófico">
      <formula>NOT(ISERROR(SEARCH("Catastrófico",M90)))</formula>
    </cfRule>
    <cfRule type="containsText" dxfId="78" priority="157" operator="containsText" text="Mayor">
      <formula>NOT(ISERROR(SEARCH("Mayor",M90)))</formula>
    </cfRule>
    <cfRule type="containsText" dxfId="77" priority="158" operator="containsText" text="Moderado">
      <formula>NOT(ISERROR(SEARCH("Moderado",M90)))</formula>
    </cfRule>
    <cfRule type="containsText" dxfId="76" priority="159" operator="containsText" text="Menor">
      <formula>NOT(ISERROR(SEARCH("Menor",M90)))</formula>
    </cfRule>
    <cfRule type="containsText" dxfId="75" priority="160" operator="containsText" text="Leve">
      <formula>NOT(ISERROR(SEARCH("Leve",M90)))</formula>
    </cfRule>
  </conditionalFormatting>
  <conditionalFormatting sqref="M93:M95">
    <cfRule type="containsText" dxfId="74" priority="121" operator="containsText" text="Catastrófico">
      <formula>NOT(ISERROR(SEARCH("Catastrófico",M93)))</formula>
    </cfRule>
    <cfRule type="containsText" dxfId="73" priority="122" operator="containsText" text="Mayor">
      <formula>NOT(ISERROR(SEARCH("Mayor",M93)))</formula>
    </cfRule>
    <cfRule type="containsText" dxfId="72" priority="123" operator="containsText" text="Moderado">
      <formula>NOT(ISERROR(SEARCH("Moderado",M93)))</formula>
    </cfRule>
    <cfRule type="containsText" dxfId="71" priority="124" operator="containsText" text="Menor">
      <formula>NOT(ISERROR(SEARCH("Menor",M93)))</formula>
    </cfRule>
    <cfRule type="containsText" dxfId="70" priority="125" operator="containsText" text="Leve">
      <formula>NOT(ISERROR(SEARCH("Leve",M93)))</formula>
    </cfRule>
  </conditionalFormatting>
  <conditionalFormatting sqref="AK96">
    <cfRule type="containsText" dxfId="69" priority="60" operator="containsText" text="Extremo">
      <formula>NOT(ISERROR(SEARCH(("Extremo"),(AK96))))</formula>
    </cfRule>
  </conditionalFormatting>
  <conditionalFormatting sqref="AK96">
    <cfRule type="containsText" dxfId="68" priority="61" operator="containsText" text="Alto">
      <formula>NOT(ISERROR(SEARCH(("Alto"),(AK96))))</formula>
    </cfRule>
  </conditionalFormatting>
  <conditionalFormatting sqref="AK96">
    <cfRule type="containsText" dxfId="67" priority="62" operator="containsText" text="Moderado">
      <formula>NOT(ISERROR(SEARCH(("Moderado"),(AK96))))</formula>
    </cfRule>
  </conditionalFormatting>
  <conditionalFormatting sqref="AK96">
    <cfRule type="containsText" dxfId="66" priority="63" operator="containsText" text="Baja">
      <formula>NOT(ISERROR(SEARCH(("Baja"),(AK96))))</formula>
    </cfRule>
  </conditionalFormatting>
  <conditionalFormatting sqref="AK96">
    <cfRule type="cellIs" dxfId="65" priority="64" operator="equal">
      <formula>"Bajo"</formula>
    </cfRule>
  </conditionalFormatting>
  <conditionalFormatting sqref="M96:M98">
    <cfRule type="containsText" dxfId="64" priority="70" operator="containsText" text="Catastrófico">
      <formula>NOT(ISERROR(SEARCH(("Catastrófico"),(M96))))</formula>
    </cfRule>
  </conditionalFormatting>
  <conditionalFormatting sqref="M96:M98">
    <cfRule type="containsText" dxfId="63" priority="71" operator="containsText" text="Mayor">
      <formula>NOT(ISERROR(SEARCH(("Mayor"),(M96))))</formula>
    </cfRule>
  </conditionalFormatting>
  <conditionalFormatting sqref="M96:M98">
    <cfRule type="containsText" dxfId="62" priority="72" operator="containsText" text="Moderado">
      <formula>NOT(ISERROR(SEARCH(("Moderado"),(M96))))</formula>
    </cfRule>
  </conditionalFormatting>
  <conditionalFormatting sqref="M96:M98">
    <cfRule type="containsText" dxfId="61" priority="73" operator="containsText" text="Menor">
      <formula>NOT(ISERROR(SEARCH(("Menor"),(M96))))</formula>
    </cfRule>
  </conditionalFormatting>
  <conditionalFormatting sqref="M96:M98">
    <cfRule type="containsText" dxfId="60" priority="74" operator="containsText" text="Leve">
      <formula>NOT(ISERROR(SEARCH(("Leve"),(M96))))</formula>
    </cfRule>
  </conditionalFormatting>
  <conditionalFormatting sqref="M99:M101">
    <cfRule type="containsText" dxfId="59" priority="94" operator="containsText" text="Catastrófico">
      <formula>NOT(ISERROR(SEARCH(("Catastrófico"),(M99))))</formula>
    </cfRule>
  </conditionalFormatting>
  <conditionalFormatting sqref="M99:M101">
    <cfRule type="containsText" dxfId="58" priority="95" operator="containsText" text="Mayor">
      <formula>NOT(ISERROR(SEARCH(("Mayor"),(M99))))</formula>
    </cfRule>
  </conditionalFormatting>
  <conditionalFormatting sqref="M99:M101">
    <cfRule type="containsText" dxfId="57" priority="96" operator="containsText" text="Moderado">
      <formula>NOT(ISERROR(SEARCH(("Moderado"),(M99))))</formula>
    </cfRule>
  </conditionalFormatting>
  <conditionalFormatting sqref="M99:M101">
    <cfRule type="containsText" dxfId="56" priority="97" operator="containsText" text="Menor">
      <formula>NOT(ISERROR(SEARCH(("Menor"),(M99))))</formula>
    </cfRule>
  </conditionalFormatting>
  <conditionalFormatting sqref="M99:M101">
    <cfRule type="containsText" dxfId="55" priority="98" operator="containsText" text="Leve">
      <formula>NOT(ISERROR(SEARCH(("Leve"),(M99))))</formula>
    </cfRule>
  </conditionalFormatting>
  <conditionalFormatting sqref="AE75">
    <cfRule type="containsText" dxfId="54" priority="46" operator="containsText" text="Catastrófico">
      <formula>NOT(ISERROR(SEARCH("Catastrófico",AE75)))</formula>
    </cfRule>
    <cfRule type="containsText" dxfId="53" priority="47" operator="containsText" text="Mayor">
      <formula>NOT(ISERROR(SEARCH("Mayor",AE75)))</formula>
    </cfRule>
    <cfRule type="containsText" dxfId="52" priority="48" operator="containsText" text="Moderado">
      <formula>NOT(ISERROR(SEARCH("Moderado",AE75)))</formula>
    </cfRule>
    <cfRule type="containsText" dxfId="51" priority="49" operator="containsText" text="Menor">
      <formula>NOT(ISERROR(SEARCH("Menor",AE75)))</formula>
    </cfRule>
    <cfRule type="containsText" dxfId="50" priority="50" operator="containsText" text="Leve">
      <formula>NOT(ISERROR(SEARCH("Leve",AE75)))</formula>
    </cfRule>
  </conditionalFormatting>
  <conditionalFormatting sqref="AE78">
    <cfRule type="containsText" dxfId="49" priority="41" operator="containsText" text="Catastrófico">
      <formula>NOT(ISERROR(SEARCH("Catastrófico",AE78)))</formula>
    </cfRule>
    <cfRule type="containsText" dxfId="48" priority="42" operator="containsText" text="Mayor">
      <formula>NOT(ISERROR(SEARCH("Mayor",AE78)))</formula>
    </cfRule>
    <cfRule type="containsText" dxfId="47" priority="43" operator="containsText" text="Moderado">
      <formula>NOT(ISERROR(SEARCH("Moderado",AE78)))</formula>
    </cfRule>
    <cfRule type="containsText" dxfId="46" priority="44" operator="containsText" text="Menor">
      <formula>NOT(ISERROR(SEARCH("Menor",AE78)))</formula>
    </cfRule>
    <cfRule type="containsText" dxfId="45" priority="45" operator="containsText" text="Leve">
      <formula>NOT(ISERROR(SEARCH("Leve",AE78)))</formula>
    </cfRule>
  </conditionalFormatting>
  <conditionalFormatting sqref="AE81">
    <cfRule type="containsText" dxfId="44" priority="36" operator="containsText" text="Catastrófico">
      <formula>NOT(ISERROR(SEARCH("Catastrófico",AE81)))</formula>
    </cfRule>
    <cfRule type="containsText" dxfId="43" priority="37" operator="containsText" text="Mayor">
      <formula>NOT(ISERROR(SEARCH("Mayor",AE81)))</formula>
    </cfRule>
    <cfRule type="containsText" dxfId="42" priority="38" operator="containsText" text="Moderado">
      <formula>NOT(ISERROR(SEARCH("Moderado",AE81)))</formula>
    </cfRule>
    <cfRule type="containsText" dxfId="41" priority="39" operator="containsText" text="Menor">
      <formula>NOT(ISERROR(SEARCH("Menor",AE81)))</formula>
    </cfRule>
    <cfRule type="containsText" dxfId="40" priority="40" operator="containsText" text="Leve">
      <formula>NOT(ISERROR(SEARCH("Leve",AE81)))</formula>
    </cfRule>
  </conditionalFormatting>
  <conditionalFormatting sqref="AE84">
    <cfRule type="containsText" dxfId="39" priority="31" operator="containsText" text="Catastrófico">
      <formula>NOT(ISERROR(SEARCH("Catastrófico",AE84)))</formula>
    </cfRule>
    <cfRule type="containsText" dxfId="38" priority="32" operator="containsText" text="Mayor">
      <formula>NOT(ISERROR(SEARCH("Mayor",AE84)))</formula>
    </cfRule>
    <cfRule type="containsText" dxfId="37" priority="33" operator="containsText" text="Moderado">
      <formula>NOT(ISERROR(SEARCH("Moderado",AE84)))</formula>
    </cfRule>
    <cfRule type="containsText" dxfId="36" priority="34" operator="containsText" text="Menor">
      <formula>NOT(ISERROR(SEARCH("Menor",AE84)))</formula>
    </cfRule>
    <cfRule type="containsText" dxfId="35" priority="35" operator="containsText" text="Leve">
      <formula>NOT(ISERROR(SEARCH("Leve",AE84)))</formula>
    </cfRule>
  </conditionalFormatting>
  <conditionalFormatting sqref="AE87">
    <cfRule type="containsText" dxfId="34" priority="26" operator="containsText" text="Catastrófico">
      <formula>NOT(ISERROR(SEARCH("Catastrófico",AE87)))</formula>
    </cfRule>
    <cfRule type="containsText" dxfId="33" priority="27" operator="containsText" text="Mayor">
      <formula>NOT(ISERROR(SEARCH("Mayor",AE87)))</formula>
    </cfRule>
    <cfRule type="containsText" dxfId="32" priority="28" operator="containsText" text="Moderado">
      <formula>NOT(ISERROR(SEARCH("Moderado",AE87)))</formula>
    </cfRule>
    <cfRule type="containsText" dxfId="31" priority="29" operator="containsText" text="Menor">
      <formula>NOT(ISERROR(SEARCH("Menor",AE87)))</formula>
    </cfRule>
    <cfRule type="containsText" dxfId="30" priority="30" operator="containsText" text="Leve">
      <formula>NOT(ISERROR(SEARCH("Leve",AE87)))</formula>
    </cfRule>
  </conditionalFormatting>
  <conditionalFormatting sqref="AE90">
    <cfRule type="containsText" dxfId="29" priority="21" operator="containsText" text="Catastrófico">
      <formula>NOT(ISERROR(SEARCH("Catastrófico",AE90)))</formula>
    </cfRule>
    <cfRule type="containsText" dxfId="28" priority="22" operator="containsText" text="Mayor">
      <formula>NOT(ISERROR(SEARCH("Mayor",AE90)))</formula>
    </cfRule>
    <cfRule type="containsText" dxfId="27" priority="23" operator="containsText" text="Moderado">
      <formula>NOT(ISERROR(SEARCH("Moderado",AE90)))</formula>
    </cfRule>
    <cfRule type="containsText" dxfId="26" priority="24" operator="containsText" text="Menor">
      <formula>NOT(ISERROR(SEARCH("Menor",AE90)))</formula>
    </cfRule>
    <cfRule type="containsText" dxfId="25" priority="25" operator="containsText" text="Leve">
      <formula>NOT(ISERROR(SEARCH("Leve",AE90)))</formula>
    </cfRule>
  </conditionalFormatting>
  <conditionalFormatting sqref="AE93">
    <cfRule type="containsText" dxfId="24" priority="16" operator="containsText" text="Catastrófico">
      <formula>NOT(ISERROR(SEARCH("Catastrófico",AE93)))</formula>
    </cfRule>
    <cfRule type="containsText" dxfId="23" priority="17" operator="containsText" text="Mayor">
      <formula>NOT(ISERROR(SEARCH("Mayor",AE93)))</formula>
    </cfRule>
    <cfRule type="containsText" dxfId="22" priority="18" operator="containsText" text="Moderado">
      <formula>NOT(ISERROR(SEARCH("Moderado",AE93)))</formula>
    </cfRule>
    <cfRule type="containsText" dxfId="21" priority="19" operator="containsText" text="Menor">
      <formula>NOT(ISERROR(SEARCH("Menor",AE93)))</formula>
    </cfRule>
    <cfRule type="containsText" dxfId="20" priority="20" operator="containsText" text="Leve">
      <formula>NOT(ISERROR(SEARCH("Leve",AE93)))</formula>
    </cfRule>
  </conditionalFormatting>
  <conditionalFormatting sqref="AE96">
    <cfRule type="containsText" dxfId="19" priority="11" operator="containsText" text="Catastrófico">
      <formula>NOT(ISERROR(SEARCH("Catastrófico",AE96)))</formula>
    </cfRule>
    <cfRule type="containsText" dxfId="18" priority="12" operator="containsText" text="Mayor">
      <formula>NOT(ISERROR(SEARCH("Mayor",AE96)))</formula>
    </cfRule>
    <cfRule type="containsText" dxfId="17" priority="13" operator="containsText" text="Moderado">
      <formula>NOT(ISERROR(SEARCH("Moderado",AE96)))</formula>
    </cfRule>
    <cfRule type="containsText" dxfId="16" priority="14" operator="containsText" text="Menor">
      <formula>NOT(ISERROR(SEARCH("Menor",AE96)))</formula>
    </cfRule>
    <cfRule type="containsText" dxfId="15" priority="15" operator="containsText" text="Leve">
      <formula>NOT(ISERROR(SEARCH("Leve",AE96)))</formula>
    </cfRule>
  </conditionalFormatting>
  <conditionalFormatting sqref="AE99">
    <cfRule type="containsText" dxfId="14" priority="6" operator="containsText" text="Catastrófico">
      <formula>NOT(ISERROR(SEARCH("Catastrófico",AE99)))</formula>
    </cfRule>
    <cfRule type="containsText" dxfId="13" priority="7" operator="containsText" text="Mayor">
      <formula>NOT(ISERROR(SEARCH("Mayor",AE99)))</formula>
    </cfRule>
    <cfRule type="containsText" dxfId="12" priority="8" operator="containsText" text="Moderado">
      <formula>NOT(ISERROR(SEARCH("Moderado",AE99)))</formula>
    </cfRule>
    <cfRule type="containsText" dxfId="11" priority="9" operator="containsText" text="Menor">
      <formula>NOT(ISERROR(SEARCH("Menor",AE99)))</formula>
    </cfRule>
    <cfRule type="containsText" dxfId="10" priority="10" operator="containsText" text="Leve">
      <formula>NOT(ISERROR(SEARCH("Leve",AE99)))</formula>
    </cfRule>
  </conditionalFormatting>
  <conditionalFormatting sqref="AK99">
    <cfRule type="containsText" dxfId="9" priority="1" operator="containsText" text="Extremo">
      <formula>NOT(ISERROR(SEARCH(("Extremo"),(AK99))))</formula>
    </cfRule>
  </conditionalFormatting>
  <conditionalFormatting sqref="AK99">
    <cfRule type="containsText" dxfId="8" priority="2" operator="containsText" text="Alto">
      <formula>NOT(ISERROR(SEARCH(("Alto"),(AK99))))</formula>
    </cfRule>
  </conditionalFormatting>
  <conditionalFormatting sqref="AK99">
    <cfRule type="containsText" dxfId="7" priority="3" operator="containsText" text="Moderado">
      <formula>NOT(ISERROR(SEARCH(("Moderado"),(AK99))))</formula>
    </cfRule>
  </conditionalFormatting>
  <conditionalFormatting sqref="AK99">
    <cfRule type="containsText" dxfId="6" priority="4" operator="containsText" text="Baja">
      <formula>NOT(ISERROR(SEARCH(("Baja"),(AK99))))</formula>
    </cfRule>
  </conditionalFormatting>
  <conditionalFormatting sqref="AK99">
    <cfRule type="cellIs" dxfId="5" priority="5" operator="equal">
      <formula>"Bajo"</formula>
    </cfRule>
  </conditionalFormatting>
  <printOptions horizontalCentered="1" verticalCentered="1"/>
  <pageMargins left="0.19685039370078741" right="0.19685039370078741" top="0.31496062992125984" bottom="0.51181102362204722" header="0.11811023622047245" footer="0.27559055118110237"/>
  <pageSetup paperSize="119" scale="45" orientation="landscape" r:id="rId1"/>
  <headerFooter>
    <oddFooter>&amp;R&amp;"Arial,Normal"&amp;8Código:  1D-PGE-F001
Versión: 8 
Fecha de vigencia: 9 de junio de 2015
Página &amp;Pde  &amp;N</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'PARÁMETROS RIESGOS GESTIÓN'!$B$4:$B$10</xm:f>
          </x14:formula1>
          <xm:sqref>I6:I14</xm:sqref>
        </x14:dataValidation>
        <x14:dataValidation type="list" allowBlank="1" showInputMessage="1" showErrorMessage="1" xr:uid="{00000000-0002-0000-0200-000001000000}">
          <x14:formula1>
            <xm:f>'Probab e Impacto'!$B$4:$B$8</xm:f>
          </x14:formula1>
          <xm:sqref>M6:M17</xm:sqref>
        </x14:dataValidation>
        <x14:dataValidation type="list" allowBlank="1" showInputMessage="1" showErrorMessage="1" xr:uid="{00000000-0002-0000-0200-000002000000}">
          <x14:formula1>
            <xm:f>CONTROLES!$D$3:$D$5</xm:f>
          </x14:formula1>
          <xm:sqref>T6:T14 T19:T72</xm:sqref>
        </x14:dataValidation>
        <x14:dataValidation type="list" allowBlank="1" showInputMessage="1" showErrorMessage="1" xr:uid="{00000000-0002-0000-0200-000003000000}">
          <x14:formula1>
            <xm:f>CONTROLES!$D$6:$D$7</xm:f>
          </x14:formula1>
          <xm:sqref>Y12:Y14 V6:V80</xm:sqref>
        </x14:dataValidation>
        <x14:dataValidation type="list" allowBlank="1" showInputMessage="1" showErrorMessage="1" xr:uid="{00000000-0002-0000-0200-000004000000}">
          <x14:formula1>
            <xm:f>CONTROLES!$D$8:$D$9</xm:f>
          </x14:formula1>
          <xm:sqref>Y6:Y11 Y21 Y24:Y25</xm:sqref>
        </x14:dataValidation>
        <x14:dataValidation type="list" allowBlank="1" showInputMessage="1" showErrorMessage="1" xr:uid="{00000000-0002-0000-0200-000005000000}">
          <x14:formula1>
            <xm:f>CONTROLES!$D$10:$D$11</xm:f>
          </x14:formula1>
          <xm:sqref>Z6:Z56</xm:sqref>
        </x14:dataValidation>
        <x14:dataValidation type="list" allowBlank="1" showInputMessage="1" showErrorMessage="1" xr:uid="{00000000-0002-0000-0200-000006000000}">
          <x14:formula1>
            <xm:f>CONTROLES!$D$12:$D$13</xm:f>
          </x14:formula1>
          <xm:sqref>AA6:AA20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7"/>
  <sheetViews>
    <sheetView topLeftCell="A8" workbookViewId="0">
      <selection activeCell="D14" sqref="D14"/>
    </sheetView>
  </sheetViews>
  <sheetFormatPr baseColWidth="10" defaultRowHeight="15"/>
  <cols>
    <col min="2" max="2" width="43.28515625" customWidth="1"/>
    <col min="3" max="3" width="39.42578125" customWidth="1"/>
    <col min="4" max="4" width="13.42578125" customWidth="1"/>
    <col min="6" max="6" width="18.42578125" customWidth="1"/>
  </cols>
  <sheetData>
    <row r="1" spans="2:6" ht="15.75" thickBot="1"/>
    <row r="2" spans="2:6">
      <c r="B2" s="352"/>
      <c r="C2" s="352"/>
    </row>
    <row r="3" spans="2:6" ht="15.75" thickBot="1">
      <c r="B3" s="353"/>
      <c r="C3" s="353"/>
    </row>
    <row r="4" spans="2:6" ht="15.75" thickBot="1">
      <c r="B4" s="26" t="s">
        <v>50</v>
      </c>
      <c r="C4" s="27" t="s">
        <v>51</v>
      </c>
    </row>
    <row r="5" spans="2:6" ht="15.75" thickBot="1">
      <c r="B5" s="26" t="s">
        <v>52</v>
      </c>
      <c r="C5" s="27" t="s">
        <v>53</v>
      </c>
    </row>
    <row r="6" spans="2:6" ht="15.75" thickBot="1">
      <c r="B6" s="26" t="s">
        <v>54</v>
      </c>
      <c r="C6" s="27" t="s">
        <v>55</v>
      </c>
    </row>
    <row r="7" spans="2:6" ht="15.75" thickBot="1">
      <c r="B7" s="26" t="s">
        <v>56</v>
      </c>
      <c r="C7" s="27" t="s">
        <v>57</v>
      </c>
    </row>
    <row r="8" spans="2:6" ht="15.75" thickBot="1">
      <c r="B8" s="26" t="s">
        <v>58</v>
      </c>
      <c r="C8" s="27" t="s">
        <v>59</v>
      </c>
    </row>
    <row r="9" spans="2:6" ht="15.75" thickBot="1">
      <c r="B9" s="26" t="s">
        <v>60</v>
      </c>
      <c r="C9" s="27" t="s">
        <v>59</v>
      </c>
    </row>
    <row r="10" spans="2:6" ht="15.75" thickBot="1">
      <c r="B10" s="26" t="s">
        <v>61</v>
      </c>
      <c r="C10" s="27" t="s">
        <v>62</v>
      </c>
    </row>
    <row r="11" spans="2:6" ht="15.75" thickBot="1"/>
    <row r="12" spans="2:6" ht="30.75" thickBot="1">
      <c r="B12" s="28" t="s">
        <v>74</v>
      </c>
      <c r="C12" s="29" t="s">
        <v>63</v>
      </c>
      <c r="D12" s="30" t="s">
        <v>32</v>
      </c>
      <c r="E12" s="30"/>
      <c r="F12" s="39" t="s">
        <v>74</v>
      </c>
    </row>
    <row r="13" spans="2:6" ht="30.75" thickBot="1">
      <c r="B13" s="31" t="s">
        <v>64</v>
      </c>
      <c r="C13" s="32" t="s">
        <v>65</v>
      </c>
      <c r="D13" s="54">
        <v>20</v>
      </c>
      <c r="E13" s="33" t="s">
        <v>79</v>
      </c>
      <c r="F13" s="31" t="s">
        <v>64</v>
      </c>
    </row>
    <row r="14" spans="2:6" ht="30.75" thickBot="1">
      <c r="B14" s="34" t="s">
        <v>66</v>
      </c>
      <c r="C14" s="32" t="s">
        <v>67</v>
      </c>
      <c r="D14" s="54">
        <v>40</v>
      </c>
      <c r="E14" s="33" t="s">
        <v>76</v>
      </c>
      <c r="F14" s="34" t="s">
        <v>66</v>
      </c>
    </row>
    <row r="15" spans="2:6" ht="30.75" thickBot="1">
      <c r="B15" s="35" t="s">
        <v>68</v>
      </c>
      <c r="C15" s="32" t="s">
        <v>69</v>
      </c>
      <c r="D15" s="54">
        <v>60</v>
      </c>
      <c r="E15" s="33" t="s">
        <v>77</v>
      </c>
      <c r="F15" s="35" t="s">
        <v>68</v>
      </c>
    </row>
    <row r="16" spans="2:6" ht="45.75" thickBot="1">
      <c r="B16" s="36" t="s">
        <v>70</v>
      </c>
      <c r="C16" s="37" t="s">
        <v>71</v>
      </c>
      <c r="D16" s="54">
        <v>80</v>
      </c>
      <c r="E16" s="33" t="s">
        <v>80</v>
      </c>
      <c r="F16" s="36" t="s">
        <v>70</v>
      </c>
    </row>
    <row r="17" spans="2:6" ht="30.75" thickBot="1">
      <c r="B17" s="38" t="s">
        <v>72</v>
      </c>
      <c r="C17" s="32" t="s">
        <v>73</v>
      </c>
      <c r="D17" s="54">
        <v>100</v>
      </c>
      <c r="E17" s="33" t="s">
        <v>78</v>
      </c>
      <c r="F17" s="38" t="s">
        <v>72</v>
      </c>
    </row>
  </sheetData>
  <mergeCells count="2">
    <mergeCell ref="B2:B3"/>
    <mergeCell ref="C2:C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zoomScale="80" zoomScaleNormal="80" workbookViewId="0">
      <selection activeCell="D4" sqref="D4"/>
    </sheetView>
  </sheetViews>
  <sheetFormatPr baseColWidth="10" defaultRowHeight="15"/>
  <cols>
    <col min="1" max="1" width="4.28515625" customWidth="1"/>
    <col min="2" max="2" width="21.140625" customWidth="1"/>
    <col min="3" max="3" width="30.28515625" customWidth="1"/>
    <col min="4" max="4" width="55.7109375" customWidth="1"/>
    <col min="5" max="5" width="15.85546875" customWidth="1"/>
    <col min="6" max="76" width="5.7109375" customWidth="1"/>
  </cols>
  <sheetData>
    <row r="1" spans="1:5">
      <c r="A1" s="13"/>
      <c r="B1" s="13"/>
      <c r="C1" s="13"/>
      <c r="D1" s="13"/>
      <c r="E1" s="13"/>
    </row>
    <row r="2" spans="1:5" ht="15.75" thickBot="1"/>
    <row r="3" spans="1:5" ht="15.75" thickBot="1">
      <c r="B3" s="28"/>
      <c r="C3" s="29" t="s">
        <v>81</v>
      </c>
      <c r="D3" s="29" t="s">
        <v>82</v>
      </c>
    </row>
    <row r="4" spans="1:5" ht="36.75" customHeight="1" thickBot="1">
      <c r="B4" s="31" t="s">
        <v>98</v>
      </c>
      <c r="C4" s="32" t="s">
        <v>84</v>
      </c>
      <c r="D4" s="32" t="s">
        <v>85</v>
      </c>
      <c r="E4" s="31" t="s">
        <v>83</v>
      </c>
    </row>
    <row r="5" spans="1:5" ht="45.75" thickBot="1">
      <c r="B5" s="40" t="s">
        <v>99</v>
      </c>
      <c r="C5" s="32" t="s">
        <v>87</v>
      </c>
      <c r="D5" s="37" t="s">
        <v>88</v>
      </c>
      <c r="E5" s="40" t="s">
        <v>86</v>
      </c>
    </row>
    <row r="6" spans="1:5" ht="30.75" thickBot="1">
      <c r="B6" s="35" t="s">
        <v>13</v>
      </c>
      <c r="C6" s="32" t="s">
        <v>90</v>
      </c>
      <c r="D6" s="37" t="s">
        <v>91</v>
      </c>
      <c r="E6" s="35" t="s">
        <v>89</v>
      </c>
    </row>
    <row r="7" spans="1:5" ht="45">
      <c r="B7" s="42" t="s">
        <v>100</v>
      </c>
      <c r="C7" s="43" t="s">
        <v>93</v>
      </c>
      <c r="D7" s="41" t="s">
        <v>97</v>
      </c>
      <c r="E7" s="42" t="s">
        <v>92</v>
      </c>
    </row>
    <row r="8" spans="1:5" ht="30.75" thickBot="1">
      <c r="B8" s="38" t="s">
        <v>101</v>
      </c>
      <c r="C8" s="32" t="s">
        <v>95</v>
      </c>
      <c r="D8" s="32" t="s">
        <v>96</v>
      </c>
      <c r="E8" s="38" t="s">
        <v>94</v>
      </c>
    </row>
    <row r="12" spans="1:5" ht="15.75" thickBot="1"/>
    <row r="13" spans="1:5" ht="15.75" thickBot="1">
      <c r="B13" s="30" t="s">
        <v>32</v>
      </c>
      <c r="C13" s="30" t="s">
        <v>22</v>
      </c>
    </row>
    <row r="14" spans="1:5" ht="15.75" thickBot="1">
      <c r="B14" s="54">
        <v>20</v>
      </c>
      <c r="C14" s="54">
        <v>20</v>
      </c>
    </row>
    <row r="15" spans="1:5" ht="15.75" thickBot="1">
      <c r="B15" s="54">
        <v>40</v>
      </c>
      <c r="C15" s="54">
        <v>40</v>
      </c>
    </row>
    <row r="16" spans="1:5" ht="15.75" thickBot="1">
      <c r="B16" s="54">
        <v>60</v>
      </c>
      <c r="C16" s="54">
        <v>60</v>
      </c>
    </row>
    <row r="17" spans="2:3" ht="15.75" thickBot="1">
      <c r="B17" s="54">
        <v>80</v>
      </c>
      <c r="C17" s="54">
        <v>80</v>
      </c>
    </row>
    <row r="18" spans="2:3" ht="15.75" thickBot="1">
      <c r="B18" s="54">
        <v>100</v>
      </c>
      <c r="C18" s="54">
        <v>100</v>
      </c>
    </row>
  </sheetData>
  <phoneticPr fontId="1"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R36"/>
  <sheetViews>
    <sheetView topLeftCell="A8" zoomScale="80" zoomScaleNormal="80" workbookViewId="0">
      <selection activeCell="R10" sqref="R10"/>
    </sheetView>
  </sheetViews>
  <sheetFormatPr baseColWidth="10" defaultRowHeight="15"/>
  <cols>
    <col min="1" max="1" width="4.28515625" customWidth="1"/>
    <col min="3" max="3" width="13.85546875" customWidth="1"/>
    <col min="4" max="6" width="11.5703125" bestFit="1" customWidth="1"/>
    <col min="7" max="7" width="10.42578125" customWidth="1"/>
    <col min="8" max="8" width="8.85546875" bestFit="1" customWidth="1"/>
    <col min="9" max="11" width="5.7109375" customWidth="1"/>
    <col min="12" max="12" width="10.42578125" customWidth="1"/>
    <col min="13" max="13" width="7.140625" customWidth="1"/>
    <col min="14" max="14" width="14.140625" customWidth="1"/>
    <col min="15" max="15" width="14.42578125" customWidth="1"/>
    <col min="16" max="16" width="12.5703125" customWidth="1"/>
    <col min="17" max="17" width="10.5703125" customWidth="1"/>
    <col min="18" max="18" width="12.28515625" customWidth="1"/>
    <col min="19" max="47" width="5.7109375" customWidth="1"/>
  </cols>
  <sheetData>
    <row r="2" spans="2:18" ht="15.75" customHeight="1">
      <c r="B2" s="354" t="s">
        <v>12</v>
      </c>
      <c r="C2" s="354"/>
      <c r="D2" s="354" t="s">
        <v>18</v>
      </c>
      <c r="E2" s="354"/>
      <c r="F2" s="354"/>
      <c r="G2" s="354"/>
      <c r="H2" s="354"/>
      <c r="L2" s="354" t="s">
        <v>12</v>
      </c>
      <c r="M2" s="354"/>
      <c r="N2" s="354" t="s">
        <v>18</v>
      </c>
      <c r="O2" s="354"/>
      <c r="P2" s="354"/>
      <c r="Q2" s="354"/>
      <c r="R2" s="354"/>
    </row>
    <row r="3" spans="2:18" ht="15" customHeight="1">
      <c r="B3" s="354"/>
      <c r="C3" s="354"/>
      <c r="D3" s="55">
        <v>20</v>
      </c>
      <c r="E3" s="55">
        <v>40</v>
      </c>
      <c r="F3" s="55">
        <v>60</v>
      </c>
      <c r="G3" s="55">
        <v>80</v>
      </c>
      <c r="H3" s="55">
        <v>100</v>
      </c>
      <c r="L3" s="354"/>
      <c r="M3" s="354"/>
      <c r="N3" s="55">
        <v>20</v>
      </c>
      <c r="O3" s="55">
        <v>40</v>
      </c>
      <c r="P3" s="55">
        <v>60</v>
      </c>
      <c r="Q3" s="55">
        <v>80</v>
      </c>
      <c r="R3" s="55">
        <v>100</v>
      </c>
    </row>
    <row r="4" spans="2:18" ht="15.75" customHeight="1">
      <c r="B4" s="355" t="s">
        <v>0</v>
      </c>
      <c r="C4" s="55">
        <v>100</v>
      </c>
      <c r="D4" s="56" t="s">
        <v>102</v>
      </c>
      <c r="E4" s="56" t="s">
        <v>102</v>
      </c>
      <c r="F4" s="56" t="s">
        <v>102</v>
      </c>
      <c r="G4" s="56" t="s">
        <v>102</v>
      </c>
      <c r="H4" s="58" t="s">
        <v>103</v>
      </c>
      <c r="L4" s="355" t="s">
        <v>0</v>
      </c>
      <c r="M4" s="55">
        <v>100</v>
      </c>
      <c r="N4" s="56" t="s">
        <v>102</v>
      </c>
      <c r="O4" s="56" t="s">
        <v>102</v>
      </c>
      <c r="P4" s="56" t="s">
        <v>102</v>
      </c>
      <c r="Q4" s="56" t="s">
        <v>102</v>
      </c>
      <c r="R4" s="58" t="s">
        <v>103</v>
      </c>
    </row>
    <row r="5" spans="2:18" ht="15.75">
      <c r="B5" s="355"/>
      <c r="C5" s="55">
        <v>80</v>
      </c>
      <c r="D5" s="57" t="s">
        <v>13</v>
      </c>
      <c r="E5" s="57" t="s">
        <v>13</v>
      </c>
      <c r="F5" s="56" t="s">
        <v>102</v>
      </c>
      <c r="G5" s="56" t="s">
        <v>102</v>
      </c>
      <c r="H5" s="58" t="s">
        <v>103</v>
      </c>
      <c r="L5" s="355"/>
      <c r="M5" s="55">
        <v>80</v>
      </c>
      <c r="N5" s="57" t="s">
        <v>13</v>
      </c>
      <c r="O5" s="57" t="s">
        <v>13</v>
      </c>
      <c r="P5" s="56" t="s">
        <v>102</v>
      </c>
      <c r="Q5" s="56" t="s">
        <v>102</v>
      </c>
      <c r="R5" s="58" t="s">
        <v>103</v>
      </c>
    </row>
    <row r="6" spans="2:18" ht="15.75">
      <c r="B6" s="355"/>
      <c r="C6" s="55">
        <v>60</v>
      </c>
      <c r="D6" s="57" t="s">
        <v>13</v>
      </c>
      <c r="E6" s="57" t="s">
        <v>13</v>
      </c>
      <c r="F6" s="57" t="s">
        <v>13</v>
      </c>
      <c r="G6" s="56" t="s">
        <v>102</v>
      </c>
      <c r="H6" s="58" t="s">
        <v>103</v>
      </c>
      <c r="L6" s="355"/>
      <c r="M6" s="55">
        <v>60</v>
      </c>
      <c r="N6" s="57" t="s">
        <v>13</v>
      </c>
      <c r="O6" s="57" t="s">
        <v>13</v>
      </c>
      <c r="P6" s="57" t="s">
        <v>13</v>
      </c>
      <c r="Q6" s="56" t="s">
        <v>102</v>
      </c>
      <c r="R6" s="58" t="s">
        <v>103</v>
      </c>
    </row>
    <row r="7" spans="2:18" ht="15.75">
      <c r="B7" s="355"/>
      <c r="C7" s="55">
        <v>40</v>
      </c>
      <c r="D7" s="59" t="s">
        <v>66</v>
      </c>
      <c r="E7" s="57" t="s">
        <v>13</v>
      </c>
      <c r="F7" s="57" t="s">
        <v>13</v>
      </c>
      <c r="G7" s="56" t="s">
        <v>102</v>
      </c>
      <c r="H7" s="58" t="s">
        <v>103</v>
      </c>
      <c r="L7" s="355"/>
      <c r="M7" s="55">
        <v>40</v>
      </c>
      <c r="N7" s="59" t="s">
        <v>66</v>
      </c>
      <c r="O7" s="57" t="s">
        <v>13</v>
      </c>
      <c r="P7" s="57" t="s">
        <v>13</v>
      </c>
      <c r="Q7" s="56" t="s">
        <v>102</v>
      </c>
      <c r="R7" s="58" t="s">
        <v>103</v>
      </c>
    </row>
    <row r="8" spans="2:18" ht="15.75">
      <c r="B8" s="355"/>
      <c r="C8" s="55">
        <v>20</v>
      </c>
      <c r="D8" s="59" t="s">
        <v>66</v>
      </c>
      <c r="E8" s="59" t="s">
        <v>66</v>
      </c>
      <c r="F8" s="57" t="s">
        <v>13</v>
      </c>
      <c r="G8" s="56" t="s">
        <v>102</v>
      </c>
      <c r="H8" s="58" t="s">
        <v>103</v>
      </c>
      <c r="L8" s="355"/>
      <c r="M8" s="55">
        <v>20</v>
      </c>
      <c r="N8" s="59" t="s">
        <v>66</v>
      </c>
      <c r="O8" s="59" t="s">
        <v>66</v>
      </c>
      <c r="P8" s="57" t="s">
        <v>13</v>
      </c>
      <c r="Q8" s="56" t="s">
        <v>102</v>
      </c>
      <c r="R8" s="58" t="s">
        <v>103</v>
      </c>
    </row>
    <row r="9" spans="2:18">
      <c r="B9" s="355"/>
      <c r="C9" s="16"/>
      <c r="D9" s="55">
        <v>20</v>
      </c>
      <c r="E9" s="55">
        <v>40</v>
      </c>
      <c r="F9" s="55">
        <v>60</v>
      </c>
      <c r="G9" s="55">
        <v>80</v>
      </c>
      <c r="H9" s="55">
        <v>100</v>
      </c>
      <c r="L9" s="355"/>
      <c r="M9" s="16"/>
      <c r="N9" s="55">
        <v>20</v>
      </c>
      <c r="O9" s="55">
        <v>40</v>
      </c>
      <c r="P9" s="55">
        <v>60</v>
      </c>
      <c r="Q9" s="55">
        <v>80</v>
      </c>
      <c r="R9" s="55">
        <v>100</v>
      </c>
    </row>
    <row r="10" spans="2:18" ht="15.75">
      <c r="R10" s="111"/>
    </row>
    <row r="11" spans="2:18">
      <c r="B11" s="60" t="s">
        <v>104</v>
      </c>
      <c r="C11" s="60" t="s">
        <v>242</v>
      </c>
      <c r="D11" s="60"/>
      <c r="E11" s="60"/>
      <c r="F11" s="60"/>
      <c r="L11" s="60" t="s">
        <v>104</v>
      </c>
      <c r="M11" s="60" t="s">
        <v>242</v>
      </c>
    </row>
    <row r="12" spans="2:18">
      <c r="B12" s="60">
        <v>2020</v>
      </c>
      <c r="C12" s="62" t="s">
        <v>66</v>
      </c>
      <c r="D12" s="61"/>
      <c r="E12" s="60"/>
      <c r="F12" s="60"/>
      <c r="L12" s="60">
        <v>2060</v>
      </c>
      <c r="M12" s="63" t="s">
        <v>13</v>
      </c>
    </row>
    <row r="13" spans="2:18">
      <c r="B13" s="60">
        <v>2040</v>
      </c>
      <c r="C13" s="62" t="s">
        <v>66</v>
      </c>
      <c r="D13" s="61"/>
      <c r="E13" s="60"/>
      <c r="F13" s="60"/>
      <c r="L13" s="60">
        <v>4060</v>
      </c>
      <c r="M13" s="63" t="s">
        <v>13</v>
      </c>
    </row>
    <row r="14" spans="2:18">
      <c r="B14" s="60">
        <v>4020</v>
      </c>
      <c r="C14" s="62" t="s">
        <v>66</v>
      </c>
      <c r="D14" s="61"/>
      <c r="E14" s="60"/>
      <c r="F14" s="60"/>
      <c r="L14" s="60">
        <v>6060</v>
      </c>
      <c r="M14" s="63" t="s">
        <v>13</v>
      </c>
    </row>
    <row r="15" spans="2:18">
      <c r="B15" s="60">
        <v>2060</v>
      </c>
      <c r="C15" s="63" t="s">
        <v>13</v>
      </c>
      <c r="D15" s="61"/>
      <c r="E15" s="60"/>
      <c r="F15" s="60"/>
      <c r="L15" s="60">
        <v>8060</v>
      </c>
      <c r="M15" s="64" t="s">
        <v>13</v>
      </c>
    </row>
    <row r="16" spans="2:18">
      <c r="B16" s="60">
        <v>4040</v>
      </c>
      <c r="C16" s="63" t="s">
        <v>13</v>
      </c>
      <c r="D16" s="61"/>
      <c r="E16" s="60"/>
      <c r="F16" s="60"/>
      <c r="L16" s="60">
        <v>10060</v>
      </c>
      <c r="M16" s="64" t="s">
        <v>13</v>
      </c>
    </row>
    <row r="17" spans="2:14">
      <c r="B17" s="60">
        <v>4060</v>
      </c>
      <c r="C17" s="63" t="s">
        <v>13</v>
      </c>
      <c r="D17" s="61"/>
      <c r="E17" s="60"/>
      <c r="F17" s="60"/>
      <c r="L17" s="60">
        <v>8020</v>
      </c>
      <c r="M17" s="64" t="s">
        <v>13</v>
      </c>
    </row>
    <row r="18" spans="2:14">
      <c r="B18" s="60">
        <v>6020</v>
      </c>
      <c r="C18" s="63" t="s">
        <v>13</v>
      </c>
      <c r="D18" s="61"/>
      <c r="E18" s="60"/>
      <c r="F18" s="60"/>
      <c r="L18" s="60">
        <v>8040</v>
      </c>
      <c r="M18" s="64" t="s">
        <v>13</v>
      </c>
    </row>
    <row r="19" spans="2:14">
      <c r="B19" s="60">
        <v>6040</v>
      </c>
      <c r="C19" s="63" t="s">
        <v>13</v>
      </c>
      <c r="D19" s="61"/>
      <c r="E19" s="60"/>
      <c r="F19" s="60"/>
      <c r="L19" s="60">
        <v>8060</v>
      </c>
      <c r="M19" s="64" t="s">
        <v>13</v>
      </c>
    </row>
    <row r="20" spans="2:14">
      <c r="B20" s="60">
        <v>6060</v>
      </c>
      <c r="C20" s="63" t="s">
        <v>13</v>
      </c>
      <c r="D20" s="61"/>
      <c r="E20" s="60"/>
      <c r="F20" s="60"/>
      <c r="L20" s="60">
        <v>8080</v>
      </c>
      <c r="M20" s="64" t="s">
        <v>102</v>
      </c>
    </row>
    <row r="21" spans="2:14">
      <c r="B21" s="60">
        <v>8020</v>
      </c>
      <c r="C21" s="63" t="s">
        <v>13</v>
      </c>
      <c r="D21" s="61"/>
      <c r="E21" s="60"/>
      <c r="F21" s="60"/>
      <c r="L21" s="60">
        <v>80100</v>
      </c>
      <c r="M21" s="64" t="s">
        <v>102</v>
      </c>
    </row>
    <row r="22" spans="2:14">
      <c r="B22" s="60">
        <v>8040</v>
      </c>
      <c r="C22" s="63" t="s">
        <v>13</v>
      </c>
      <c r="D22" s="61"/>
      <c r="E22" s="60"/>
      <c r="F22" s="60"/>
      <c r="L22" s="60">
        <v>20100</v>
      </c>
      <c r="M22" s="65" t="s">
        <v>102</v>
      </c>
    </row>
    <row r="23" spans="2:14">
      <c r="B23" s="60">
        <v>2080</v>
      </c>
      <c r="C23" s="64" t="s">
        <v>102</v>
      </c>
      <c r="D23" s="61"/>
      <c r="E23" s="60"/>
      <c r="F23" s="60"/>
      <c r="L23" s="60">
        <v>40100</v>
      </c>
      <c r="M23" s="65" t="s">
        <v>102</v>
      </c>
    </row>
    <row r="24" spans="2:14">
      <c r="B24" s="60">
        <v>4080</v>
      </c>
      <c r="C24" s="64" t="s">
        <v>102</v>
      </c>
      <c r="D24" s="61"/>
      <c r="E24" s="60"/>
      <c r="F24" s="60"/>
      <c r="L24" s="60">
        <v>60100</v>
      </c>
      <c r="M24" s="65" t="s">
        <v>102</v>
      </c>
    </row>
    <row r="25" spans="2:14">
      <c r="B25" s="60">
        <v>6080</v>
      </c>
      <c r="C25" s="64" t="s">
        <v>102</v>
      </c>
      <c r="D25" s="61"/>
      <c r="E25" s="60"/>
      <c r="F25" s="60"/>
      <c r="L25" s="60">
        <v>80100</v>
      </c>
      <c r="M25" s="65" t="s">
        <v>102</v>
      </c>
    </row>
    <row r="26" spans="2:14">
      <c r="B26" s="60">
        <v>8060</v>
      </c>
      <c r="C26" s="64" t="s">
        <v>102</v>
      </c>
      <c r="D26" s="61"/>
      <c r="E26" s="60"/>
      <c r="F26" s="60"/>
      <c r="L26" s="60">
        <v>100100</v>
      </c>
      <c r="M26" s="65" t="s">
        <v>102</v>
      </c>
    </row>
    <row r="27" spans="2:14">
      <c r="B27" s="60">
        <v>8080</v>
      </c>
      <c r="C27" s="64" t="s">
        <v>102</v>
      </c>
      <c r="D27" s="61"/>
      <c r="E27" s="60"/>
      <c r="F27" s="60"/>
      <c r="L27" s="86"/>
      <c r="M27" s="87"/>
      <c r="N27" s="88"/>
    </row>
    <row r="28" spans="2:14">
      <c r="B28" s="60">
        <v>10020</v>
      </c>
      <c r="C28" s="64" t="s">
        <v>102</v>
      </c>
      <c r="D28" s="61"/>
      <c r="E28" s="60"/>
      <c r="F28" s="60"/>
      <c r="L28" s="86"/>
      <c r="M28" s="87"/>
      <c r="N28" s="88"/>
    </row>
    <row r="29" spans="2:14">
      <c r="B29" s="60">
        <v>10040</v>
      </c>
      <c r="C29" s="64" t="s">
        <v>102</v>
      </c>
      <c r="D29" s="61"/>
      <c r="E29" s="60"/>
      <c r="F29" s="60"/>
      <c r="L29" s="86"/>
      <c r="M29" s="87"/>
      <c r="N29" s="88"/>
    </row>
    <row r="30" spans="2:14">
      <c r="B30" s="60">
        <v>10060</v>
      </c>
      <c r="C30" s="64" t="s">
        <v>102</v>
      </c>
      <c r="D30" s="61"/>
      <c r="E30" s="60"/>
      <c r="F30" s="60"/>
      <c r="L30" s="86"/>
      <c r="M30" s="87"/>
      <c r="N30" s="88"/>
    </row>
    <row r="31" spans="2:14">
      <c r="B31" s="60">
        <v>10080</v>
      </c>
      <c r="C31" s="64" t="s">
        <v>102</v>
      </c>
      <c r="D31" s="61"/>
      <c r="E31" s="60"/>
      <c r="F31" s="60"/>
      <c r="L31" s="86"/>
      <c r="M31" s="87"/>
      <c r="N31" s="88"/>
    </row>
    <row r="32" spans="2:14">
      <c r="B32" s="60">
        <v>20100</v>
      </c>
      <c r="C32" s="65" t="s">
        <v>103</v>
      </c>
      <c r="D32" s="61"/>
      <c r="E32" s="60"/>
      <c r="F32" s="60"/>
      <c r="L32" s="86"/>
      <c r="M32" s="87"/>
      <c r="N32" s="88"/>
    </row>
    <row r="33" spans="2:14">
      <c r="B33" s="60">
        <v>40100</v>
      </c>
      <c r="C33" s="65" t="s">
        <v>103</v>
      </c>
      <c r="D33" s="61"/>
      <c r="E33" s="60"/>
      <c r="F33" s="60"/>
      <c r="L33" s="86"/>
      <c r="M33" s="87"/>
      <c r="N33" s="88"/>
    </row>
    <row r="34" spans="2:14">
      <c r="B34" s="60">
        <v>60100</v>
      </c>
      <c r="C34" s="65" t="s">
        <v>103</v>
      </c>
      <c r="D34" s="61"/>
      <c r="E34" s="60"/>
      <c r="F34" s="60"/>
      <c r="L34" s="88"/>
      <c r="M34" s="88"/>
      <c r="N34" s="88"/>
    </row>
    <row r="35" spans="2:14">
      <c r="B35" s="60">
        <v>80100</v>
      </c>
      <c r="C35" s="65" t="s">
        <v>103</v>
      </c>
      <c r="D35" s="61"/>
      <c r="E35" s="60"/>
      <c r="F35" s="60"/>
    </row>
    <row r="36" spans="2:14">
      <c r="B36" s="60">
        <v>1001000</v>
      </c>
      <c r="C36" s="65" t="s">
        <v>103</v>
      </c>
      <c r="D36" s="61"/>
      <c r="E36" s="60"/>
      <c r="F36" s="60"/>
    </row>
  </sheetData>
  <mergeCells count="6">
    <mergeCell ref="B2:C3"/>
    <mergeCell ref="D2:H2"/>
    <mergeCell ref="B4:B9"/>
    <mergeCell ref="L2:M3"/>
    <mergeCell ref="N2:R2"/>
    <mergeCell ref="L4:L9"/>
  </mergeCells>
  <phoneticPr fontId="1" type="noConversion"/>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5"/>
  <sheetViews>
    <sheetView workbookViewId="0">
      <selection activeCell="B25" sqref="B25"/>
    </sheetView>
  </sheetViews>
  <sheetFormatPr baseColWidth="10" defaultRowHeight="15"/>
  <cols>
    <col min="1" max="1" width="18.5703125" customWidth="1"/>
  </cols>
  <sheetData>
    <row r="1" spans="1:2">
      <c r="A1" s="78" t="s">
        <v>136</v>
      </c>
      <c r="B1" s="77" t="s">
        <v>66</v>
      </c>
    </row>
    <row r="2" spans="1:2">
      <c r="A2" s="78" t="s">
        <v>137</v>
      </c>
      <c r="B2" s="77" t="s">
        <v>66</v>
      </c>
    </row>
    <row r="3" spans="1:2">
      <c r="A3" s="78" t="s">
        <v>138</v>
      </c>
      <c r="B3" s="77" t="s">
        <v>13</v>
      </c>
    </row>
    <row r="4" spans="1:2">
      <c r="A4" s="78" t="s">
        <v>139</v>
      </c>
      <c r="B4" s="77" t="s">
        <v>133</v>
      </c>
    </row>
    <row r="5" spans="1:2" ht="20.25" customHeight="1">
      <c r="A5" s="78" t="s">
        <v>140</v>
      </c>
      <c r="B5" s="77" t="s">
        <v>103</v>
      </c>
    </row>
    <row r="6" spans="1:2">
      <c r="A6" s="78" t="s">
        <v>141</v>
      </c>
      <c r="B6" s="77" t="s">
        <v>66</v>
      </c>
    </row>
    <row r="7" spans="1:2">
      <c r="A7" s="78" t="s">
        <v>142</v>
      </c>
      <c r="B7" s="77" t="s">
        <v>13</v>
      </c>
    </row>
    <row r="8" spans="1:2">
      <c r="A8" s="78" t="s">
        <v>143</v>
      </c>
      <c r="B8" s="77" t="s">
        <v>13</v>
      </c>
    </row>
    <row r="9" spans="1:2">
      <c r="A9" s="78" t="s">
        <v>144</v>
      </c>
      <c r="B9" s="77" t="s">
        <v>133</v>
      </c>
    </row>
    <row r="10" spans="1:2">
      <c r="A10" s="78" t="s">
        <v>145</v>
      </c>
      <c r="B10" s="77" t="s">
        <v>103</v>
      </c>
    </row>
    <row r="11" spans="1:2">
      <c r="A11" s="78" t="s">
        <v>146</v>
      </c>
      <c r="B11" s="77" t="s">
        <v>13</v>
      </c>
    </row>
    <row r="12" spans="1:2">
      <c r="A12" s="78" t="s">
        <v>147</v>
      </c>
      <c r="B12" s="77" t="s">
        <v>13</v>
      </c>
    </row>
    <row r="13" spans="1:2">
      <c r="A13" s="78" t="s">
        <v>148</v>
      </c>
      <c r="B13" s="77" t="s">
        <v>13</v>
      </c>
    </row>
    <row r="14" spans="1:2">
      <c r="A14" s="78" t="s">
        <v>149</v>
      </c>
      <c r="B14" s="77" t="s">
        <v>133</v>
      </c>
    </row>
    <row r="15" spans="1:2">
      <c r="A15" s="78" t="s">
        <v>150</v>
      </c>
      <c r="B15" s="77" t="s">
        <v>103</v>
      </c>
    </row>
    <row r="16" spans="1:2">
      <c r="A16" s="78" t="s">
        <v>151</v>
      </c>
      <c r="B16" s="77" t="s">
        <v>13</v>
      </c>
    </row>
    <row r="17" spans="1:2">
      <c r="A17" s="78" t="s">
        <v>152</v>
      </c>
      <c r="B17" s="77" t="s">
        <v>13</v>
      </c>
    </row>
    <row r="18" spans="1:2">
      <c r="A18" s="78" t="s">
        <v>153</v>
      </c>
      <c r="B18" s="77" t="s">
        <v>133</v>
      </c>
    </row>
    <row r="19" spans="1:2">
      <c r="A19" s="78" t="s">
        <v>154</v>
      </c>
      <c r="B19" s="77" t="s">
        <v>133</v>
      </c>
    </row>
    <row r="20" spans="1:2">
      <c r="A20" s="78" t="s">
        <v>155</v>
      </c>
      <c r="B20" s="77" t="s">
        <v>103</v>
      </c>
    </row>
    <row r="21" spans="1:2">
      <c r="A21" s="78" t="s">
        <v>156</v>
      </c>
      <c r="B21" s="77" t="s">
        <v>133</v>
      </c>
    </row>
    <row r="22" spans="1:2">
      <c r="A22" s="78" t="s">
        <v>157</v>
      </c>
      <c r="B22" s="77" t="s">
        <v>133</v>
      </c>
    </row>
    <row r="23" spans="1:2">
      <c r="A23" s="78" t="s">
        <v>158</v>
      </c>
      <c r="B23" s="77" t="s">
        <v>133</v>
      </c>
    </row>
    <row r="24" spans="1:2">
      <c r="A24" s="78" t="s">
        <v>159</v>
      </c>
      <c r="B24" s="77" t="s">
        <v>133</v>
      </c>
    </row>
    <row r="25" spans="1:2" ht="30">
      <c r="A25" s="78" t="s">
        <v>160</v>
      </c>
      <c r="B25" s="77" t="s">
        <v>103</v>
      </c>
    </row>
  </sheetData>
  <conditionalFormatting sqref="B1:B25">
    <cfRule type="containsText" dxfId="4" priority="1" operator="containsText" text="Extremo">
      <formula>NOT(ISERROR(SEARCH("Extremo",B1)))</formula>
    </cfRule>
    <cfRule type="containsText" dxfId="3" priority="2" operator="containsText" text="Alto">
      <formula>NOT(ISERROR(SEARCH("Alto",B1)))</formula>
    </cfRule>
    <cfRule type="containsText" dxfId="2" priority="3" operator="containsText" text="Moderado">
      <formula>NOT(ISERROR(SEARCH("Moderado",B1)))</formula>
    </cfRule>
    <cfRule type="containsText" dxfId="1" priority="4" operator="containsText" text="Baja">
      <formula>NOT(ISERROR(SEARCH("Baja",B1)))</formula>
    </cfRule>
    <cfRule type="cellIs" dxfId="0" priority="5" operator="equal">
      <formula>"Bajo"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1"/>
  <sheetViews>
    <sheetView zoomScale="90" zoomScaleNormal="90" workbookViewId="0">
      <selection activeCell="H10" sqref="H10"/>
    </sheetView>
  </sheetViews>
  <sheetFormatPr baseColWidth="10" defaultRowHeight="15"/>
  <cols>
    <col min="1" max="1" width="8.140625" customWidth="1"/>
    <col min="2" max="2" width="10.5703125" customWidth="1"/>
    <col min="4" max="4" width="10" customWidth="1"/>
    <col min="5" max="5" width="35.7109375" customWidth="1"/>
  </cols>
  <sheetData>
    <row r="1" spans="2:6" ht="15.75" thickBot="1"/>
    <row r="2" spans="2:6" ht="15.75" thickBot="1">
      <c r="B2" s="356" t="s">
        <v>105</v>
      </c>
      <c r="C2" s="357"/>
      <c r="D2" s="358"/>
      <c r="E2" s="67" t="s">
        <v>106</v>
      </c>
      <c r="F2" s="67" t="s">
        <v>107</v>
      </c>
    </row>
    <row r="3" spans="2:6" ht="26.25" thickBot="1">
      <c r="B3" s="359" t="s">
        <v>108</v>
      </c>
      <c r="C3" s="362" t="s">
        <v>33</v>
      </c>
      <c r="D3" s="68" t="s">
        <v>109</v>
      </c>
      <c r="E3" s="69" t="s">
        <v>110</v>
      </c>
      <c r="F3" s="70">
        <v>0.25</v>
      </c>
    </row>
    <row r="4" spans="2:6" ht="39" thickBot="1">
      <c r="B4" s="360"/>
      <c r="C4" s="363"/>
      <c r="D4" s="68" t="s">
        <v>111</v>
      </c>
      <c r="E4" s="69" t="s">
        <v>112</v>
      </c>
      <c r="F4" s="70">
        <v>0.15</v>
      </c>
    </row>
    <row r="5" spans="2:6" ht="26.25" thickBot="1">
      <c r="B5" s="360"/>
      <c r="C5" s="364"/>
      <c r="D5" s="68" t="s">
        <v>113</v>
      </c>
      <c r="E5" s="69" t="s">
        <v>114</v>
      </c>
      <c r="F5" s="70">
        <v>0.1</v>
      </c>
    </row>
    <row r="6" spans="2:6" ht="51.75" thickBot="1">
      <c r="B6" s="360"/>
      <c r="C6" s="359" t="s">
        <v>34</v>
      </c>
      <c r="D6" s="68" t="s">
        <v>115</v>
      </c>
      <c r="E6" s="69" t="s">
        <v>116</v>
      </c>
      <c r="F6" s="70">
        <v>0.25</v>
      </c>
    </row>
    <row r="7" spans="2:6" ht="26.25" thickBot="1">
      <c r="B7" s="361"/>
      <c r="C7" s="361"/>
      <c r="D7" s="68" t="s">
        <v>117</v>
      </c>
      <c r="E7" s="69" t="s">
        <v>118</v>
      </c>
      <c r="F7" s="70">
        <v>0.15</v>
      </c>
    </row>
    <row r="8" spans="2:6" ht="51.75" thickBot="1">
      <c r="B8" s="365" t="s">
        <v>119</v>
      </c>
      <c r="C8" s="359" t="s">
        <v>36</v>
      </c>
      <c r="D8" s="68" t="s">
        <v>120</v>
      </c>
      <c r="E8" s="69" t="s">
        <v>121</v>
      </c>
      <c r="F8" s="68" t="s">
        <v>122</v>
      </c>
    </row>
    <row r="9" spans="2:6" ht="51.75" thickBot="1">
      <c r="B9" s="366"/>
      <c r="C9" s="361"/>
      <c r="D9" s="71" t="s">
        <v>123</v>
      </c>
      <c r="E9" s="69" t="s">
        <v>124</v>
      </c>
      <c r="F9" s="68" t="s">
        <v>122</v>
      </c>
    </row>
    <row r="10" spans="2:6" ht="26.25" thickBot="1">
      <c r="B10" s="366"/>
      <c r="C10" s="359" t="s">
        <v>26</v>
      </c>
      <c r="D10" s="68" t="s">
        <v>125</v>
      </c>
      <c r="E10" s="69" t="s">
        <v>126</v>
      </c>
      <c r="F10" s="68" t="s">
        <v>122</v>
      </c>
    </row>
    <row r="11" spans="2:6" ht="26.25" thickBot="1">
      <c r="B11" s="366"/>
      <c r="C11" s="361"/>
      <c r="D11" s="68" t="s">
        <v>127</v>
      </c>
      <c r="E11" s="69" t="s">
        <v>128</v>
      </c>
      <c r="F11" s="68" t="s">
        <v>122</v>
      </c>
    </row>
    <row r="12" spans="2:6" ht="26.25" thickBot="1">
      <c r="B12" s="366"/>
      <c r="C12" s="359" t="s">
        <v>37</v>
      </c>
      <c r="D12" s="68" t="s">
        <v>129</v>
      </c>
      <c r="E12" s="69" t="s">
        <v>130</v>
      </c>
      <c r="F12" s="68" t="s">
        <v>122</v>
      </c>
    </row>
    <row r="13" spans="2:6" ht="26.25" thickBot="1">
      <c r="B13" s="367"/>
      <c r="C13" s="361"/>
      <c r="D13" s="68" t="s">
        <v>131</v>
      </c>
      <c r="E13" s="69" t="s">
        <v>132</v>
      </c>
      <c r="F13" s="68" t="s">
        <v>122</v>
      </c>
    </row>
    <row r="16" spans="2:6" ht="15.75" thickBot="1">
      <c r="B16" s="68" t="s">
        <v>109</v>
      </c>
      <c r="C16" s="68" t="s">
        <v>115</v>
      </c>
    </row>
    <row r="17" spans="2:3" ht="15.75" thickBot="1">
      <c r="B17" s="68" t="s">
        <v>111</v>
      </c>
      <c r="C17" s="68" t="s">
        <v>115</v>
      </c>
    </row>
    <row r="18" spans="2:3" ht="15.75" thickBot="1">
      <c r="B18" s="68" t="s">
        <v>113</v>
      </c>
      <c r="C18" s="68" t="s">
        <v>115</v>
      </c>
    </row>
    <row r="19" spans="2:3" ht="15.75" thickBot="1">
      <c r="B19" s="68" t="s">
        <v>109</v>
      </c>
      <c r="C19" s="68" t="s">
        <v>117</v>
      </c>
    </row>
    <row r="20" spans="2:3" ht="15.75" thickBot="1">
      <c r="B20" s="68" t="s">
        <v>111</v>
      </c>
      <c r="C20" s="68" t="s">
        <v>117</v>
      </c>
    </row>
    <row r="21" spans="2:3" ht="15.75" thickBot="1">
      <c r="B21" s="68" t="s">
        <v>113</v>
      </c>
      <c r="C21" s="68" t="s">
        <v>117</v>
      </c>
    </row>
  </sheetData>
  <mergeCells count="8">
    <mergeCell ref="B2:D2"/>
    <mergeCell ref="B3:B7"/>
    <mergeCell ref="C3:C5"/>
    <mergeCell ref="C6:C7"/>
    <mergeCell ref="B8:B13"/>
    <mergeCell ref="C8:C9"/>
    <mergeCell ref="C10:C11"/>
    <mergeCell ref="C12:C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R28"/>
  <sheetViews>
    <sheetView zoomScale="80" zoomScaleNormal="80" workbookViewId="0">
      <selection activeCell="P13" sqref="P13"/>
    </sheetView>
  </sheetViews>
  <sheetFormatPr baseColWidth="10" defaultRowHeight="15"/>
  <cols>
    <col min="2" max="2" width="17.140625" customWidth="1"/>
    <col min="3" max="3" width="69.7109375" customWidth="1"/>
    <col min="4" max="4" width="19.42578125" bestFit="1" customWidth="1"/>
    <col min="5" max="5" width="25" customWidth="1"/>
    <col min="8" max="8" width="38.28515625" customWidth="1"/>
    <col min="9" max="9" width="37.85546875" customWidth="1"/>
    <col min="11" max="11" width="23.5703125" customWidth="1"/>
    <col min="12" max="12" width="24.28515625" customWidth="1"/>
    <col min="13" max="13" width="31" customWidth="1"/>
    <col min="14" max="14" width="22.5703125" customWidth="1"/>
    <col min="17" max="17" width="25.85546875" customWidth="1"/>
  </cols>
  <sheetData>
    <row r="2" spans="2:18" ht="15.75" thickBot="1"/>
    <row r="3" spans="2:18" ht="45.75" customHeight="1" thickBot="1">
      <c r="B3" s="79" t="s">
        <v>161</v>
      </c>
      <c r="C3" s="80" t="s">
        <v>162</v>
      </c>
      <c r="D3" s="80" t="s">
        <v>163</v>
      </c>
      <c r="E3" s="80" t="s">
        <v>164</v>
      </c>
      <c r="F3" s="80" t="s">
        <v>35</v>
      </c>
      <c r="H3" s="79" t="s">
        <v>249</v>
      </c>
      <c r="I3" s="80" t="s">
        <v>250</v>
      </c>
      <c r="K3" s="79" t="s">
        <v>260</v>
      </c>
      <c r="L3" s="80" t="s">
        <v>261</v>
      </c>
      <c r="M3" s="80" t="s">
        <v>262</v>
      </c>
      <c r="N3" s="80" t="s">
        <v>263</v>
      </c>
      <c r="O3" s="80" t="s">
        <v>264</v>
      </c>
      <c r="Q3" s="99"/>
      <c r="R3" s="100"/>
    </row>
    <row r="4" spans="2:18" ht="15.75" thickBot="1">
      <c r="B4" s="368" t="s">
        <v>165</v>
      </c>
      <c r="C4" s="368" t="s">
        <v>166</v>
      </c>
      <c r="D4" s="37" t="s">
        <v>167</v>
      </c>
      <c r="E4" s="37">
        <v>15</v>
      </c>
      <c r="F4" s="37">
        <v>15</v>
      </c>
      <c r="H4" s="85" t="s">
        <v>251</v>
      </c>
      <c r="I4" s="37" t="s">
        <v>252</v>
      </c>
      <c r="K4" s="374" t="s">
        <v>265</v>
      </c>
      <c r="L4" s="37" t="s">
        <v>266</v>
      </c>
      <c r="M4" s="37" t="s">
        <v>267</v>
      </c>
      <c r="N4" s="37" t="s">
        <v>216</v>
      </c>
      <c r="O4" s="37">
        <v>100</v>
      </c>
      <c r="Q4" s="98" t="s">
        <v>283</v>
      </c>
      <c r="R4" s="100">
        <v>100</v>
      </c>
    </row>
    <row r="5" spans="2:18" ht="15.75" thickBot="1">
      <c r="B5" s="369"/>
      <c r="C5" s="370"/>
      <c r="D5" s="37" t="s">
        <v>168</v>
      </c>
      <c r="E5" s="37">
        <v>0</v>
      </c>
      <c r="F5" s="37"/>
      <c r="H5" s="85" t="s">
        <v>14</v>
      </c>
      <c r="I5" s="37" t="s">
        <v>253</v>
      </c>
      <c r="K5" s="375"/>
      <c r="L5" s="37" t="s">
        <v>268</v>
      </c>
      <c r="M5" s="37" t="s">
        <v>269</v>
      </c>
      <c r="N5" s="37" t="s">
        <v>215</v>
      </c>
      <c r="O5" s="37">
        <v>50</v>
      </c>
      <c r="Q5" s="98" t="s">
        <v>284</v>
      </c>
      <c r="R5" s="100">
        <v>50</v>
      </c>
    </row>
    <row r="6" spans="2:18" ht="15.75" thickBot="1">
      <c r="B6" s="369"/>
      <c r="C6" s="368" t="s">
        <v>169</v>
      </c>
      <c r="D6" s="37" t="s">
        <v>170</v>
      </c>
      <c r="E6" s="37">
        <v>15</v>
      </c>
      <c r="F6" s="37">
        <v>15</v>
      </c>
      <c r="H6" s="85" t="s">
        <v>254</v>
      </c>
      <c r="I6" s="37" t="s">
        <v>255</v>
      </c>
      <c r="K6" s="376"/>
      <c r="L6" s="37" t="s">
        <v>270</v>
      </c>
      <c r="M6" s="37" t="s">
        <v>271</v>
      </c>
      <c r="N6" s="37" t="s">
        <v>215</v>
      </c>
      <c r="O6" s="37">
        <v>0</v>
      </c>
      <c r="Q6" s="98" t="s">
        <v>285</v>
      </c>
      <c r="R6" s="100"/>
    </row>
    <row r="7" spans="2:18" ht="30.75" customHeight="1" thickBot="1">
      <c r="B7" s="370"/>
      <c r="C7" s="370"/>
      <c r="D7" s="37" t="s">
        <v>171</v>
      </c>
      <c r="E7" s="37">
        <v>0</v>
      </c>
      <c r="F7" s="37"/>
      <c r="K7" s="374" t="s">
        <v>272</v>
      </c>
      <c r="L7" s="37" t="s">
        <v>266</v>
      </c>
      <c r="M7" s="37" t="s">
        <v>273</v>
      </c>
      <c r="N7" s="37" t="s">
        <v>215</v>
      </c>
      <c r="O7" s="37">
        <v>50</v>
      </c>
      <c r="Q7" s="98" t="s">
        <v>286</v>
      </c>
      <c r="R7" s="100">
        <v>50</v>
      </c>
    </row>
    <row r="8" spans="2:18" ht="30.75" thickBot="1">
      <c r="B8" s="368" t="s">
        <v>172</v>
      </c>
      <c r="C8" s="368" t="s">
        <v>173</v>
      </c>
      <c r="D8" s="37" t="s">
        <v>174</v>
      </c>
      <c r="E8" s="37">
        <v>15</v>
      </c>
      <c r="F8" s="37">
        <v>15</v>
      </c>
      <c r="K8" s="375"/>
      <c r="L8" s="37" t="s">
        <v>268</v>
      </c>
      <c r="M8" s="37" t="s">
        <v>274</v>
      </c>
      <c r="N8" s="37" t="s">
        <v>215</v>
      </c>
      <c r="O8" s="37">
        <v>50</v>
      </c>
      <c r="Q8" s="98" t="s">
        <v>287</v>
      </c>
      <c r="R8" s="100">
        <v>50</v>
      </c>
    </row>
    <row r="9" spans="2:18" ht="30.75" thickBot="1">
      <c r="B9" s="370"/>
      <c r="C9" s="370"/>
      <c r="D9" s="37" t="s">
        <v>175</v>
      </c>
      <c r="E9" s="37">
        <v>0</v>
      </c>
      <c r="F9" s="37"/>
      <c r="H9" s="79" t="s">
        <v>280</v>
      </c>
      <c r="I9" s="80" t="s">
        <v>256</v>
      </c>
      <c r="K9" s="376"/>
      <c r="L9" s="37" t="s">
        <v>270</v>
      </c>
      <c r="M9" s="37" t="s">
        <v>275</v>
      </c>
      <c r="N9" s="37" t="s">
        <v>215</v>
      </c>
      <c r="O9" s="37">
        <v>0</v>
      </c>
      <c r="Q9" s="98" t="s">
        <v>288</v>
      </c>
      <c r="R9" s="100">
        <v>0</v>
      </c>
    </row>
    <row r="10" spans="2:18" ht="30.75" thickBot="1">
      <c r="B10" s="368" t="s">
        <v>176</v>
      </c>
      <c r="C10" s="368" t="s">
        <v>177</v>
      </c>
      <c r="D10" s="37" t="s">
        <v>178</v>
      </c>
      <c r="E10" s="37">
        <v>15</v>
      </c>
      <c r="F10" s="37">
        <v>15</v>
      </c>
      <c r="H10" s="85" t="s">
        <v>251</v>
      </c>
      <c r="I10" s="37" t="s">
        <v>257</v>
      </c>
      <c r="K10" s="374" t="s">
        <v>276</v>
      </c>
      <c r="L10" s="37" t="s">
        <v>266</v>
      </c>
      <c r="M10" s="37" t="s">
        <v>277</v>
      </c>
      <c r="N10" s="37" t="s">
        <v>215</v>
      </c>
      <c r="O10" s="37">
        <v>0</v>
      </c>
      <c r="Q10" s="98" t="s">
        <v>289</v>
      </c>
      <c r="R10" s="100">
        <v>0</v>
      </c>
    </row>
    <row r="11" spans="2:18" ht="30.75" thickBot="1">
      <c r="B11" s="369"/>
      <c r="C11" s="369"/>
      <c r="D11" s="37" t="s">
        <v>179</v>
      </c>
      <c r="E11" s="37">
        <v>10</v>
      </c>
      <c r="F11" s="37"/>
      <c r="H11" s="90" t="s">
        <v>14</v>
      </c>
      <c r="I11" s="41" t="s">
        <v>258</v>
      </c>
      <c r="K11" s="375"/>
      <c r="L11" s="37" t="s">
        <v>268</v>
      </c>
      <c r="M11" s="37" t="s">
        <v>278</v>
      </c>
      <c r="N11" s="37" t="s">
        <v>215</v>
      </c>
      <c r="O11" s="37">
        <v>0</v>
      </c>
      <c r="Q11" s="98" t="s">
        <v>290</v>
      </c>
      <c r="R11" s="100">
        <v>0</v>
      </c>
    </row>
    <row r="12" spans="2:18" ht="30.75" thickBot="1">
      <c r="B12" s="370"/>
      <c r="C12" s="370"/>
      <c r="D12" s="37" t="s">
        <v>180</v>
      </c>
      <c r="E12" s="37">
        <v>0</v>
      </c>
      <c r="F12" s="37"/>
      <c r="H12" s="92" t="s">
        <v>254</v>
      </c>
      <c r="I12" s="93" t="s">
        <v>259</v>
      </c>
      <c r="K12" s="376"/>
      <c r="L12" s="37" t="s">
        <v>270</v>
      </c>
      <c r="M12" s="37" t="s">
        <v>279</v>
      </c>
      <c r="N12" s="37" t="s">
        <v>215</v>
      </c>
      <c r="O12" s="37">
        <v>0</v>
      </c>
      <c r="Q12" s="98" t="s">
        <v>291</v>
      </c>
      <c r="R12" s="99">
        <v>0</v>
      </c>
    </row>
    <row r="13" spans="2:18" ht="30.75" thickBot="1">
      <c r="B13" s="368" t="s">
        <v>181</v>
      </c>
      <c r="C13" s="41" t="s">
        <v>182</v>
      </c>
      <c r="D13" s="37" t="s">
        <v>184</v>
      </c>
      <c r="E13" s="37">
        <v>15</v>
      </c>
      <c r="F13" s="37">
        <v>15</v>
      </c>
      <c r="H13" s="91"/>
      <c r="I13" s="81"/>
    </row>
    <row r="14" spans="2:18" ht="15.75" thickBot="1">
      <c r="B14" s="370"/>
      <c r="C14" s="37" t="s">
        <v>183</v>
      </c>
      <c r="D14" s="37" t="s">
        <v>185</v>
      </c>
      <c r="E14" s="37">
        <v>0</v>
      </c>
      <c r="F14" s="37"/>
    </row>
    <row r="15" spans="2:18" ht="30.75" thickBot="1">
      <c r="B15" s="368" t="s">
        <v>186</v>
      </c>
      <c r="C15" s="368" t="s">
        <v>187</v>
      </c>
      <c r="D15" s="37" t="s">
        <v>188</v>
      </c>
      <c r="E15" s="37">
        <v>15</v>
      </c>
      <c r="F15" s="37">
        <v>15</v>
      </c>
    </row>
    <row r="16" spans="2:18" ht="45.75" thickBot="1">
      <c r="B16" s="370"/>
      <c r="C16" s="370"/>
      <c r="D16" s="37" t="s">
        <v>189</v>
      </c>
      <c r="E16" s="37">
        <v>0</v>
      </c>
      <c r="F16" s="37"/>
    </row>
    <row r="17" spans="2:6" ht="15.75" thickBot="1">
      <c r="B17" s="368" t="s">
        <v>190</v>
      </c>
      <c r="C17" s="368" t="s">
        <v>191</v>
      </c>
      <c r="D17" s="37" t="s">
        <v>192</v>
      </c>
      <c r="E17" s="37">
        <v>10</v>
      </c>
      <c r="F17" s="37">
        <v>10</v>
      </c>
    </row>
    <row r="18" spans="2:6" ht="15.75" thickBot="1">
      <c r="B18" s="369"/>
      <c r="C18" s="369"/>
      <c r="D18" s="37" t="s">
        <v>193</v>
      </c>
      <c r="E18" s="37">
        <v>5</v>
      </c>
      <c r="F18" s="37"/>
    </row>
    <row r="19" spans="2:6" ht="15.75" thickBot="1">
      <c r="B19" s="370"/>
      <c r="C19" s="370"/>
      <c r="D19" s="37" t="s">
        <v>194</v>
      </c>
      <c r="E19" s="37">
        <v>0</v>
      </c>
      <c r="F19" s="37"/>
    </row>
    <row r="20" spans="2:6" ht="15.75" thickBot="1">
      <c r="B20" s="371" t="s">
        <v>195</v>
      </c>
      <c r="C20" s="372"/>
      <c r="D20" s="373"/>
      <c r="E20" s="81">
        <v>100</v>
      </c>
      <c r="F20" s="81">
        <v>0</v>
      </c>
    </row>
    <row r="22" spans="2:6" ht="15.75" thickBot="1"/>
    <row r="23" spans="2:6" ht="30.75" thickBot="1">
      <c r="B23" s="28" t="s">
        <v>74</v>
      </c>
      <c r="C23" s="29" t="s">
        <v>106</v>
      </c>
      <c r="D23" s="30" t="s">
        <v>26</v>
      </c>
      <c r="E23" s="28" t="s">
        <v>211</v>
      </c>
      <c r="F23" s="83"/>
    </row>
    <row r="24" spans="2:6" ht="30.75" thickBot="1">
      <c r="B24" s="31" t="s">
        <v>196</v>
      </c>
      <c r="C24" s="32" t="s">
        <v>201</v>
      </c>
      <c r="D24" s="54" t="s">
        <v>206</v>
      </c>
      <c r="E24" s="31" t="s">
        <v>196</v>
      </c>
      <c r="F24" s="78"/>
    </row>
    <row r="25" spans="2:6" ht="30.75" thickBot="1">
      <c r="B25" s="34" t="s">
        <v>197</v>
      </c>
      <c r="C25" s="32" t="s">
        <v>202</v>
      </c>
      <c r="D25" s="54" t="s">
        <v>207</v>
      </c>
      <c r="E25" s="34" t="s">
        <v>197</v>
      </c>
      <c r="F25" s="78"/>
    </row>
    <row r="26" spans="2:6" ht="30.75" thickBot="1">
      <c r="B26" s="35" t="s">
        <v>198</v>
      </c>
      <c r="C26" s="32" t="s">
        <v>203</v>
      </c>
      <c r="D26" s="54" t="s">
        <v>208</v>
      </c>
      <c r="E26" s="35" t="s">
        <v>198</v>
      </c>
      <c r="F26" s="78"/>
    </row>
    <row r="27" spans="2:6" ht="30.75" thickBot="1">
      <c r="B27" s="36" t="s">
        <v>199</v>
      </c>
      <c r="C27" s="37" t="s">
        <v>204</v>
      </c>
      <c r="D27" s="54" t="s">
        <v>209</v>
      </c>
      <c r="E27" s="36" t="s">
        <v>199</v>
      </c>
      <c r="F27" s="78"/>
    </row>
    <row r="28" spans="2:6" ht="15.75" thickBot="1">
      <c r="B28" s="38" t="s">
        <v>200</v>
      </c>
      <c r="C28" s="32" t="s">
        <v>205</v>
      </c>
      <c r="D28" s="54" t="s">
        <v>210</v>
      </c>
      <c r="E28" s="38" t="s">
        <v>200</v>
      </c>
      <c r="F28" s="82"/>
    </row>
  </sheetData>
  <mergeCells count="16">
    <mergeCell ref="K4:K6"/>
    <mergeCell ref="K7:K9"/>
    <mergeCell ref="K10:K12"/>
    <mergeCell ref="B13:B14"/>
    <mergeCell ref="B15:B16"/>
    <mergeCell ref="C15:C16"/>
    <mergeCell ref="B17:B19"/>
    <mergeCell ref="C17:C19"/>
    <mergeCell ref="B20:D20"/>
    <mergeCell ref="B4:B7"/>
    <mergeCell ref="C4:C5"/>
    <mergeCell ref="C6:C7"/>
    <mergeCell ref="B8:B9"/>
    <mergeCell ref="C8:C9"/>
    <mergeCell ref="B10:B12"/>
    <mergeCell ref="C10: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Riesgos Seguridad Información</vt:lpstr>
      <vt:lpstr>Riesgos Corrupción</vt:lpstr>
      <vt:lpstr>Riesgos Gestión</vt:lpstr>
      <vt:lpstr>PARÁMETROS RIESGOS GESTIÓN</vt:lpstr>
      <vt:lpstr>Probab e Impacto</vt:lpstr>
      <vt:lpstr>Zona de riesgo</vt:lpstr>
      <vt:lpstr>RIESGO RESIDUAL</vt:lpstr>
      <vt:lpstr>CONTROLES</vt:lpstr>
      <vt:lpstr>PARAMETROS RIESGOS DE CORRUPCIÓ</vt:lpstr>
      <vt:lpstr>VALORACIÓN RR CORRUPCIÓN</vt:lpstr>
      <vt:lpstr>Hoja2</vt:lpstr>
      <vt:lpstr>'Riesgos Corrupción'!Área_de_impresión</vt:lpstr>
      <vt:lpstr>'Riesgos Gestión'!Área_de_impresión</vt:lpstr>
      <vt:lpstr>'Riesgos Seguridad Información'!Área_de_impresión</vt:lpstr>
      <vt:lpstr>'Riesgos Corrupción'!Títulos_a_imprimir</vt:lpstr>
      <vt:lpstr>'Riesgos Gestión'!Títulos_a_imprimir</vt:lpstr>
      <vt:lpstr>'Riesgos Seguridad Información'!Títulos_a_imprimir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juanm</dc:creator>
  <cp:lastModifiedBy>Mile BrV</cp:lastModifiedBy>
  <cp:lastPrinted>2015-06-04T12:16:33Z</cp:lastPrinted>
  <dcterms:created xsi:type="dcterms:W3CDTF">2011-09-03T13:33:31Z</dcterms:created>
  <dcterms:modified xsi:type="dcterms:W3CDTF">2022-07-01T13:33:17Z</dcterms:modified>
</cp:coreProperties>
</file>